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https://mailmissouri.sharepoint.com/sites/MissouriAgFoodandForestryInnovationCenterTeam-Ogrp/Shared Documents/FSA Urban and Innovative Ag/Specialty Crop Budgets and Resources/Budget Spreadsheets Updated with Grant Acknowledgement/"/>
    </mc:Choice>
  </mc:AlternateContent>
  <xr:revisionPtr revIDLastSave="0" documentId="8_{03CEBBF9-A9BE-4954-A558-5F6B1712AAAB}" xr6:coauthVersionLast="47" xr6:coauthVersionMax="47" xr10:uidLastSave="{00000000-0000-0000-0000-000000000000}"/>
  <bookViews>
    <workbookView xWindow="28680" yWindow="-120" windowWidth="57840" windowHeight="23520" xr2:uid="{DACF3113-47F7-4258-9CAF-4D99F7E5D3E3}"/>
  </bookViews>
  <sheets>
    <sheet name="Introduction" sheetId="7" r:id="rId1"/>
    <sheet name="Mix" sheetId="5" r:id="rId2"/>
    <sheet name="Pea" sheetId="6" r:id="rId3"/>
    <sheet name="Broccoli" sheetId="3" r:id="rId4"/>
    <sheet name="Radish" sheetId="2" r:id="rId5"/>
    <sheet name="Cabbage" sheetId="1" r:id="rId6"/>
    <sheet name="Sources" sheetId="4"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6" l="1"/>
  <c r="D13" i="6"/>
  <c r="E35" i="4"/>
  <c r="P12" i="1"/>
  <c r="P12" i="2"/>
  <c r="P12" i="3"/>
  <c r="P12" i="5"/>
  <c r="M12" i="5"/>
  <c r="Q12" i="5" s="1"/>
  <c r="M12" i="3"/>
  <c r="Q12" i="3" s="1"/>
  <c r="M12" i="2"/>
  <c r="Q12" i="2" s="1"/>
  <c r="M12" i="1"/>
  <c r="Q12" i="1" s="1"/>
  <c r="M12" i="6" l="1"/>
  <c r="Q12" i="6" s="1"/>
  <c r="P12" i="6"/>
  <c r="M32" i="6"/>
  <c r="M31" i="6"/>
  <c r="L30" i="6"/>
  <c r="M30" i="6" s="1"/>
  <c r="J29" i="6"/>
  <c r="M29" i="6" s="1"/>
  <c r="M28" i="6"/>
  <c r="J21" i="6"/>
  <c r="D14" i="6" s="1"/>
  <c r="M27" i="6"/>
  <c r="M26" i="6"/>
  <c r="E14" i="6"/>
  <c r="E13" i="6"/>
  <c r="P13" i="6"/>
  <c r="M13" i="6"/>
  <c r="Q13" i="6" s="1"/>
  <c r="P11" i="6"/>
  <c r="M11" i="6"/>
  <c r="Q11" i="6" s="1"/>
  <c r="E11" i="6"/>
  <c r="P10" i="6"/>
  <c r="M10" i="6"/>
  <c r="Q10" i="6" s="1"/>
  <c r="E10" i="6"/>
  <c r="P9" i="6"/>
  <c r="M9" i="6"/>
  <c r="Q9" i="6" s="1"/>
  <c r="E9" i="6"/>
  <c r="P8" i="6"/>
  <c r="M8" i="6"/>
  <c r="Q8" i="6" s="1"/>
  <c r="E8" i="6"/>
  <c r="P7" i="6"/>
  <c r="M7" i="6"/>
  <c r="M6" i="6"/>
  <c r="P6" i="6" s="1"/>
  <c r="M32" i="5"/>
  <c r="M31" i="5"/>
  <c r="L30" i="5"/>
  <c r="M30" i="5" s="1"/>
  <c r="J29" i="5"/>
  <c r="M29" i="5" s="1"/>
  <c r="M28" i="5"/>
  <c r="J21" i="5"/>
  <c r="D14" i="5" s="1"/>
  <c r="M27" i="5"/>
  <c r="M26" i="5"/>
  <c r="E14" i="5"/>
  <c r="E13" i="5"/>
  <c r="P13" i="5"/>
  <c r="M13" i="5"/>
  <c r="Q13" i="5" s="1"/>
  <c r="P11" i="5"/>
  <c r="M11" i="5"/>
  <c r="Q11" i="5" s="1"/>
  <c r="E11" i="5"/>
  <c r="P10" i="5"/>
  <c r="M10" i="5"/>
  <c r="Q10" i="5" s="1"/>
  <c r="E10" i="5"/>
  <c r="P9" i="5"/>
  <c r="M9" i="5"/>
  <c r="Q9" i="5" s="1"/>
  <c r="E9" i="5"/>
  <c r="P8" i="5"/>
  <c r="M8" i="5"/>
  <c r="Q8" i="5" s="1"/>
  <c r="E8" i="5"/>
  <c r="P7" i="5"/>
  <c r="M7" i="5"/>
  <c r="Q7" i="5" s="1"/>
  <c r="M6" i="5"/>
  <c r="Q6" i="5" s="1"/>
  <c r="J29" i="3"/>
  <c r="M29" i="3" s="1"/>
  <c r="J29" i="2"/>
  <c r="M29" i="2" s="1"/>
  <c r="J29" i="1"/>
  <c r="X9" i="4"/>
  <c r="X10" i="4"/>
  <c r="X8" i="4"/>
  <c r="M32" i="3"/>
  <c r="M31" i="3"/>
  <c r="L30" i="3"/>
  <c r="M30" i="3" s="1"/>
  <c r="M28" i="3"/>
  <c r="J21" i="3"/>
  <c r="G24" i="3" s="1"/>
  <c r="M27" i="3"/>
  <c r="M26" i="3"/>
  <c r="E14" i="3"/>
  <c r="E13" i="3"/>
  <c r="P13" i="3"/>
  <c r="M13" i="3"/>
  <c r="Q13" i="3" s="1"/>
  <c r="P11" i="3"/>
  <c r="M11" i="3"/>
  <c r="Q11" i="3" s="1"/>
  <c r="E11" i="3"/>
  <c r="P10" i="3"/>
  <c r="M10" i="3"/>
  <c r="Q10" i="3" s="1"/>
  <c r="E10" i="3"/>
  <c r="P9" i="3"/>
  <c r="M9" i="3"/>
  <c r="Q9" i="3" s="1"/>
  <c r="E9" i="3"/>
  <c r="D9" i="3"/>
  <c r="P8" i="3"/>
  <c r="M8" i="3"/>
  <c r="Q8" i="3" s="1"/>
  <c r="E8" i="3"/>
  <c r="D8" i="3"/>
  <c r="P7" i="3"/>
  <c r="M7" i="3"/>
  <c r="Q7" i="3" s="1"/>
  <c r="M6" i="3"/>
  <c r="M32" i="2"/>
  <c r="M31" i="2"/>
  <c r="L30" i="2"/>
  <c r="E12" i="2" s="1"/>
  <c r="M28" i="2"/>
  <c r="J21" i="2"/>
  <c r="D12" i="2" s="1"/>
  <c r="M27" i="2"/>
  <c r="M26" i="2"/>
  <c r="E14" i="2"/>
  <c r="E13" i="2"/>
  <c r="P13" i="2"/>
  <c r="M13" i="2"/>
  <c r="Q13" i="2" s="1"/>
  <c r="P11" i="2"/>
  <c r="M11" i="2"/>
  <c r="Q11" i="2" s="1"/>
  <c r="E11" i="2"/>
  <c r="P10" i="2"/>
  <c r="M10" i="2"/>
  <c r="Q10" i="2" s="1"/>
  <c r="E10" i="2"/>
  <c r="P9" i="2"/>
  <c r="M9" i="2"/>
  <c r="Q9" i="2" s="1"/>
  <c r="E9" i="2"/>
  <c r="D9" i="2"/>
  <c r="F9" i="2" s="1"/>
  <c r="G9" i="2" s="1"/>
  <c r="P8" i="2"/>
  <c r="M8" i="2"/>
  <c r="Q8" i="2" s="1"/>
  <c r="E8" i="2"/>
  <c r="P7" i="2"/>
  <c r="M7" i="2"/>
  <c r="Q7" i="2" s="1"/>
  <c r="M6" i="2"/>
  <c r="D13" i="5" l="1"/>
  <c r="F13" i="5" s="1"/>
  <c r="G13" i="5" s="1"/>
  <c r="M14" i="3"/>
  <c r="F16" i="3" s="1"/>
  <c r="G16" i="3" s="1"/>
  <c r="F9" i="3"/>
  <c r="G9" i="3" s="1"/>
  <c r="D14" i="2"/>
  <c r="F14" i="2" s="1"/>
  <c r="G14" i="2" s="1"/>
  <c r="P6" i="5"/>
  <c r="P14" i="5" s="1"/>
  <c r="F22" i="5" s="1"/>
  <c r="G22" i="5" s="1"/>
  <c r="D9" i="5"/>
  <c r="F9" i="5" s="1"/>
  <c r="G9" i="5" s="1"/>
  <c r="D11" i="5"/>
  <c r="F11" i="5" s="1"/>
  <c r="G11" i="5" s="1"/>
  <c r="D8" i="5"/>
  <c r="F8" i="5" s="1"/>
  <c r="G8" i="5" s="1"/>
  <c r="M30" i="2"/>
  <c r="F12" i="2"/>
  <c r="G12" i="2" s="1"/>
  <c r="M14" i="2"/>
  <c r="F16" i="2" s="1"/>
  <c r="G16" i="2" s="1"/>
  <c r="P6" i="3"/>
  <c r="P14" i="3" s="1"/>
  <c r="F22" i="3" s="1"/>
  <c r="G22" i="3" s="1"/>
  <c r="D11" i="3"/>
  <c r="F11" i="3" s="1"/>
  <c r="G11" i="3" s="1"/>
  <c r="D13" i="3"/>
  <c r="F13" i="3" s="1"/>
  <c r="G13" i="3" s="1"/>
  <c r="D10" i="3"/>
  <c r="F10" i="3" s="1"/>
  <c r="G10" i="3" s="1"/>
  <c r="D12" i="3"/>
  <c r="G17" i="3"/>
  <c r="E12" i="5"/>
  <c r="F14" i="5"/>
  <c r="G14" i="5" s="1"/>
  <c r="M14" i="5"/>
  <c r="F16" i="5" s="1"/>
  <c r="G16" i="5" s="1"/>
  <c r="E12" i="6"/>
  <c r="F14" i="6"/>
  <c r="G14" i="6" s="1"/>
  <c r="Q6" i="6"/>
  <c r="P14" i="6"/>
  <c r="F22" i="6" s="1"/>
  <c r="G22" i="6" s="1"/>
  <c r="M14" i="6"/>
  <c r="F16" i="6" s="1"/>
  <c r="G16" i="6" s="1"/>
  <c r="D9" i="6"/>
  <c r="F9" i="6" s="1"/>
  <c r="G9" i="6" s="1"/>
  <c r="D10" i="6"/>
  <c r="F10" i="6" s="1"/>
  <c r="G10" i="6" s="1"/>
  <c r="F13" i="6"/>
  <c r="G13" i="6" s="1"/>
  <c r="D8" i="6"/>
  <c r="F8" i="6" s="1"/>
  <c r="G8" i="6" s="1"/>
  <c r="D11" i="6"/>
  <c r="F11" i="6" s="1"/>
  <c r="G11" i="6" s="1"/>
  <c r="D4" i="6"/>
  <c r="F4" i="6" s="1"/>
  <c r="F15" i="6" s="1"/>
  <c r="G24" i="6"/>
  <c r="Q7" i="6"/>
  <c r="G17" i="6"/>
  <c r="D12" i="6"/>
  <c r="F12" i="6" s="1"/>
  <c r="G12" i="6" s="1"/>
  <c r="Q14" i="5"/>
  <c r="F23" i="5" s="1"/>
  <c r="G23" i="5" s="1"/>
  <c r="G24" i="5"/>
  <c r="D4" i="5"/>
  <c r="F4" i="5" s="1"/>
  <c r="D10" i="5"/>
  <c r="F10" i="5" s="1"/>
  <c r="G10" i="5" s="1"/>
  <c r="G17" i="5"/>
  <c r="D12" i="5"/>
  <c r="D11" i="2"/>
  <c r="F11" i="2" s="1"/>
  <c r="G11" i="2" s="1"/>
  <c r="F8" i="3"/>
  <c r="G8" i="3" s="1"/>
  <c r="D14" i="3"/>
  <c r="F14" i="3" s="1"/>
  <c r="G14" i="3" s="1"/>
  <c r="D4" i="3"/>
  <c r="F4" i="3" s="1"/>
  <c r="G4" i="3" s="1"/>
  <c r="G5" i="3" s="1"/>
  <c r="Q6" i="3"/>
  <c r="Q14" i="3" s="1"/>
  <c r="F23" i="3" s="1"/>
  <c r="G23" i="3" s="1"/>
  <c r="E12" i="3"/>
  <c r="G24" i="2"/>
  <c r="Q6" i="2"/>
  <c r="Q14" i="2" s="1"/>
  <c r="F23" i="2" s="1"/>
  <c r="G23" i="2" s="1"/>
  <c r="D13" i="2"/>
  <c r="F13" i="2" s="1"/>
  <c r="G13" i="2" s="1"/>
  <c r="P6" i="2"/>
  <c r="P14" i="2" s="1"/>
  <c r="F22" i="2" s="1"/>
  <c r="D8" i="2"/>
  <c r="F8" i="2" s="1"/>
  <c r="D4" i="2"/>
  <c r="F4" i="2" s="1"/>
  <c r="D10" i="2"/>
  <c r="F10" i="2" s="1"/>
  <c r="G10" i="2" s="1"/>
  <c r="G17" i="2"/>
  <c r="G15" i="6" l="1"/>
  <c r="F12" i="3"/>
  <c r="G12" i="3" s="1"/>
  <c r="F25" i="5"/>
  <c r="F12" i="5"/>
  <c r="G12" i="5" s="1"/>
  <c r="Q14" i="6"/>
  <c r="F23" i="6" s="1"/>
  <c r="G23" i="6" s="1"/>
  <c r="G25" i="6" s="1"/>
  <c r="F5" i="6"/>
  <c r="G4" i="6"/>
  <c r="G5" i="6" s="1"/>
  <c r="F18" i="6"/>
  <c r="G18" i="6" s="1"/>
  <c r="G19" i="6" s="1"/>
  <c r="F5" i="5"/>
  <c r="G4" i="5"/>
  <c r="G5" i="5" s="1"/>
  <c r="F15" i="5"/>
  <c r="G25" i="5"/>
  <c r="F15" i="3"/>
  <c r="G15" i="3" s="1"/>
  <c r="F5" i="3"/>
  <c r="F25" i="3"/>
  <c r="F18" i="3"/>
  <c r="G18" i="3" s="1"/>
  <c r="G19" i="3" s="1"/>
  <c r="G25" i="3"/>
  <c r="F5" i="2"/>
  <c r="G4" i="2"/>
  <c r="G5" i="2" s="1"/>
  <c r="F15" i="2"/>
  <c r="G15" i="2" s="1"/>
  <c r="G8" i="2"/>
  <c r="G22" i="2"/>
  <c r="G25" i="2" s="1"/>
  <c r="F25" i="2"/>
  <c r="F19" i="6" l="1"/>
  <c r="F18" i="5"/>
  <c r="G18" i="5" s="1"/>
  <c r="G27" i="6"/>
  <c r="G30" i="6" s="1"/>
  <c r="G29" i="6"/>
  <c r="G15" i="5"/>
  <c r="F19" i="3"/>
  <c r="F27" i="3" s="1"/>
  <c r="F30" i="3" s="1"/>
  <c r="G27" i="3"/>
  <c r="G30" i="3" s="1"/>
  <c r="G29" i="3"/>
  <c r="F18" i="2"/>
  <c r="G18" i="2" s="1"/>
  <c r="G19" i="2" s="1"/>
  <c r="F19" i="5" l="1"/>
  <c r="F27" i="5" s="1"/>
  <c r="F30" i="5" s="1"/>
  <c r="G19" i="5"/>
  <c r="G27" i="5" s="1"/>
  <c r="G30" i="5" s="1"/>
  <c r="F27" i="6"/>
  <c r="F30" i="6" s="1"/>
  <c r="F29" i="6"/>
  <c r="F29" i="3"/>
  <c r="G27" i="2"/>
  <c r="G30" i="2" s="1"/>
  <c r="G29" i="2"/>
  <c r="F19" i="2"/>
  <c r="G29" i="5" l="1"/>
  <c r="F29" i="5"/>
  <c r="F27" i="2"/>
  <c r="F30" i="2" s="1"/>
  <c r="F29" i="2"/>
  <c r="P10" i="1" l="1"/>
  <c r="L30" i="1"/>
  <c r="E12" i="1" s="1"/>
  <c r="E10" i="1" l="1"/>
  <c r="E11" i="1"/>
  <c r="M29" i="1"/>
  <c r="M28" i="1"/>
  <c r="J21" i="1" l="1"/>
  <c r="D12" i="1" s="1"/>
  <c r="F12" i="1" s="1"/>
  <c r="G12" i="1" s="1"/>
  <c r="E14" i="1"/>
  <c r="E13" i="1"/>
  <c r="E9" i="1"/>
  <c r="E8" i="1"/>
  <c r="M26" i="1"/>
  <c r="P8" i="1"/>
  <c r="M31" i="1"/>
  <c r="M32" i="1"/>
  <c r="M27" i="1"/>
  <c r="D14" i="1" l="1"/>
  <c r="F14" i="1" s="1"/>
  <c r="G14" i="1" s="1"/>
  <c r="D13" i="1"/>
  <c r="D4" i="1"/>
  <c r="G17" i="1"/>
  <c r="D11" i="1"/>
  <c r="F11" i="1" s="1"/>
  <c r="G11" i="1" s="1"/>
  <c r="D10" i="1"/>
  <c r="F10" i="1" s="1"/>
  <c r="G10" i="1" s="1"/>
  <c r="D8" i="1"/>
  <c r="F8" i="1" s="1"/>
  <c r="G8" i="1" s="1"/>
  <c r="M30" i="1"/>
  <c r="D9" i="1"/>
  <c r="P11" i="1"/>
  <c r="M11" i="1"/>
  <c r="Q11" i="1" s="1"/>
  <c r="M9" i="1"/>
  <c r="M8" i="1"/>
  <c r="Q8" i="1" s="1"/>
  <c r="M13" i="1" l="1"/>
  <c r="Q13" i="1" s="1"/>
  <c r="M7" i="1"/>
  <c r="Q7" i="1" s="1"/>
  <c r="Q9" i="1"/>
  <c r="M10" i="1"/>
  <c r="Q10" i="1" s="1"/>
  <c r="M6" i="1"/>
  <c r="Q6" i="1" s="1"/>
  <c r="P7" i="1"/>
  <c r="Q14" i="1" l="1"/>
  <c r="F23" i="1" s="1"/>
  <c r="G23" i="1" s="1"/>
  <c r="P6" i="1"/>
  <c r="M14" i="1"/>
  <c r="G24" i="1" s="1"/>
  <c r="P9" i="1" l="1"/>
  <c r="P13" i="1"/>
  <c r="P14" i="1" l="1"/>
  <c r="F22" i="1" s="1"/>
  <c r="F16" i="1"/>
  <c r="G16" i="1" s="1"/>
  <c r="G22" i="1" l="1"/>
  <c r="G25" i="1" s="1"/>
  <c r="F25" i="1"/>
  <c r="F13" i="1" l="1"/>
  <c r="G13" i="1" s="1"/>
  <c r="F9" i="1"/>
  <c r="G9" i="1" s="1"/>
  <c r="F4" i="1"/>
  <c r="G4" i="1" s="1"/>
  <c r="G5" i="1" s="1"/>
  <c r="F5" i="1" l="1"/>
  <c r="F15" i="1"/>
  <c r="G15" i="1" s="1"/>
  <c r="F18" i="1" l="1"/>
  <c r="F19" i="1" l="1"/>
  <c r="F29" i="1" s="1"/>
  <c r="G18" i="1"/>
  <c r="G19" i="1" l="1"/>
  <c r="G29" i="1" s="1"/>
  <c r="F27" i="1"/>
  <c r="F30" i="1" s="1"/>
  <c r="G27" i="1" l="1"/>
  <c r="G30" i="1" l="1"/>
</calcChain>
</file>

<file path=xl/sharedStrings.xml><?xml version="1.0" encoding="utf-8"?>
<sst xmlns="http://schemas.openxmlformats.org/spreadsheetml/2006/main" count="650" uniqueCount="126">
  <si>
    <t>each</t>
  </si>
  <si>
    <t>Labor</t>
  </si>
  <si>
    <t>Total income</t>
  </si>
  <si>
    <t>Total</t>
  </si>
  <si>
    <t>Income</t>
  </si>
  <si>
    <t>Quantity</t>
  </si>
  <si>
    <t>Operating costs</t>
  </si>
  <si>
    <t>Marketing</t>
  </si>
  <si>
    <t>% of sales</t>
  </si>
  <si>
    <t xml:space="preserve">Miscellaneous </t>
  </si>
  <si>
    <t>percent</t>
  </si>
  <si>
    <t>Interest on operating capital</t>
  </si>
  <si>
    <t xml:space="preserve">Total operating costs </t>
  </si>
  <si>
    <t>Ownership costs</t>
  </si>
  <si>
    <t xml:space="preserve">  Overhead, taxes and insurance</t>
  </si>
  <si>
    <t>Total ownership costs</t>
  </si>
  <si>
    <t xml:space="preserve">Total costs </t>
  </si>
  <si>
    <t xml:space="preserve">Income over operating costs </t>
  </si>
  <si>
    <t xml:space="preserve">Income over total costs </t>
  </si>
  <si>
    <t xml:space="preserve">  Depreciation on capital investments</t>
  </si>
  <si>
    <t xml:space="preserve">  Interest on capital investments</t>
  </si>
  <si>
    <t>Item</t>
  </si>
  <si>
    <t>Lifespan</t>
  </si>
  <si>
    <t xml:space="preserve">Salvage </t>
  </si>
  <si>
    <t>Depreciation</t>
  </si>
  <si>
    <t>Interest</t>
  </si>
  <si>
    <t>dollars</t>
  </si>
  <si>
    <t>value</t>
  </si>
  <si>
    <t>Dollars</t>
  </si>
  <si>
    <t>Years</t>
  </si>
  <si>
    <t>Percent</t>
  </si>
  <si>
    <t>Repairs</t>
  </si>
  <si>
    <t>% of capital</t>
  </si>
  <si>
    <t>Unit</t>
  </si>
  <si>
    <t>Assumption</t>
  </si>
  <si>
    <t>Seed</t>
  </si>
  <si>
    <t>days</t>
  </si>
  <si>
    <t>Label</t>
  </si>
  <si>
    <t>Price/Unit</t>
  </si>
  <si>
    <t>ounce</t>
  </si>
  <si>
    <t xml:space="preserve">Crop cycles </t>
  </si>
  <si>
    <t>per year</t>
  </si>
  <si>
    <t>Soil media</t>
  </si>
  <si>
    <t>Labels</t>
  </si>
  <si>
    <t>Total/Cycle</t>
  </si>
  <si>
    <t>Total/Year</t>
  </si>
  <si>
    <t>Trays in production</t>
  </si>
  <si>
    <t>number of trays</t>
  </si>
  <si>
    <t>Days from start to harvest</t>
  </si>
  <si>
    <t>LED lights</t>
  </si>
  <si>
    <t>Cutter</t>
  </si>
  <si>
    <t>Table 3. Microgreen cost of production (per tray)</t>
  </si>
  <si>
    <t>Price/unit</t>
  </si>
  <si>
    <t>Total/tray</t>
  </si>
  <si>
    <t xml:space="preserve">Labor </t>
  </si>
  <si>
    <t xml:space="preserve">Table 1. Microgreen system capital investment </t>
  </si>
  <si>
    <t>Table 2. Microgreen production assumptions (per cycle)</t>
  </si>
  <si>
    <t>quart</t>
  </si>
  <si>
    <t xml:space="preserve">Package </t>
  </si>
  <si>
    <t>Microgreen Cabbage Enterprise Budget</t>
  </si>
  <si>
    <t>Packages</t>
  </si>
  <si>
    <t>minutes</t>
  </si>
  <si>
    <t>Fertilizer</t>
  </si>
  <si>
    <t>Microgreen yield per tray</t>
  </si>
  <si>
    <t>Electricity</t>
  </si>
  <si>
    <t>kWh</t>
  </si>
  <si>
    <t>Stainless steel shelf</t>
  </si>
  <si>
    <t>Dehumidifier</t>
  </si>
  <si>
    <t>Fans</t>
  </si>
  <si>
    <t>Cold storage/refrigerator</t>
  </si>
  <si>
    <t>Capital investment % allocation to this crop</t>
  </si>
  <si>
    <t xml:space="preserve">  Radish, Daikon</t>
  </si>
  <si>
    <t xml:space="preserve">  Broccoli</t>
  </si>
  <si>
    <t>Microgreen Broccoli Enterprise Budget</t>
  </si>
  <si>
    <t>Microgreen Radish Enterprise Budget</t>
  </si>
  <si>
    <t xml:space="preserve">  Chinese cabbage, Tokyo Bekana</t>
  </si>
  <si>
    <r>
      <t>Electricity</t>
    </r>
    <r>
      <rPr>
        <i/>
        <sz val="8"/>
        <color theme="1"/>
        <rFont val="Segoe UI"/>
        <family val="2"/>
      </rPr>
      <t xml:space="preserve"> (lights, fans, storage)</t>
    </r>
  </si>
  <si>
    <r>
      <t xml:space="preserve">Fans electricity: </t>
    </r>
    <r>
      <rPr>
        <sz val="12"/>
        <color rgb="FF000000"/>
        <rFont val="Segoe UI"/>
        <family val="2"/>
      </rPr>
      <t>We can assume the fans will run for 30 seconds on and 30 seconds off (12 h of operation per day) and they consume 0.144 kWh per day per fan. </t>
    </r>
  </si>
  <si>
    <r>
      <t xml:space="preserve">Refrigerator: </t>
    </r>
    <r>
      <rPr>
        <sz val="12"/>
        <color rgb="FF000000"/>
        <rFont val="Segoe UI"/>
        <family val="2"/>
      </rPr>
      <t>the refrigerator you listed below will use 13 kWh per day.</t>
    </r>
  </si>
  <si>
    <t>I assume that one has a 25 SEER rating and it is a 1.5 Ton unit and this calculator (How Much Electricity Does Heat Pump Use? (+ Running Cost Per Hour, Day, Month) (learnmetrics.com)) said it uses 5.76 kWh per day (for an 8'x20' footprint). For a 7 day crop cycle it is 40 kWh in 160 sq ft (or 0.35kWh per 1020 tray).</t>
  </si>
  <si>
    <t>Johnnie's Seed</t>
  </si>
  <si>
    <t>https://www.johnnyseeds.com/vegetables/microgreens/</t>
  </si>
  <si>
    <t>Amazon.com: AC Infinity CLOUDRAY S6, Gen 2 Grow Tent Clip Fan 6” with Redesigned Long-Life EC Motor, Custom 10 Dynamic Wind Speeds and 10-Level Oscillation, Weatherproof IP-44, for Hydroponics Circulation Cooling : Patio, Lawn &amp; Garden</t>
  </si>
  <si>
    <t>Refridgerator</t>
  </si>
  <si>
    <t>https://www.katom.com/842-CSD2DRBAL54G.html?utm_source=google&amp;utm_medium=cpc&amp;utm_campaign=%5BROI%5D%20Shopping%20-%20Commercial%20Refrigeration%20-%20General&amp;utm_id=249331835&amp;utm_content=20200586795&amp;utm_term=&amp;gad_source=1&amp;gclid=Cj0KCQjwq86wBhDiARIsAJhuphmJzeXoXH-CAwbWepqkB2Xw0pRChI4tzEsqtV5d8sp8npnwRe-4pzUaAqyYEALw_wcB</t>
  </si>
  <si>
    <t>365 days x 13 kwh = 4,745 per year.  20% of the cost to the enterprise, this results in 949 kWh for each microgreen crop. For each enterprise, then need to divide by 4 and number of crop cycles to get the per tray electricity cost</t>
  </si>
  <si>
    <t>Cabbage</t>
  </si>
  <si>
    <t>Radish</t>
  </si>
  <si>
    <t>Broccoli</t>
  </si>
  <si>
    <t>trays</t>
  </si>
  <si>
    <t>crop cycles</t>
  </si>
  <si>
    <t>Yields, Days to harvest, Seed Cost</t>
  </si>
  <si>
    <t xml:space="preserve">  Microgreen mix</t>
  </si>
  <si>
    <t>Microgreen Mix Enterprise Budget</t>
  </si>
  <si>
    <t xml:space="preserve">  Sugar snap pea</t>
  </si>
  <si>
    <t>https://cropking.com/blog/microgreen-seed-density-charts</t>
  </si>
  <si>
    <t>Microgreen Pea Enterprise Budget</t>
  </si>
  <si>
    <t>Lights</t>
  </si>
  <si>
    <t>Estimated it at average of $225.</t>
  </si>
  <si>
    <r>
      <rPr>
        <i/>
        <sz val="12"/>
        <color rgb="FF000000"/>
        <rFont val="Segoe UI"/>
        <family val="2"/>
      </rPr>
      <t xml:space="preserve">HVAC electricity: </t>
    </r>
    <r>
      <rPr>
        <sz val="12"/>
        <color rgb="FF000000"/>
        <rFont val="Segoe UI"/>
        <family val="2"/>
      </rPr>
      <t>If grown in a greenhouse we can use the cooling and heating costs on a per square foot basis from the leafy greens budget. If grown in an indoor environment the HVAC heatpump system we used for a 8'x20' shipping container is the Lennox indoor wall mounted VWMB018H4 (https://www.lennoxcommercial.com/dA/8f8f66cc1a/file/ehb_vrf_indoor_vwmb_h4_wall-mount_1904.pdf) </t>
    </r>
  </si>
  <si>
    <r>
      <t xml:space="preserve">Lights with a 4 ft x 2 ft coverage (fit in each shelf): can go from </t>
    </r>
    <r>
      <rPr>
        <u/>
        <sz val="12"/>
        <color rgb="FF0000FF"/>
        <rFont val="Calibri"/>
        <family val="2"/>
        <scheme val="minor"/>
      </rPr>
      <t>$150</t>
    </r>
    <r>
      <rPr>
        <sz val="12"/>
        <color theme="1"/>
        <rFont val="Calibri"/>
        <family val="2"/>
        <scheme val="minor"/>
      </rPr>
      <t xml:space="preserve"> to </t>
    </r>
    <r>
      <rPr>
        <u/>
        <sz val="12"/>
        <color rgb="FF0000FF"/>
        <rFont val="Calibri"/>
        <family val="2"/>
        <scheme val="minor"/>
      </rPr>
      <t>$300</t>
    </r>
    <r>
      <rPr>
        <sz val="12"/>
        <color theme="1"/>
        <rFont val="Calibri"/>
        <family val="2"/>
        <scheme val="minor"/>
      </rPr>
      <t xml:space="preserve"> per unit (per shelf). </t>
    </r>
  </si>
  <si>
    <t>Note: for peas, this resource</t>
  </si>
  <si>
    <t>Developed by:</t>
  </si>
  <si>
    <t>University of Missouri Extension</t>
  </si>
  <si>
    <t>Created: 4/2024</t>
  </si>
  <si>
    <t>Missouri Microgreen Enterprise Budgets</t>
  </si>
  <si>
    <t xml:space="preserve">Develop a customized microgreen enterprise budget by changing assumptions to fit your farming situation. Budgets were developed for cabbage, radish, broccoli, pea and a microgreen mix. Use the shaded boxes in various worksheets to change inputs or prices. </t>
  </si>
  <si>
    <t>Manita Ale, Juan Cabrera-Garcia and Ryan Milhollin</t>
  </si>
  <si>
    <t>Trays (10x20 inches)</t>
  </si>
  <si>
    <t>sq. ft.</t>
  </si>
  <si>
    <t>Stainless steel shelf unit (4 levels of 4 x 2 ft. shelfs)</t>
  </si>
  <si>
    <t xml:space="preserve">Infrastructure for growing crops </t>
  </si>
  <si>
    <r>
      <t xml:space="preserve">Indoor unit (20'x8' space, </t>
    </r>
    <r>
      <rPr>
        <sz val="11"/>
        <color theme="1"/>
        <rFont val="Calibri"/>
        <family val="2"/>
        <scheme val="minor"/>
      </rPr>
      <t>divide each cost by the individual shelving unit foot print to get cost per sq ft, then divide by the 1020 tray sq ft to get per tray)</t>
    </r>
    <r>
      <rPr>
        <i/>
        <sz val="11"/>
        <color theme="1"/>
        <rFont val="Calibri"/>
        <family val="2"/>
        <scheme val="minor"/>
      </rPr>
      <t>):</t>
    </r>
  </si>
  <si>
    <t>-HVAC 1.5 Ton system costs between $2,500 - $4,500</t>
  </si>
  <si>
    <t>-Dehumidifier: $2200</t>
  </si>
  <si>
    <t>-Cost to remodel and retrofit an indoor space for indoor crop production $92 per square foot (https://ifarm.fi/blog/vertical-farming-costs)</t>
  </si>
  <si>
    <t>-Shipping containers list of manufacturers (https://www.discovercontainers.com/shipping-container-farms/)</t>
  </si>
  <si>
    <t>Greenhouse</t>
  </si>
  <si>
    <t>Calculate the cost by multiplying the shelving unit square footage by the cost per square foot of a greenhouse (with all environmental control systems).</t>
  </si>
  <si>
    <t xml:space="preserve">Infrastructure Capital Investments </t>
  </si>
  <si>
    <t>Package</t>
  </si>
  <si>
    <t>https://www.amazon.com/35-PACK-Plastic-Produce-Containers/dp/B07V8KK11W/ref=sr_1_10?adgrpid=1337006711747270&amp;dib=eyJ2IjoiMSJ9.AHIwZZrrycv0KyycJc2Gj-GMlOOEWXjaWIC8yY0dCm-pJHnrYSpUHR1RPGhgBqXZ0wU43ngriXD_EeY-Yualo6VkYnZOPa4zuhMiPJsCaFRhRGxkV0rmLpOLbC4gHzIbug8Xw6ntjmtkHSXrza5pcK4FACfeXCB4hl6Hcfbht_F4SZ504-sGEAr0Y4Sz9UQN5s8IrYM1cWGjLhiw-T_k5ewH3jLDWOZTfVcEiz4FHbnWI1aNOuCmTlNt1wColjqsDQSnd9_9bHnC6iG0LbsFf4eWdMcnMPOnAJWNnBQKOxM.gPaKT5cTYHJAdkrgEPx_5hAHbhJwUTjLezNtCIkt-cw&amp;dib_tag=se&amp;hvadid=83563133854312&amp;hvbmt=be&amp;hvdev=c&amp;hvlocphy=90762&amp;hvnetw=o&amp;hvqmt=e&amp;hvtargid=kwd-83563279911745%3Aloc-190&amp;hydadcr=13960_13350134&amp;keywords=pint%2Bplastic%2Bcontainers&amp;qid=1712613853&amp;sr=8-10&amp;th=1</t>
  </si>
  <si>
    <t xml:space="preserve">$19.97 per 35 pack.  </t>
  </si>
  <si>
    <t>per package</t>
  </si>
  <si>
    <t>https://greenpaperproducts.com/collections/industries/microgreens?ds_rl=1290751&amp;gad_source=1&amp;ds_rl=1290751&amp;gclid=Cj0KCQjw8pKxBhD_ARIsAPrG45l3caxf4HminVhHxt_0Uvp93MoJkX3t0EfRuMXlNse2jSyW9cr7HOsaArO0EALw_wcB&amp;gclsrc=aw.ds</t>
  </si>
  <si>
    <r>
      <t xml:space="preserve">This worksheet is for educational purposes only and the user assumes all risks associated with its use.
</t>
    </r>
    <r>
      <rPr>
        <b/>
        <i/>
        <sz val="8"/>
        <color rgb="FF3F3F3F"/>
        <rFont val="Segoe UI"/>
        <family val="2"/>
      </rPr>
      <t>This work is supported by the U.S. Department of Agriculture’s (USDA) Farm Service Agency through project award number FSA23CPT0012862. Its contents are solely the responsibility of the authors and do not necessarily represent the official views of the USDA.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</si>
</sst>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quot;$&quot;#,##0.00"/>
    <numFmt numFmtId="166" formatCode="0.00_)"/>
    <numFmt numFmtId="167" formatCode="&quot;$&quot;#,##0.000_);[Red]\(&quot;$&quot;#,##0.000\)"/>
    <numFmt numFmtId="168" formatCode="#,##0.0_);[Red]\(#,##0.0\)"/>
  </numFmts>
  <fonts count="37">
    <font>
      <sz val="11"/>
      <color theme="1"/>
      <name val="Calibri"/>
      <family val="2"/>
      <scheme val="minor"/>
    </font>
    <font>
      <sz val="12"/>
      <color theme="1"/>
      <name val="Palatino Linotype"/>
      <family val="1"/>
    </font>
    <font>
      <sz val="9"/>
      <color theme="1"/>
      <name val="Calibri"/>
      <family val="2"/>
      <scheme val="minor"/>
    </font>
    <font>
      <sz val="10"/>
      <color theme="1"/>
      <name val="Segoe UI"/>
      <family val="2"/>
    </font>
    <font>
      <b/>
      <sz val="14"/>
      <color rgb="FFF1B82D"/>
      <name val="Segoe UI Black"/>
      <family val="2"/>
    </font>
    <font>
      <sz val="12"/>
      <color theme="1"/>
      <name val="Segoe UI"/>
      <family val="2"/>
    </font>
    <font>
      <sz val="9"/>
      <color theme="1"/>
      <name val="Segoe UI"/>
      <family val="2"/>
    </font>
    <font>
      <sz val="11"/>
      <color theme="1"/>
      <name val="Segoe UI"/>
      <family val="2"/>
    </font>
    <font>
      <b/>
      <sz val="11"/>
      <color theme="1"/>
      <name val="Segoe UI"/>
      <family val="2"/>
    </font>
    <font>
      <i/>
      <sz val="11"/>
      <color theme="1"/>
      <name val="Segoe UI"/>
      <family val="2"/>
    </font>
    <font>
      <sz val="11"/>
      <name val="Segoe UI"/>
      <family val="2"/>
    </font>
    <font>
      <b/>
      <sz val="11"/>
      <name val="Segoe UI"/>
      <family val="2"/>
    </font>
    <font>
      <i/>
      <sz val="9"/>
      <name val="Segoe UI"/>
      <family val="2"/>
    </font>
    <font>
      <i/>
      <sz val="12"/>
      <name val="Segoe UI"/>
      <family val="2"/>
    </font>
    <font>
      <i/>
      <sz val="11"/>
      <name val="Segoe UI"/>
      <family val="2"/>
    </font>
    <font>
      <sz val="11"/>
      <color theme="1"/>
      <name val="Calibri"/>
      <family val="2"/>
      <scheme val="minor"/>
    </font>
    <font>
      <sz val="12"/>
      <name val="Arial"/>
      <family val="2"/>
    </font>
    <font>
      <sz val="12"/>
      <name val="Arial"/>
      <family val="2"/>
    </font>
    <font>
      <sz val="10"/>
      <name val="Arial MT"/>
    </font>
    <font>
      <sz val="10"/>
      <name val="TimesNewRomanPS"/>
    </font>
    <font>
      <sz val="9"/>
      <color indexed="8"/>
      <name val="Calibri"/>
      <family val="2"/>
      <scheme val="minor"/>
    </font>
    <font>
      <sz val="11"/>
      <color indexed="8"/>
      <name val="Segoe UI"/>
      <family val="2"/>
    </font>
    <font>
      <b/>
      <sz val="11"/>
      <color theme="1"/>
      <name val="Calibri"/>
      <family val="2"/>
      <scheme val="minor"/>
    </font>
    <font>
      <i/>
      <sz val="8"/>
      <color theme="1"/>
      <name val="Segoe UI"/>
      <family val="2"/>
    </font>
    <font>
      <b/>
      <sz val="11"/>
      <color rgb="FF3F3F3F"/>
      <name val="Calibri"/>
      <family val="2"/>
      <scheme val="minor"/>
    </font>
    <font>
      <sz val="12"/>
      <color rgb="FF000000"/>
      <name val="Segoe UI"/>
      <family val="2"/>
    </font>
    <font>
      <i/>
      <sz val="12"/>
      <color rgb="FF000000"/>
      <name val="Segoe UI"/>
      <family val="2"/>
    </font>
    <font>
      <u/>
      <sz val="11"/>
      <color theme="10"/>
      <name val="Calibri"/>
      <family val="2"/>
      <scheme val="minor"/>
    </font>
    <font>
      <u/>
      <sz val="12"/>
      <color theme="10"/>
      <name val="Calibri"/>
      <family val="2"/>
      <scheme val="minor"/>
    </font>
    <font>
      <b/>
      <u/>
      <sz val="12"/>
      <color theme="1"/>
      <name val="Segoe UI"/>
      <family val="2"/>
    </font>
    <font>
      <sz val="12"/>
      <color theme="1"/>
      <name val="Calibri"/>
      <family val="2"/>
      <scheme val="minor"/>
    </font>
    <font>
      <u/>
      <sz val="12"/>
      <color rgb="FF0000FF"/>
      <name val="Calibri"/>
      <family val="2"/>
      <scheme val="minor"/>
    </font>
    <font>
      <b/>
      <sz val="10"/>
      <color rgb="FF3F3F3F"/>
      <name val="Segoe UI"/>
      <family val="2"/>
    </font>
    <font>
      <sz val="10"/>
      <color rgb="FF3F3F3F"/>
      <name val="Segoe UI"/>
      <family val="2"/>
    </font>
    <font>
      <b/>
      <sz val="14"/>
      <color rgb="FFF1B82D"/>
      <name val="Segoe UI"/>
      <family val="2"/>
    </font>
    <font>
      <i/>
      <sz val="11"/>
      <color theme="1"/>
      <name val="Calibri"/>
      <family val="2"/>
      <scheme val="minor"/>
    </font>
    <font>
      <b/>
      <i/>
      <sz val="8"/>
      <color rgb="FF3F3F3F"/>
      <name val="Segoe UI"/>
      <family val="2"/>
    </font>
  </fonts>
  <fills count="6">
    <fill>
      <patternFill patternType="none"/>
    </fill>
    <fill>
      <patternFill patternType="gray125"/>
    </fill>
    <fill>
      <patternFill patternType="solid">
        <fgColor theme="1"/>
        <bgColor indexed="64"/>
      </patternFill>
    </fill>
    <fill>
      <patternFill patternType="solid">
        <fgColor theme="2"/>
        <bgColor indexed="64"/>
      </patternFill>
    </fill>
    <fill>
      <patternFill patternType="solid">
        <fgColor rgb="FFF2F2F2"/>
      </patternFill>
    </fill>
    <fill>
      <patternFill patternType="solid">
        <fgColor theme="0"/>
        <bgColor indexed="64"/>
      </patternFill>
    </fill>
  </fills>
  <borders count="19">
    <border>
      <left/>
      <right/>
      <top/>
      <bottom/>
      <diagonal/>
    </border>
    <border>
      <left/>
      <right/>
      <top style="thin">
        <color indexed="64"/>
      </top>
      <bottom style="thin">
        <color indexed="64"/>
      </bottom>
      <diagonal/>
    </border>
    <border>
      <left/>
      <right/>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0" fontId="16" fillId="0" borderId="0"/>
    <xf numFmtId="44" fontId="17" fillId="0" borderId="0" applyFont="0" applyFill="0" applyBorder="0" applyAlignment="0" applyProtection="0"/>
    <xf numFmtId="9" fontId="17" fillId="0" borderId="0" applyFont="0" applyFill="0" applyBorder="0" applyAlignment="0" applyProtection="0"/>
    <xf numFmtId="166" fontId="18" fillId="0" borderId="0"/>
    <xf numFmtId="0" fontId="15" fillId="0" borderId="0"/>
    <xf numFmtId="0" fontId="15" fillId="0" borderId="0"/>
    <xf numFmtId="9" fontId="15" fillId="0" borderId="0" applyFont="0" applyFill="0" applyBorder="0" applyAlignment="0" applyProtection="0"/>
    <xf numFmtId="0" fontId="19" fillId="0" borderId="0"/>
    <xf numFmtId="43" fontId="17" fillId="0" borderId="0" applyFont="0" applyFill="0" applyBorder="0" applyAlignment="0" applyProtection="0"/>
    <xf numFmtId="0" fontId="24" fillId="4" borderId="16" applyNumberFormat="0" applyAlignment="0" applyProtection="0"/>
    <xf numFmtId="0" fontId="27" fillId="0" borderId="0" applyNumberFormat="0" applyFill="0" applyBorder="0" applyAlignment="0" applyProtection="0"/>
  </cellStyleXfs>
  <cellXfs count="125">
    <xf numFmtId="0" fontId="0" fillId="0" borderId="0" xfId="0"/>
    <xf numFmtId="0" fontId="5" fillId="0" borderId="0" xfId="0" applyFont="1"/>
    <xf numFmtId="0" fontId="7" fillId="0" borderId="0" xfId="0" applyFont="1"/>
    <xf numFmtId="0" fontId="8" fillId="0" borderId="0" xfId="0" applyFont="1"/>
    <xf numFmtId="2" fontId="7" fillId="0" borderId="0" xfId="0" applyNumberFormat="1" applyFont="1"/>
    <xf numFmtId="164" fontId="7" fillId="3" borderId="0" xfId="0" applyNumberFormat="1" applyFont="1" applyFill="1" applyProtection="1">
      <protection locked="0"/>
    </xf>
    <xf numFmtId="40" fontId="7" fillId="3" borderId="3" xfId="0" applyNumberFormat="1" applyFont="1" applyFill="1" applyBorder="1" applyProtection="1">
      <protection locked="0"/>
    </xf>
    <xf numFmtId="0" fontId="25" fillId="0" borderId="0" xfId="0" applyFont="1" applyAlignment="1">
      <alignment vertical="center"/>
    </xf>
    <xf numFmtId="0" fontId="26" fillId="0" borderId="0" xfId="0" applyFont="1" applyAlignment="1">
      <alignment vertical="center"/>
    </xf>
    <xf numFmtId="0" fontId="26" fillId="0" borderId="0" xfId="0" applyFont="1"/>
    <xf numFmtId="0" fontId="27" fillId="0" borderId="0" xfId="11"/>
    <xf numFmtId="0" fontId="28" fillId="0" borderId="0" xfId="11" applyFont="1"/>
    <xf numFmtId="0" fontId="29" fillId="0" borderId="0" xfId="0" applyFont="1"/>
    <xf numFmtId="0" fontId="30" fillId="0" borderId="0" xfId="0" applyFont="1"/>
    <xf numFmtId="0" fontId="7" fillId="2" borderId="17" xfId="0" applyFont="1" applyFill="1" applyBorder="1"/>
    <xf numFmtId="0" fontId="7" fillId="2" borderId="18" xfId="0" applyFont="1" applyFill="1" applyBorder="1"/>
    <xf numFmtId="0" fontId="8" fillId="0" borderId="0" xfId="0" applyFont="1" applyAlignment="1">
      <alignment horizontal="left" indent="4"/>
    </xf>
    <xf numFmtId="0" fontId="32" fillId="5" borderId="0" xfId="10" applyFont="1" applyFill="1" applyBorder="1" applyAlignment="1">
      <alignment horizontal="center"/>
    </xf>
    <xf numFmtId="0" fontId="7" fillId="0" borderId="0" xfId="0" applyFont="1" applyAlignment="1">
      <alignment wrapText="1"/>
    </xf>
    <xf numFmtId="0" fontId="32" fillId="5" borderId="0" xfId="10" applyFont="1" applyFill="1" applyBorder="1" applyAlignment="1">
      <alignment horizontal="center" wrapText="1"/>
    </xf>
    <xf numFmtId="0" fontId="33" fillId="5" borderId="0" xfId="10" applyFont="1" applyFill="1" applyBorder="1" applyAlignment="1">
      <alignment wrapText="1"/>
    </xf>
    <xf numFmtId="0" fontId="32" fillId="5" borderId="0" xfId="10" applyFont="1" applyFill="1" applyBorder="1" applyAlignment="1"/>
    <xf numFmtId="0" fontId="35" fillId="0" borderId="0" xfId="0" applyFont="1" applyAlignment="1">
      <alignment vertical="top"/>
    </xf>
    <xf numFmtId="0" fontId="0" fillId="0" borderId="0" xfId="0" applyAlignment="1">
      <alignment vertical="top"/>
    </xf>
    <xf numFmtId="0" fontId="27" fillId="0" borderId="0" xfId="11" applyAlignment="1">
      <alignment vertical="top"/>
    </xf>
    <xf numFmtId="0" fontId="7" fillId="0" borderId="0" xfId="0" applyFont="1" applyAlignment="1">
      <alignment horizontal="right"/>
    </xf>
    <xf numFmtId="0" fontId="4" fillId="2" borderId="6" xfId="0" applyFont="1" applyFill="1" applyBorder="1" applyAlignment="1">
      <alignment horizontal="center"/>
    </xf>
    <xf numFmtId="0" fontId="1" fillId="0" borderId="0" xfId="0" applyFont="1"/>
    <xf numFmtId="0" fontId="4" fillId="0" borderId="4"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7" fillId="0" borderId="3" xfId="0" applyFont="1" applyBorder="1"/>
    <xf numFmtId="0" fontId="0" fillId="0" borderId="3" xfId="0" applyBorder="1"/>
    <xf numFmtId="0" fontId="8" fillId="0" borderId="9" xfId="0" applyFont="1" applyBorder="1" applyAlignment="1">
      <alignment horizontal="left"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13" fillId="0" borderId="0" xfId="0" applyFont="1" applyAlignment="1">
      <alignment horizontal="left" vertical="center"/>
    </xf>
    <xf numFmtId="0" fontId="13" fillId="0" borderId="0" xfId="0" applyFont="1" applyAlignment="1">
      <alignment horizontal="center" wrapText="1"/>
    </xf>
    <xf numFmtId="0" fontId="7" fillId="0" borderId="7" xfId="0" applyFont="1" applyBorder="1" applyAlignment="1">
      <alignment vertical="center" wrapText="1"/>
    </xf>
    <xf numFmtId="0" fontId="6" fillId="0" borderId="0" xfId="0" applyFont="1" applyAlignment="1">
      <alignment horizontal="left"/>
    </xf>
    <xf numFmtId="3" fontId="7" fillId="0" borderId="0" xfId="0" applyNumberFormat="1" applyFont="1" applyAlignment="1">
      <alignment horizontal="right"/>
    </xf>
    <xf numFmtId="40" fontId="7" fillId="0" borderId="0" xfId="0" applyNumberFormat="1" applyFont="1" applyAlignment="1">
      <alignment horizontal="right"/>
    </xf>
    <xf numFmtId="40" fontId="7" fillId="0" borderId="8" xfId="0" applyNumberFormat="1" applyFont="1" applyBorder="1" applyAlignment="1">
      <alignment horizontal="right"/>
    </xf>
    <xf numFmtId="0" fontId="13" fillId="0" borderId="3" xfId="0" applyFont="1" applyBorder="1" applyAlignment="1">
      <alignment horizontal="left" vertical="center"/>
    </xf>
    <xf numFmtId="0" fontId="13" fillId="0" borderId="3" xfId="0" applyFont="1" applyBorder="1" applyAlignment="1">
      <alignment horizontal="center" wrapText="1"/>
    </xf>
    <xf numFmtId="0" fontId="14" fillId="0" borderId="3" xfId="0" applyFont="1" applyBorder="1"/>
    <xf numFmtId="0" fontId="8" fillId="0" borderId="0" xfId="0" applyFont="1" applyAlignment="1">
      <alignment horizontal="right"/>
    </xf>
    <xf numFmtId="40" fontId="8" fillId="0" borderId="0" xfId="0" applyNumberFormat="1" applyFont="1"/>
    <xf numFmtId="40" fontId="8" fillId="0" borderId="8" xfId="0" applyNumberFormat="1" applyFont="1" applyBorder="1"/>
    <xf numFmtId="0" fontId="11" fillId="0" borderId="0" xfId="0" applyFont="1" applyAlignment="1">
      <alignment horizontal="left" vertical="center"/>
    </xf>
    <xf numFmtId="0" fontId="12" fillId="0" borderId="0" xfId="0" applyFont="1" applyAlignment="1">
      <alignment horizontal="center" wrapText="1"/>
    </xf>
    <xf numFmtId="0" fontId="3" fillId="0" borderId="13" xfId="0" applyFont="1" applyBorder="1"/>
    <xf numFmtId="0" fontId="5" fillId="0" borderId="3" xfId="0" applyFont="1" applyBorder="1"/>
    <xf numFmtId="0" fontId="5" fillId="0" borderId="11" xfId="0" applyFont="1" applyBorder="1"/>
    <xf numFmtId="38" fontId="7" fillId="0" borderId="0" xfId="0" applyNumberFormat="1" applyFont="1"/>
    <xf numFmtId="40" fontId="7" fillId="0" borderId="0" xfId="0" applyNumberFormat="1" applyFont="1"/>
    <xf numFmtId="0" fontId="7" fillId="0" borderId="7" xfId="0" applyFont="1" applyBorder="1" applyAlignment="1">
      <alignment horizontal="left" indent="1"/>
    </xf>
    <xf numFmtId="40" fontId="10" fillId="0" borderId="0" xfId="0" applyNumberFormat="1" applyFont="1"/>
    <xf numFmtId="40" fontId="10" fillId="0" borderId="8" xfId="0" applyNumberFormat="1" applyFont="1" applyBorder="1"/>
    <xf numFmtId="38" fontId="7" fillId="0" borderId="3" xfId="0" applyNumberFormat="1" applyFont="1" applyBorder="1"/>
    <xf numFmtId="40" fontId="7" fillId="0" borderId="3" xfId="0" applyNumberFormat="1" applyFont="1" applyBorder="1"/>
    <xf numFmtId="0" fontId="6" fillId="0" borderId="0" xfId="0" applyFont="1"/>
    <xf numFmtId="0" fontId="20" fillId="0" borderId="0" xfId="1" applyFont="1"/>
    <xf numFmtId="9" fontId="7" fillId="0" borderId="0" xfId="0" applyNumberFormat="1" applyFont="1"/>
    <xf numFmtId="40" fontId="10" fillId="0" borderId="11" xfId="0" applyNumberFormat="1" applyFont="1" applyBorder="1"/>
    <xf numFmtId="0" fontId="9" fillId="0" borderId="1" xfId="0" applyFont="1" applyBorder="1"/>
    <xf numFmtId="0" fontId="9" fillId="0" borderId="3" xfId="0" applyFont="1" applyBorder="1"/>
    <xf numFmtId="0" fontId="9" fillId="0" borderId="3" xfId="0" applyFont="1" applyBorder="1" applyAlignment="1">
      <alignment horizontal="center"/>
    </xf>
    <xf numFmtId="0" fontId="7" fillId="0" borderId="7" xfId="0" applyFont="1" applyBorder="1" applyAlignment="1">
      <alignment horizontal="left" vertical="center" indent="1"/>
    </xf>
    <xf numFmtId="40" fontId="8" fillId="0" borderId="0" xfId="0" applyNumberFormat="1" applyFont="1" applyAlignment="1">
      <alignment horizontal="right"/>
    </xf>
    <xf numFmtId="40" fontId="8" fillId="0" borderId="11" xfId="0" applyNumberFormat="1" applyFont="1" applyBorder="1" applyAlignment="1">
      <alignment horizontal="right"/>
    </xf>
    <xf numFmtId="0" fontId="22" fillId="0" borderId="0" xfId="0" applyFont="1"/>
    <xf numFmtId="0" fontId="8" fillId="0" borderId="9" xfId="0" applyFont="1" applyBorder="1"/>
    <xf numFmtId="0" fontId="8" fillId="0" borderId="1" xfId="0" applyFont="1" applyBorder="1" applyAlignment="1">
      <alignment horizontal="left"/>
    </xf>
    <xf numFmtId="0" fontId="8" fillId="0" borderId="1" xfId="0" applyFont="1" applyBorder="1" applyAlignment="1">
      <alignment horizontal="center"/>
    </xf>
    <xf numFmtId="0" fontId="7" fillId="0" borderId="7" xfId="0" applyFont="1" applyBorder="1"/>
    <xf numFmtId="164" fontId="7" fillId="0" borderId="0" xfId="0" applyNumberFormat="1" applyFont="1"/>
    <xf numFmtId="165" fontId="7" fillId="0" borderId="0" xfId="0" applyNumberFormat="1" applyFont="1"/>
    <xf numFmtId="0" fontId="8" fillId="0" borderId="7" xfId="0" applyFont="1" applyBorder="1"/>
    <xf numFmtId="0" fontId="8" fillId="0" borderId="0" xfId="0" applyFont="1" applyAlignment="1">
      <alignment horizontal="left"/>
    </xf>
    <xf numFmtId="0" fontId="8" fillId="0" borderId="8" xfId="0" applyFont="1" applyBorder="1" applyAlignment="1">
      <alignment horizontal="right"/>
    </xf>
    <xf numFmtId="0" fontId="8" fillId="0" borderId="13" xfId="0" applyFont="1" applyBorder="1"/>
    <xf numFmtId="0" fontId="8" fillId="0" borderId="3" xfId="0" applyFont="1" applyBorder="1" applyAlignment="1">
      <alignment horizontal="left"/>
    </xf>
    <xf numFmtId="0" fontId="8" fillId="0" borderId="3" xfId="0" applyFont="1" applyBorder="1" applyAlignment="1">
      <alignment horizontal="right"/>
    </xf>
    <xf numFmtId="40" fontId="8" fillId="0" borderId="3" xfId="0" applyNumberFormat="1" applyFont="1" applyBorder="1"/>
    <xf numFmtId="0" fontId="8" fillId="0" borderId="11" xfId="0" applyFont="1" applyBorder="1" applyAlignment="1">
      <alignment horizontal="right"/>
    </xf>
    <xf numFmtId="0" fontId="6" fillId="0" borderId="0" xfId="0" applyFont="1" applyAlignment="1">
      <alignment horizontal="left" vertical="center"/>
    </xf>
    <xf numFmtId="0" fontId="8" fillId="0" borderId="14" xfId="0" applyFont="1" applyBorder="1"/>
    <xf numFmtId="0" fontId="8" fillId="0" borderId="2" xfId="0" applyFont="1" applyBorder="1" applyAlignment="1">
      <alignment horizontal="left"/>
    </xf>
    <xf numFmtId="0" fontId="0" fillId="0" borderId="2" xfId="0" applyBorder="1"/>
    <xf numFmtId="0" fontId="8" fillId="0" borderId="2" xfId="0" applyFont="1" applyBorder="1" applyAlignment="1">
      <alignment horizontal="right"/>
    </xf>
    <xf numFmtId="40" fontId="8" fillId="0" borderId="2" xfId="0" applyNumberFormat="1" applyFont="1" applyBorder="1"/>
    <xf numFmtId="40" fontId="8" fillId="0" borderId="12" xfId="0" applyNumberFormat="1" applyFont="1" applyBorder="1"/>
    <xf numFmtId="8" fontId="1" fillId="0" borderId="0" xfId="0" applyNumberFormat="1" applyFont="1"/>
    <xf numFmtId="0" fontId="22" fillId="0" borderId="0" xfId="0" applyFont="1" applyAlignment="1">
      <alignment horizontal="center"/>
    </xf>
    <xf numFmtId="40" fontId="5" fillId="0" borderId="0" xfId="0" applyNumberFormat="1" applyFont="1"/>
    <xf numFmtId="8" fontId="0" fillId="0" borderId="0" xfId="0" applyNumberFormat="1"/>
    <xf numFmtId="6" fontId="0" fillId="0" borderId="0" xfId="0" applyNumberFormat="1"/>
    <xf numFmtId="167" fontId="0" fillId="0" borderId="0" xfId="0" applyNumberFormat="1"/>
    <xf numFmtId="0" fontId="2" fillId="0" borderId="0" xfId="0" applyFont="1"/>
    <xf numFmtId="40" fontId="7" fillId="3" borderId="0" xfId="0" applyNumberFormat="1" applyFont="1" applyFill="1" applyAlignment="1" applyProtection="1">
      <alignment horizontal="right"/>
      <protection locked="0"/>
    </xf>
    <xf numFmtId="9" fontId="7" fillId="3" borderId="0" xfId="0" applyNumberFormat="1" applyFont="1" applyFill="1" applyProtection="1">
      <protection locked="0"/>
    </xf>
    <xf numFmtId="40" fontId="7" fillId="3" borderId="0" xfId="0" applyNumberFormat="1" applyFont="1" applyFill="1" applyProtection="1">
      <protection locked="0"/>
    </xf>
    <xf numFmtId="0" fontId="6" fillId="3" borderId="0" xfId="0" applyFont="1" applyFill="1" applyAlignment="1" applyProtection="1">
      <alignment horizontal="left"/>
      <protection locked="0"/>
    </xf>
    <xf numFmtId="38" fontId="7" fillId="3" borderId="0" xfId="0" applyNumberFormat="1" applyFont="1" applyFill="1" applyProtection="1">
      <protection locked="0"/>
    </xf>
    <xf numFmtId="0" fontId="7" fillId="3" borderId="0" xfId="0" applyFont="1" applyFill="1" applyProtection="1">
      <protection locked="0"/>
    </xf>
    <xf numFmtId="9" fontId="21" fillId="3" borderId="0" xfId="1" applyNumberFormat="1" applyFont="1" applyFill="1" applyProtection="1">
      <protection locked="0"/>
    </xf>
    <xf numFmtId="168" fontId="7" fillId="3" borderId="0" xfId="0" applyNumberFormat="1" applyFont="1" applyFill="1" applyProtection="1">
      <protection locked="0"/>
    </xf>
    <xf numFmtId="2" fontId="7" fillId="3" borderId="0" xfId="0" applyNumberFormat="1" applyFont="1" applyFill="1" applyProtection="1">
      <protection locked="0"/>
    </xf>
    <xf numFmtId="0" fontId="34" fillId="2" borderId="9" xfId="0" applyFont="1" applyFill="1" applyBorder="1"/>
    <xf numFmtId="0" fontId="34" fillId="2" borderId="1" xfId="0" applyFont="1" applyFill="1" applyBorder="1"/>
    <xf numFmtId="0" fontId="34" fillId="2" borderId="10" xfId="0" applyFont="1" applyFill="1" applyBorder="1"/>
    <xf numFmtId="0" fontId="4" fillId="2" borderId="9" xfId="0" applyFont="1" applyFill="1" applyBorder="1" applyAlignment="1">
      <alignment horizontal="center"/>
    </xf>
    <xf numFmtId="0" fontId="4" fillId="2" borderId="1" xfId="0" applyFont="1" applyFill="1" applyBorder="1" applyAlignment="1">
      <alignment horizontal="center"/>
    </xf>
    <xf numFmtId="0" fontId="4" fillId="2" borderId="10" xfId="0" applyFont="1" applyFill="1" applyBorder="1" applyAlignment="1">
      <alignment horizontal="center"/>
    </xf>
    <xf numFmtId="0" fontId="7" fillId="0" borderId="0" xfId="0" applyFont="1" applyAlignment="1">
      <alignment horizontal="right"/>
    </xf>
    <xf numFmtId="0" fontId="7" fillId="0" borderId="0" xfId="0" applyFont="1"/>
    <xf numFmtId="0" fontId="10" fillId="0" borderId="0" xfId="0" applyFont="1" applyAlignment="1">
      <alignment horizontal="left" vertical="top" wrapText="1"/>
    </xf>
    <xf numFmtId="0" fontId="10" fillId="0" borderId="0" xfId="0" applyFont="1" applyAlignment="1">
      <alignment horizontal="left" vertical="center" wrapText="1"/>
    </xf>
    <xf numFmtId="0" fontId="32" fillId="3" borderId="1" xfId="10" applyFont="1" applyFill="1" applyBorder="1" applyAlignment="1">
      <alignment horizontal="center"/>
    </xf>
    <xf numFmtId="0" fontId="32" fillId="3" borderId="18" xfId="10" applyFont="1" applyFill="1" applyBorder="1" applyAlignment="1">
      <alignment horizontal="center"/>
    </xf>
    <xf numFmtId="0" fontId="4" fillId="2" borderId="4" xfId="0" applyFont="1" applyFill="1" applyBorder="1" applyAlignment="1">
      <alignment horizontal="center"/>
    </xf>
    <xf numFmtId="0" fontId="4" fillId="2" borderId="5" xfId="0" applyFont="1" applyFill="1" applyBorder="1" applyAlignment="1">
      <alignment horizontal="center"/>
    </xf>
    <xf numFmtId="0" fontId="32" fillId="3" borderId="17" xfId="10" applyFont="1" applyFill="1" applyBorder="1" applyAlignment="1">
      <alignment horizontal="center" wrapText="1"/>
    </xf>
  </cellXfs>
  <cellStyles count="12">
    <cellStyle name="Comma 2" xfId="9" xr:uid="{D0DCBDDF-168E-43A8-903C-F1296853262F}"/>
    <cellStyle name="Currency 2" xfId="2" xr:uid="{1880155F-69EF-4084-BE37-A3F2EF16D5CE}"/>
    <cellStyle name="Hyperlink" xfId="11" builtinId="8"/>
    <cellStyle name="Normal" xfId="0" builtinId="0"/>
    <cellStyle name="Normal 2" xfId="4" xr:uid="{BE946F5F-0E9E-4937-977F-561979785E09}"/>
    <cellStyle name="Normal 2 2" xfId="5" xr:uid="{BB919A1E-56DD-4B39-8CAD-33AC8591F519}"/>
    <cellStyle name="Normal 2 3" xfId="8" xr:uid="{383C3434-C127-4EE1-A745-77449D567D80}"/>
    <cellStyle name="Normal 3" xfId="6" xr:uid="{2FD84958-1FDD-4628-9CC6-1E10A95A0943}"/>
    <cellStyle name="Normal 4" xfId="1" xr:uid="{3F94CF8F-7CB5-4225-9626-E4501AA13EAA}"/>
    <cellStyle name="Output" xfId="10" builtinId="21"/>
    <cellStyle name="Percent 2" xfId="7" xr:uid="{472CCA32-8FC8-4929-AA4B-76AB08320618}"/>
    <cellStyle name="Percent 3" xfId="3" xr:uid="{805D625F-7F8A-460F-9082-9FBB5A9409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4267200</xdr:colOff>
      <xdr:row>3</xdr:row>
      <xdr:rowOff>187675</xdr:rowOff>
    </xdr:from>
    <xdr:ext cx="2292350" cy="717775"/>
    <xdr:pic>
      <xdr:nvPicPr>
        <xdr:cNvPr id="2" name="Picture 1">
          <a:extLst>
            <a:ext uri="{FF2B5EF4-FFF2-40B4-BE49-F238E27FC236}">
              <a16:creationId xmlns:a16="http://schemas.microsoft.com/office/drawing/2014/main" id="{ACEFCB7A-1813-4DD6-BF88-39C3ACDB2F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24575" y="863950"/>
          <a:ext cx="2292350" cy="717775"/>
        </a:xfrm>
        <a:prstGeom prst="rect">
          <a:avLst/>
        </a:prstGeom>
      </xdr:spPr>
    </xdr:pic>
    <xdr:clientData/>
  </xdr:one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katom.com/842-CSD2DRBAL54G.html?utm_source=google&amp;utm_medium=cpc&amp;utm_campaign=%5BROI%5D%20Shopping%20-%20Commercial%20Refrigeration%20-%20General&amp;utm_id=249331835&amp;utm_content=20200586795&amp;utm_term=&amp;gad_source=1&amp;gclid=Cj0KCQjwq86wBhDiARIsAJhuphmJzeXoXH-CAwbWepqkB2Xw0pRChI4tzEsqtV5d8sp8npnwRe-4pzUaAqyYEALw_wcB" TargetMode="External"/><Relationship Id="rId2" Type="http://schemas.openxmlformats.org/officeDocument/2006/relationships/hyperlink" Target="https://nam02.safelinks.protection.outlook.com/?url=https%3A%2F%2Fwww.amazon.com%2FInfinity-CLOUDRAY-Weatherproof-Oscillation-Hydroponics%2Fdp%2FB0B179135B%2Fref%3Dsxin_15_sbv_search_btf%3Fcontent-id%3Damzn1.sym.c44d9f79-d706-4fe9-a72f-cc7d2fe3208f%253Aamzn1.sym.c44d9f79-d706-4fe9-a72f-cc7d2fe3208f%26crid%3D2H0CA44P8KKD2%26cv_ct_cx%3Dac%2Binfinity%2Bcloudray%2Bs6%26dib%3DeyJ2IjoiMSJ9.ZkNiQoj7_2F4VDD_UZ6CJQ.ZL-w_C6qQ3o2VFjaVQLBKtQ-lgutoBWvsIBfhBfmbSc%26dib_tag%3Dse%26keywords%3Dac%2Binfinity%2Bcloudray%2Bs6%26pd_rd_i%3DB0B179135B%26pd_rd_r%3D2f496dfd-03d0-4376-9af1-06dc2ba6c31d%26pd_rd_w%3DbOZdM%26pd_rd_wg%3Dn9Rdj%26pf_rd_p%3Dc44d9f79-d706-4fe9-a72f-cc7d2fe3208f%26pf_rd_r%3DQQZ30DJ8PDDHMG90Q0EK%26qid%3D1712613177%26s%3Dindustrial%26sbo%3DRZvfv%252F%252FHxDF%252BO5021pAnSA%253D%253D%26sprefix%3Dacinfinity%2Bcloudray%2Bs6%252Cindustrial%252C502%26sr%3D1-1-5190daf0-67e3-427c-bea6-c72c1df98776&amp;data=05%7C02%7Cryan.milhollin%40missouri.edu%7C87cb6ebd9e574ec8eeec08dc5f09d482%7Ce3fefdbef7e9401ba51a355e01b05a89%7C0%7C0%7C638489743027937335%7CUnknown%7CTWFpbGZsb3d8eyJWIjoiMC4wLjAwMDAiLCJQIjoiV2luMzIiLCJBTiI6Ik1haWwiLCJXVCI6Mn0%3D%7C0%7C%7C%7C&amp;sdata=m46NIRj3Asp52Ms2qXQauI6XgIhAy7Sl8SS86lL5m%2BY%3D&amp;reserved=0" TargetMode="External"/><Relationship Id="rId1" Type="http://schemas.openxmlformats.org/officeDocument/2006/relationships/hyperlink" Target="https://www.johnnyseeds.com/vegetables/microgreens/" TargetMode="External"/><Relationship Id="rId6" Type="http://schemas.openxmlformats.org/officeDocument/2006/relationships/hyperlink" Target="https://nam02.safelinks.protection.outlook.com/?url=https%3A%2F%2Fwww.discovercontainers.com%2Fshipping-container-farms%2F&amp;data=05%7C02%7Cryan.milhollin%40missouri.edu%7Cf53f3f4c8b68434923e108dc60921ade%7Ce3fefdbef7e9401ba51a355e01b05a89%7C0%7C0%7C638491427853863325%7CUnknown%7CTWFpbGZsb3d8eyJWIjoiMC4wLjAwMDAiLCJQIjoiV2luMzIiLCJBTiI6Ik1haWwiLCJXVCI6Mn0%3D%7C0%7C%7C%7C&amp;sdata=iSlBcjUZ4WPmkqtGRseN%2FoUAq0x9S%2FqqrqmZuTRoaJU%3D&amp;reserved=0" TargetMode="External"/><Relationship Id="rId5" Type="http://schemas.openxmlformats.org/officeDocument/2006/relationships/hyperlink" Target="https://nam02.safelinks.protection.outlook.com/?url=https%3A%2F%2Fifarm.fi%2Fblog%2Fvertical-farming-costs&amp;data=05%7C02%7Cryan.milhollin%40missouri.edu%7Cf53f3f4c8b68434923e108dc60921ade%7Ce3fefdbef7e9401ba51a355e01b05a89%7C0%7C0%7C638491427853852072%7CUnknown%7CTWFpbGZsb3d8eyJWIjoiMC4wLjAwMDAiLCJQIjoiV2luMzIiLCJBTiI6Ik1haWwiLCJXVCI6Mn0%3D%7C0%7C%7C%7C&amp;sdata=CfQNSwwVknfDqaApgt2KYih6VNh3YOYIc%2FCBY1jTp1Y%3D&amp;reserved=0" TargetMode="External"/><Relationship Id="rId4" Type="http://schemas.openxmlformats.org/officeDocument/2006/relationships/hyperlink" Target="https://cropking.com/blog/microgreen-seed-density-char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53B3D-0D11-4BAB-96D4-9BC57385881E}">
  <dimension ref="A1:G19"/>
  <sheetViews>
    <sheetView showGridLines="0" tabSelected="1" workbookViewId="0">
      <selection activeCell="A12" sqref="A12"/>
    </sheetView>
  </sheetViews>
  <sheetFormatPr defaultColWidth="0" defaultRowHeight="0" customHeight="1" zeroHeight="1"/>
  <cols>
    <col min="1" max="1" width="4.7265625" style="2" customWidth="1"/>
    <col min="2" max="2" width="5.26953125" style="2" customWidth="1"/>
    <col min="3" max="3" width="17.81640625" style="2" customWidth="1"/>
    <col min="4" max="4" width="84.81640625" style="2" customWidth="1"/>
    <col min="5" max="5" width="17.81640625" style="2" customWidth="1"/>
    <col min="6" max="6" width="5.26953125" style="2" customWidth="1"/>
    <col min="7" max="7" width="10.26953125" style="2" customWidth="1"/>
    <col min="8" max="16384" width="10.26953125" style="2" hidden="1"/>
  </cols>
  <sheetData>
    <row r="1" spans="2:6" ht="16.5"/>
    <row r="2" spans="2:6" ht="21">
      <c r="B2" s="14"/>
      <c r="C2" s="113" t="s">
        <v>105</v>
      </c>
      <c r="D2" s="114"/>
      <c r="E2" s="115"/>
      <c r="F2" s="15"/>
    </row>
    <row r="3" spans="2:6" ht="16.5">
      <c r="C3" s="116" t="s">
        <v>104</v>
      </c>
      <c r="D3" s="116"/>
      <c r="E3" s="116"/>
    </row>
    <row r="4" spans="2:6" ht="16.5">
      <c r="C4" s="117"/>
      <c r="D4" s="117"/>
      <c r="E4" s="117"/>
    </row>
    <row r="5" spans="2:6" ht="16.5">
      <c r="D5" s="3" t="s">
        <v>102</v>
      </c>
    </row>
    <row r="6" spans="2:6" ht="16.5">
      <c r="D6" s="3" t="s">
        <v>107</v>
      </c>
    </row>
    <row r="7" spans="2:6" ht="16.5">
      <c r="D7" s="3" t="s">
        <v>103</v>
      </c>
    </row>
    <row r="8" spans="2:6" ht="16.5">
      <c r="D8" s="16"/>
    </row>
    <row r="9" spans="2:6" ht="54.75" customHeight="1">
      <c r="C9" s="118" t="s">
        <v>106</v>
      </c>
      <c r="D9" s="118"/>
      <c r="E9" s="118"/>
    </row>
    <row r="10" spans="2:6" ht="13.5" customHeight="1">
      <c r="C10" s="119"/>
      <c r="D10" s="119"/>
      <c r="E10" s="119"/>
    </row>
    <row r="11" spans="2:6" ht="9.75" customHeight="1"/>
    <row r="12" spans="2:6" ht="59" customHeight="1">
      <c r="C12" s="124" t="s">
        <v>125</v>
      </c>
      <c r="D12" s="120"/>
      <c r="E12" s="121"/>
    </row>
    <row r="13" spans="2:6" ht="16.5">
      <c r="C13" s="17"/>
      <c r="D13" s="17"/>
      <c r="E13" s="17"/>
    </row>
    <row r="14" spans="2:6" ht="16.5">
      <c r="B14" s="18"/>
      <c r="C14" s="19"/>
      <c r="D14" s="20"/>
      <c r="E14" s="21"/>
    </row>
    <row r="15" spans="2:6" ht="16.5">
      <c r="C15" s="17"/>
      <c r="D15" s="17"/>
      <c r="E15" s="17"/>
    </row>
    <row r="16" spans="2:6" ht="16.5">
      <c r="C16" s="17"/>
      <c r="D16" s="17"/>
      <c r="E16" s="17"/>
    </row>
    <row r="17" spans="2:6" ht="16.5"/>
    <row r="18" spans="2:6" ht="21">
      <c r="B18" s="14"/>
      <c r="C18" s="110"/>
      <c r="D18" s="111"/>
      <c r="E18" s="112"/>
      <c r="F18" s="15"/>
    </row>
    <row r="19" spans="2:6" ht="16.5"/>
  </sheetData>
  <sheetProtection sheet="1" objects="1" scenarios="1" selectLockedCells="1" selectUnlockedCells="1"/>
  <mergeCells count="7">
    <mergeCell ref="C18:E18"/>
    <mergeCell ref="C2:E2"/>
    <mergeCell ref="C3:E3"/>
    <mergeCell ref="C4:E4"/>
    <mergeCell ref="C9:E9"/>
    <mergeCell ref="C10:E10"/>
    <mergeCell ref="C12:E1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1D8B3-756B-44BC-B99D-707FEC8B922C}">
  <dimension ref="A1:S64"/>
  <sheetViews>
    <sheetView zoomScaleNormal="100" workbookViewId="0">
      <selection activeCell="D15" sqref="D15"/>
    </sheetView>
  </sheetViews>
  <sheetFormatPr defaultColWidth="0" defaultRowHeight="17" zeroHeight="1"/>
  <cols>
    <col min="1" max="1" width="3.1796875" customWidth="1"/>
    <col min="2" max="2" width="45.7265625" style="27" customWidth="1"/>
    <col min="3" max="4" width="11.453125" style="27" customWidth="1"/>
    <col min="5" max="6" width="14.26953125" style="27" customWidth="1"/>
    <col min="7" max="7" width="13" style="27" customWidth="1"/>
    <col min="8" max="8" width="9.1796875" style="27" customWidth="1"/>
    <col min="9" max="9" width="26.1796875" customWidth="1"/>
    <col min="10" max="10" width="10.1796875" customWidth="1"/>
    <col min="11" max="11" width="12.7265625" customWidth="1"/>
    <col min="12" max="13" width="11.7265625" customWidth="1"/>
    <col min="14" max="14" width="10.7265625" customWidth="1"/>
    <col min="15" max="15" width="15" customWidth="1"/>
    <col min="16" max="16" width="14.26953125" customWidth="1"/>
    <col min="17" max="17" width="10.81640625" customWidth="1"/>
    <col min="18" max="18" width="9.1796875" hidden="1" customWidth="1"/>
    <col min="19" max="19" width="23.54296875" hidden="1" customWidth="1"/>
    <col min="20" max="16384" width="9.1796875" hidden="1"/>
  </cols>
  <sheetData>
    <row r="1" spans="2:17" ht="21.5" thickBot="1">
      <c r="B1" s="122" t="s">
        <v>93</v>
      </c>
      <c r="C1" s="123"/>
      <c r="D1" s="123"/>
      <c r="E1" s="123"/>
      <c r="F1" s="123"/>
      <c r="G1" s="26"/>
    </row>
    <row r="2" spans="2:17" ht="16.5" customHeight="1">
      <c r="B2" s="28"/>
      <c r="C2" s="29"/>
      <c r="D2" s="29"/>
      <c r="E2" s="29"/>
      <c r="F2" s="29"/>
      <c r="G2" s="30"/>
      <c r="I2" s="31" t="s">
        <v>55</v>
      </c>
      <c r="J2" s="31"/>
      <c r="K2" s="31"/>
      <c r="L2" s="31"/>
      <c r="M2" s="31"/>
      <c r="N2" s="31"/>
      <c r="O2" s="31"/>
      <c r="P2" s="32"/>
      <c r="Q2" s="32"/>
    </row>
    <row r="3" spans="2:17" ht="16.5" customHeight="1">
      <c r="B3" s="33" t="s">
        <v>4</v>
      </c>
      <c r="C3" s="34" t="s">
        <v>33</v>
      </c>
      <c r="D3" s="34" t="s">
        <v>5</v>
      </c>
      <c r="E3" s="35" t="s">
        <v>38</v>
      </c>
      <c r="F3" s="35" t="s">
        <v>45</v>
      </c>
      <c r="G3" s="36" t="s">
        <v>44</v>
      </c>
      <c r="I3" s="37" t="s">
        <v>21</v>
      </c>
      <c r="J3" s="37" t="s">
        <v>33</v>
      </c>
      <c r="K3" s="37" t="s">
        <v>5</v>
      </c>
      <c r="L3" s="38" t="s">
        <v>38</v>
      </c>
      <c r="M3" s="38" t="s">
        <v>3</v>
      </c>
      <c r="N3" s="38" t="s">
        <v>22</v>
      </c>
      <c r="O3" s="38" t="s">
        <v>23</v>
      </c>
      <c r="P3" s="38" t="s">
        <v>24</v>
      </c>
      <c r="Q3" s="38" t="s">
        <v>25</v>
      </c>
    </row>
    <row r="4" spans="2:17" ht="16.5" customHeight="1">
      <c r="B4" s="39" t="s">
        <v>92</v>
      </c>
      <c r="C4" s="40" t="s">
        <v>39</v>
      </c>
      <c r="D4" s="41">
        <f>(J19*J21*J22)</f>
        <v>1243.7037037037037</v>
      </c>
      <c r="E4" s="101">
        <v>4</v>
      </c>
      <c r="F4" s="42">
        <f>D4*E4</f>
        <v>4974.8148148148148</v>
      </c>
      <c r="G4" s="43">
        <f>F4/J21</f>
        <v>184</v>
      </c>
      <c r="I4" s="44"/>
      <c r="J4" s="44"/>
      <c r="K4" s="44"/>
      <c r="L4" s="45" t="s">
        <v>26</v>
      </c>
      <c r="M4" s="31"/>
      <c r="N4" s="46"/>
      <c r="O4" s="45" t="s">
        <v>27</v>
      </c>
      <c r="P4" s="45"/>
      <c r="Q4" s="45"/>
    </row>
    <row r="5" spans="2:17" ht="16.5" customHeight="1">
      <c r="B5" s="39"/>
      <c r="C5" s="1"/>
      <c r="D5" s="2"/>
      <c r="E5" s="47" t="s">
        <v>2</v>
      </c>
      <c r="F5" s="48">
        <f>SUM(F4:F4)</f>
        <v>4974.8148148148148</v>
      </c>
      <c r="G5" s="49">
        <f>SUM(G4:G4)</f>
        <v>184</v>
      </c>
      <c r="I5" s="50"/>
      <c r="J5" s="50"/>
      <c r="K5" s="50"/>
      <c r="L5" s="51" t="s">
        <v>28</v>
      </c>
      <c r="M5" s="51" t="s">
        <v>28</v>
      </c>
      <c r="N5" s="51" t="s">
        <v>29</v>
      </c>
      <c r="O5" s="51" t="s">
        <v>30</v>
      </c>
      <c r="P5" s="51" t="s">
        <v>28</v>
      </c>
      <c r="Q5" s="51" t="s">
        <v>28</v>
      </c>
    </row>
    <row r="6" spans="2:17" ht="16.5" customHeight="1">
      <c r="B6" s="52"/>
      <c r="C6" s="53"/>
      <c r="D6" s="53"/>
      <c r="E6" s="53"/>
      <c r="F6" s="53"/>
      <c r="G6" s="54"/>
      <c r="I6" s="104" t="s">
        <v>108</v>
      </c>
      <c r="J6" s="104" t="s">
        <v>0</v>
      </c>
      <c r="K6" s="105">
        <v>20</v>
      </c>
      <c r="L6" s="105">
        <v>10</v>
      </c>
      <c r="M6" s="55">
        <f>K6*L6</f>
        <v>200</v>
      </c>
      <c r="N6" s="106">
        <v>3</v>
      </c>
      <c r="O6" s="5">
        <v>0</v>
      </c>
      <c r="P6" s="56">
        <f>IF(M6&gt;0,(M6-(M6*O6))/N6,"")</f>
        <v>66.666666666666671</v>
      </c>
      <c r="Q6" s="56">
        <f t="shared" ref="Q6:Q13" si="0">IF(M6&gt;0,((M6+M6*O6)/2)*$D$23,"")</f>
        <v>8.5</v>
      </c>
    </row>
    <row r="7" spans="2:17" ht="16.5" customHeight="1">
      <c r="B7" s="33" t="s">
        <v>6</v>
      </c>
      <c r="C7" s="34" t="s">
        <v>33</v>
      </c>
      <c r="D7" s="34" t="s">
        <v>5</v>
      </c>
      <c r="E7" s="35" t="s">
        <v>38</v>
      </c>
      <c r="F7" s="35" t="s">
        <v>45</v>
      </c>
      <c r="G7" s="36" t="s">
        <v>44</v>
      </c>
      <c r="I7" s="104" t="s">
        <v>66</v>
      </c>
      <c r="J7" s="104" t="s">
        <v>0</v>
      </c>
      <c r="K7" s="105">
        <v>1</v>
      </c>
      <c r="L7" s="105">
        <v>150</v>
      </c>
      <c r="M7" s="55">
        <f t="shared" ref="M7:M13" si="1">K7*L7</f>
        <v>150</v>
      </c>
      <c r="N7" s="106">
        <v>10</v>
      </c>
      <c r="O7" s="5">
        <v>0</v>
      </c>
      <c r="P7" s="56">
        <f t="shared" ref="P7:P13" si="2">IF(L7&gt;0,(L7-(L7*O7))/N7,"")</f>
        <v>15</v>
      </c>
      <c r="Q7" s="56">
        <f t="shared" si="0"/>
        <v>6.3750000000000009</v>
      </c>
    </row>
    <row r="8" spans="2:17" ht="16.5" customHeight="1">
      <c r="B8" s="57" t="s">
        <v>35</v>
      </c>
      <c r="C8" s="40" t="s">
        <v>39</v>
      </c>
      <c r="D8" s="55">
        <f>J19*J21*J26</f>
        <v>43.259259259259267</v>
      </c>
      <c r="E8" s="58">
        <f t="shared" ref="E8:E14" si="3">L26</f>
        <v>2.6</v>
      </c>
      <c r="F8" s="56">
        <f t="shared" ref="F8:F14" si="4">D8*E8</f>
        <v>112.4740740740741</v>
      </c>
      <c r="G8" s="59">
        <f t="shared" ref="G8:G18" si="5">F8/$J$21</f>
        <v>4.160000000000001</v>
      </c>
      <c r="I8" s="104" t="s">
        <v>49</v>
      </c>
      <c r="J8" s="104" t="s">
        <v>0</v>
      </c>
      <c r="K8" s="105">
        <v>4</v>
      </c>
      <c r="L8" s="105">
        <v>225</v>
      </c>
      <c r="M8" s="55">
        <f t="shared" si="1"/>
        <v>900</v>
      </c>
      <c r="N8" s="106">
        <v>10</v>
      </c>
      <c r="O8" s="5">
        <v>0</v>
      </c>
      <c r="P8" s="56">
        <f t="shared" si="2"/>
        <v>22.5</v>
      </c>
      <c r="Q8" s="56">
        <f t="shared" si="0"/>
        <v>38.25</v>
      </c>
    </row>
    <row r="9" spans="2:17" ht="16.5" customHeight="1">
      <c r="B9" s="57" t="s">
        <v>42</v>
      </c>
      <c r="C9" s="40" t="s">
        <v>57</v>
      </c>
      <c r="D9" s="55">
        <f>J19*J21*J27</f>
        <v>324.44444444444446</v>
      </c>
      <c r="E9" s="58">
        <f t="shared" si="3"/>
        <v>1</v>
      </c>
      <c r="F9" s="56">
        <f t="shared" si="4"/>
        <v>324.44444444444446</v>
      </c>
      <c r="G9" s="59">
        <f t="shared" si="5"/>
        <v>12</v>
      </c>
      <c r="I9" s="104" t="s">
        <v>68</v>
      </c>
      <c r="J9" s="104" t="s">
        <v>0</v>
      </c>
      <c r="K9" s="105">
        <v>4</v>
      </c>
      <c r="L9" s="105">
        <v>55</v>
      </c>
      <c r="M9" s="55">
        <f t="shared" si="1"/>
        <v>220</v>
      </c>
      <c r="N9" s="106">
        <v>10</v>
      </c>
      <c r="O9" s="5">
        <v>0</v>
      </c>
      <c r="P9" s="56">
        <f t="shared" si="2"/>
        <v>5.5</v>
      </c>
      <c r="Q9" s="56">
        <f t="shared" si="0"/>
        <v>9.3500000000000014</v>
      </c>
    </row>
    <row r="10" spans="2:17" ht="16.5" customHeight="1">
      <c r="B10" s="57" t="s">
        <v>62</v>
      </c>
      <c r="C10" s="40" t="s">
        <v>39</v>
      </c>
      <c r="D10" s="55">
        <f>J19*J21*J28</f>
        <v>38.93333333333333</v>
      </c>
      <c r="E10" s="58">
        <f t="shared" si="3"/>
        <v>0.2</v>
      </c>
      <c r="F10" s="56">
        <f t="shared" si="4"/>
        <v>7.7866666666666662</v>
      </c>
      <c r="G10" s="59">
        <f t="shared" si="5"/>
        <v>0.28799999999999998</v>
      </c>
      <c r="I10" s="104" t="s">
        <v>50</v>
      </c>
      <c r="J10" s="104" t="s">
        <v>0</v>
      </c>
      <c r="K10" s="105">
        <v>1</v>
      </c>
      <c r="L10" s="105">
        <v>30</v>
      </c>
      <c r="M10" s="55">
        <f t="shared" si="1"/>
        <v>30</v>
      </c>
      <c r="N10" s="106">
        <v>10</v>
      </c>
      <c r="O10" s="5">
        <v>0</v>
      </c>
      <c r="P10" s="56">
        <f t="shared" si="2"/>
        <v>3</v>
      </c>
      <c r="Q10" s="56">
        <f t="shared" si="0"/>
        <v>1.2750000000000001</v>
      </c>
    </row>
    <row r="11" spans="2:17" ht="16.5" customHeight="1">
      <c r="B11" s="57" t="s">
        <v>64</v>
      </c>
      <c r="C11" s="40" t="s">
        <v>65</v>
      </c>
      <c r="D11" s="55">
        <f>J19*J21*J29</f>
        <v>1078.237037037037</v>
      </c>
      <c r="E11" s="58">
        <f t="shared" si="3"/>
        <v>0.12</v>
      </c>
      <c r="F11" s="56">
        <f t="shared" si="4"/>
        <v>129.38844444444445</v>
      </c>
      <c r="G11" s="59">
        <f t="shared" si="5"/>
        <v>4.7855999999999996</v>
      </c>
      <c r="I11" s="104" t="s">
        <v>69</v>
      </c>
      <c r="J11" s="104" t="s">
        <v>0</v>
      </c>
      <c r="K11" s="105">
        <v>1</v>
      </c>
      <c r="L11" s="105">
        <v>2500</v>
      </c>
      <c r="M11" s="55">
        <f t="shared" si="1"/>
        <v>2500</v>
      </c>
      <c r="N11" s="106">
        <v>10</v>
      </c>
      <c r="O11" s="5">
        <v>0</v>
      </c>
      <c r="P11" s="56">
        <f t="shared" si="2"/>
        <v>250</v>
      </c>
      <c r="Q11" s="56">
        <f t="shared" si="0"/>
        <v>106.25000000000001</v>
      </c>
    </row>
    <row r="12" spans="2:17" ht="16.5" customHeight="1">
      <c r="B12" s="57" t="s">
        <v>1</v>
      </c>
      <c r="C12" s="40" t="s">
        <v>61</v>
      </c>
      <c r="D12" s="55">
        <f>J19*J21*J30</f>
        <v>1622.2222222222222</v>
      </c>
      <c r="E12" s="58">
        <f t="shared" si="3"/>
        <v>0.33333333333333331</v>
      </c>
      <c r="F12" s="56">
        <f t="shared" si="4"/>
        <v>540.74074074074065</v>
      </c>
      <c r="G12" s="59">
        <f t="shared" si="5"/>
        <v>19.999999999999996</v>
      </c>
      <c r="I12" s="104" t="s">
        <v>111</v>
      </c>
      <c r="J12" s="104" t="s">
        <v>109</v>
      </c>
      <c r="K12" s="105">
        <v>8</v>
      </c>
      <c r="L12" s="105">
        <v>48</v>
      </c>
      <c r="M12" s="55">
        <f t="shared" si="1"/>
        <v>384</v>
      </c>
      <c r="N12" s="106">
        <v>10</v>
      </c>
      <c r="O12" s="5">
        <v>0</v>
      </c>
      <c r="P12" s="56">
        <f t="shared" si="2"/>
        <v>4.8</v>
      </c>
      <c r="Q12" s="56">
        <f t="shared" si="0"/>
        <v>16.32</v>
      </c>
    </row>
    <row r="13" spans="2:17" ht="16.5" customHeight="1">
      <c r="B13" s="57" t="s">
        <v>43</v>
      </c>
      <c r="C13" s="40" t="s">
        <v>0</v>
      </c>
      <c r="D13" s="55">
        <f>J31*J21*J19</f>
        <v>1189.6296296296296</v>
      </c>
      <c r="E13" s="58">
        <f t="shared" si="3"/>
        <v>0.6</v>
      </c>
      <c r="F13" s="56">
        <f t="shared" si="4"/>
        <v>713.77777777777771</v>
      </c>
      <c r="G13" s="59">
        <f t="shared" si="5"/>
        <v>26.399999999999995</v>
      </c>
      <c r="I13" s="104" t="s">
        <v>67</v>
      </c>
      <c r="J13" s="104" t="s">
        <v>0</v>
      </c>
      <c r="K13" s="105">
        <v>0</v>
      </c>
      <c r="L13" s="105">
        <v>0</v>
      </c>
      <c r="M13" s="60">
        <f t="shared" si="1"/>
        <v>0</v>
      </c>
      <c r="N13" s="106">
        <v>10</v>
      </c>
      <c r="O13" s="5">
        <v>0</v>
      </c>
      <c r="P13" s="61" t="str">
        <f t="shared" si="2"/>
        <v/>
      </c>
      <c r="Q13" s="61" t="str">
        <f t="shared" si="0"/>
        <v/>
      </c>
    </row>
    <row r="14" spans="2:17" ht="16.5" customHeight="1">
      <c r="B14" s="57" t="s">
        <v>60</v>
      </c>
      <c r="C14" s="40" t="s">
        <v>0</v>
      </c>
      <c r="D14" s="55">
        <f>J32*J21*J19</f>
        <v>1189.6296296296296</v>
      </c>
      <c r="E14" s="58">
        <f t="shared" si="3"/>
        <v>0.42</v>
      </c>
      <c r="F14" s="56">
        <f t="shared" si="4"/>
        <v>499.64444444444439</v>
      </c>
      <c r="G14" s="59">
        <f t="shared" si="5"/>
        <v>18.479999999999997</v>
      </c>
      <c r="L14" s="25" t="s">
        <v>3</v>
      </c>
      <c r="M14" s="55">
        <f>SUM(M6:M13)</f>
        <v>4384</v>
      </c>
      <c r="N14" s="55"/>
      <c r="O14" s="55"/>
      <c r="P14" s="56">
        <f>SUM(P6:P13)</f>
        <v>367.4666666666667</v>
      </c>
      <c r="Q14" s="56">
        <f>SUM(Q6:Q13)</f>
        <v>186.32</v>
      </c>
    </row>
    <row r="15" spans="2:17" ht="16.5" customHeight="1">
      <c r="B15" s="57" t="s">
        <v>7</v>
      </c>
      <c r="C15" s="62" t="s">
        <v>8</v>
      </c>
      <c r="D15" s="102">
        <v>0.15</v>
      </c>
      <c r="E15" s="58"/>
      <c r="F15" s="56">
        <f>F4*D15</f>
        <v>746.22222222222217</v>
      </c>
      <c r="G15" s="59">
        <f t="shared" si="5"/>
        <v>27.599999999999998</v>
      </c>
      <c r="I15" s="63" t="s">
        <v>70</v>
      </c>
      <c r="K15" s="107">
        <v>0.25</v>
      </c>
      <c r="L15" s="55"/>
      <c r="M15" s="55"/>
      <c r="N15" s="2"/>
      <c r="O15" s="2"/>
    </row>
    <row r="16" spans="2:17" ht="16.5" customHeight="1">
      <c r="B16" s="57" t="s">
        <v>31</v>
      </c>
      <c r="C16" s="62" t="s">
        <v>32</v>
      </c>
      <c r="D16" s="5">
        <v>0.01</v>
      </c>
      <c r="E16" s="58"/>
      <c r="F16" s="56">
        <f>M14*D16</f>
        <v>43.84</v>
      </c>
      <c r="G16" s="59">
        <f t="shared" si="5"/>
        <v>1.6214794520547946</v>
      </c>
      <c r="I16" s="2"/>
      <c r="J16" s="2"/>
      <c r="K16" s="2"/>
      <c r="L16" s="2"/>
      <c r="M16" s="2"/>
      <c r="N16" s="2"/>
      <c r="O16" s="2"/>
    </row>
    <row r="17" spans="2:19" ht="16.5" customHeight="1">
      <c r="B17" s="57" t="s">
        <v>9</v>
      </c>
      <c r="C17" s="62"/>
      <c r="D17" s="64"/>
      <c r="E17" s="58"/>
      <c r="F17" s="103">
        <v>0</v>
      </c>
      <c r="G17" s="59">
        <f t="shared" si="5"/>
        <v>0</v>
      </c>
      <c r="I17" s="31" t="s">
        <v>56</v>
      </c>
      <c r="J17" s="32"/>
      <c r="K17" s="32"/>
      <c r="L17" s="2"/>
    </row>
    <row r="18" spans="2:19" ht="16.5" customHeight="1">
      <c r="B18" s="57" t="s">
        <v>11</v>
      </c>
      <c r="C18" s="62" t="s">
        <v>10</v>
      </c>
      <c r="D18" s="5">
        <v>8.5000000000000006E-2</v>
      </c>
      <c r="E18" s="58"/>
      <c r="F18" s="61">
        <f>SUM(F8:F17)*D18*(6/12)</f>
        <v>132.52854962962965</v>
      </c>
      <c r="G18" s="65">
        <f t="shared" si="5"/>
        <v>4.9017408767123296</v>
      </c>
      <c r="I18" s="66" t="s">
        <v>34</v>
      </c>
      <c r="J18" s="67" t="s">
        <v>5</v>
      </c>
      <c r="K18" s="68" t="s">
        <v>33</v>
      </c>
    </row>
    <row r="19" spans="2:19" ht="16.5" customHeight="1">
      <c r="B19" s="69"/>
      <c r="C19" s="62"/>
      <c r="D19" s="2"/>
      <c r="E19" s="70" t="s">
        <v>12</v>
      </c>
      <c r="F19" s="48">
        <f>SUM(F8:F18)</f>
        <v>3250.8473644444448</v>
      </c>
      <c r="G19" s="49">
        <f>SUM(G8:G18)</f>
        <v>120.23682032876711</v>
      </c>
      <c r="I19" s="40" t="s">
        <v>46</v>
      </c>
      <c r="J19" s="105">
        <v>4</v>
      </c>
      <c r="K19" s="40" t="s">
        <v>47</v>
      </c>
    </row>
    <row r="20" spans="2:19" ht="16.5" customHeight="1">
      <c r="B20" s="69"/>
      <c r="C20" s="62"/>
      <c r="D20" s="2"/>
      <c r="E20" s="70"/>
      <c r="F20" s="48"/>
      <c r="G20" s="71"/>
      <c r="I20" s="40" t="s">
        <v>48</v>
      </c>
      <c r="J20" s="108">
        <v>13.5</v>
      </c>
      <c r="K20" s="40" t="s">
        <v>36</v>
      </c>
      <c r="S20" s="72"/>
    </row>
    <row r="21" spans="2:19" ht="16.5" customHeight="1">
      <c r="B21" s="73" t="s">
        <v>13</v>
      </c>
      <c r="C21" s="74" t="s">
        <v>33</v>
      </c>
      <c r="D21" s="75" t="s">
        <v>5</v>
      </c>
      <c r="E21" s="35" t="s">
        <v>38</v>
      </c>
      <c r="F21" s="35" t="s">
        <v>45</v>
      </c>
      <c r="G21" s="36" t="s">
        <v>44</v>
      </c>
      <c r="I21" s="40" t="s">
        <v>40</v>
      </c>
      <c r="J21" s="55">
        <f>365/J20</f>
        <v>27.037037037037038</v>
      </c>
      <c r="K21" s="40" t="s">
        <v>41</v>
      </c>
    </row>
    <row r="22" spans="2:19" ht="16.5" customHeight="1">
      <c r="B22" s="76" t="s">
        <v>19</v>
      </c>
      <c r="C22" s="62"/>
      <c r="D22" s="77"/>
      <c r="E22" s="78"/>
      <c r="F22" s="56">
        <f>P14*K15</f>
        <v>91.866666666666674</v>
      </c>
      <c r="G22" s="59">
        <f>F22/$J$21</f>
        <v>3.3978082191780823</v>
      </c>
      <c r="I22" s="40" t="s">
        <v>63</v>
      </c>
      <c r="J22" s="108">
        <v>11.5</v>
      </c>
      <c r="K22" s="40" t="s">
        <v>39</v>
      </c>
    </row>
    <row r="23" spans="2:19" ht="16.5" customHeight="1">
      <c r="B23" s="76" t="s">
        <v>20</v>
      </c>
      <c r="C23" s="62" t="s">
        <v>10</v>
      </c>
      <c r="D23" s="5">
        <v>8.5000000000000006E-2</v>
      </c>
      <c r="E23" s="78"/>
      <c r="F23" s="56">
        <f>Q14*K15</f>
        <v>46.58</v>
      </c>
      <c r="G23" s="59">
        <f>F23/$J$21</f>
        <v>1.7228219178082191</v>
      </c>
      <c r="L23" s="2"/>
    </row>
    <row r="24" spans="2:19" ht="16.5" customHeight="1">
      <c r="B24" s="76" t="s">
        <v>14</v>
      </c>
      <c r="C24" s="62"/>
      <c r="D24" s="77"/>
      <c r="E24" s="78"/>
      <c r="F24" s="6">
        <v>50</v>
      </c>
      <c r="G24" s="65">
        <f>F24/$J$21</f>
        <v>1.8493150684931505</v>
      </c>
      <c r="I24" s="31" t="s">
        <v>51</v>
      </c>
      <c r="J24" s="32"/>
      <c r="K24" s="32"/>
      <c r="L24" s="32"/>
      <c r="M24" s="32"/>
    </row>
    <row r="25" spans="2:19" ht="16.5" customHeight="1">
      <c r="B25" s="79"/>
      <c r="C25" s="80"/>
      <c r="D25" s="2"/>
      <c r="E25" s="47" t="s">
        <v>15</v>
      </c>
      <c r="F25" s="48">
        <f>SUM(F22:F24)</f>
        <v>188.44666666666666</v>
      </c>
      <c r="G25" s="49">
        <f>SUM(G22:G24)</f>
        <v>6.9699452054794522</v>
      </c>
      <c r="I25" s="66" t="s">
        <v>34</v>
      </c>
      <c r="J25" s="67" t="s">
        <v>5</v>
      </c>
      <c r="K25" s="68" t="s">
        <v>33</v>
      </c>
      <c r="L25" s="68" t="s">
        <v>52</v>
      </c>
      <c r="M25" s="68" t="s">
        <v>53</v>
      </c>
    </row>
    <row r="26" spans="2:19" ht="16.5" customHeight="1">
      <c r="B26" s="79"/>
      <c r="C26" s="80"/>
      <c r="D26" s="2"/>
      <c r="E26" s="47"/>
      <c r="F26" s="48"/>
      <c r="G26" s="81"/>
      <c r="I26" s="40" t="s">
        <v>35</v>
      </c>
      <c r="J26" s="108">
        <v>0.4</v>
      </c>
      <c r="K26" s="40" t="s">
        <v>39</v>
      </c>
      <c r="L26" s="109">
        <v>2.6</v>
      </c>
      <c r="M26" s="4">
        <f>J26*L26</f>
        <v>1.04</v>
      </c>
    </row>
    <row r="27" spans="2:19" ht="16.5" customHeight="1">
      <c r="B27" s="79"/>
      <c r="C27" s="80"/>
      <c r="D27" s="2"/>
      <c r="E27" s="47" t="s">
        <v>16</v>
      </c>
      <c r="F27" s="48">
        <f>F19+F25</f>
        <v>3439.2940311111115</v>
      </c>
      <c r="G27" s="49">
        <f>G19+G25</f>
        <v>127.20676553424656</v>
      </c>
      <c r="I27" s="40" t="s">
        <v>42</v>
      </c>
      <c r="J27" s="105">
        <v>3</v>
      </c>
      <c r="K27" s="40" t="s">
        <v>57</v>
      </c>
      <c r="L27" s="109">
        <v>1</v>
      </c>
      <c r="M27" s="4">
        <f>J27*L27</f>
        <v>3</v>
      </c>
    </row>
    <row r="28" spans="2:19" ht="16.5" customHeight="1">
      <c r="B28" s="82"/>
      <c r="C28" s="83"/>
      <c r="D28" s="31"/>
      <c r="E28" s="84"/>
      <c r="F28" s="85"/>
      <c r="G28" s="86"/>
      <c r="I28" s="40" t="s">
        <v>62</v>
      </c>
      <c r="J28" s="103">
        <v>0.36</v>
      </c>
      <c r="K28" s="40" t="s">
        <v>39</v>
      </c>
      <c r="L28" s="109">
        <v>0.2</v>
      </c>
      <c r="M28" s="4">
        <f>J28*L28</f>
        <v>7.1999999999999995E-2</v>
      </c>
      <c r="S28" s="72"/>
    </row>
    <row r="29" spans="2:19" ht="16.5" customHeight="1">
      <c r="B29" s="79"/>
      <c r="C29" s="80"/>
      <c r="D29"/>
      <c r="E29" s="47" t="s">
        <v>17</v>
      </c>
      <c r="F29" s="48">
        <f>F5-F19</f>
        <v>1723.96745037037</v>
      </c>
      <c r="G29" s="49">
        <f>G5-G19</f>
        <v>63.763179671232891</v>
      </c>
      <c r="I29" s="87" t="s">
        <v>76</v>
      </c>
      <c r="J29" s="103">
        <f>1.44+0.35+8.18</f>
        <v>9.9699999999999989</v>
      </c>
      <c r="K29" s="40" t="s">
        <v>65</v>
      </c>
      <c r="L29" s="109">
        <v>0.12</v>
      </c>
      <c r="M29" s="4">
        <f>J29*L29</f>
        <v>1.1963999999999999</v>
      </c>
    </row>
    <row r="30" spans="2:19" ht="16.5" customHeight="1" thickBot="1">
      <c r="B30" s="88"/>
      <c r="C30" s="89"/>
      <c r="D30" s="90"/>
      <c r="E30" s="91" t="s">
        <v>18</v>
      </c>
      <c r="F30" s="92">
        <f>F5-F27</f>
        <v>1535.5207837037033</v>
      </c>
      <c r="G30" s="93">
        <f>G5-G27</f>
        <v>56.793234465753443</v>
      </c>
      <c r="I30" s="40" t="s">
        <v>54</v>
      </c>
      <c r="J30" s="105">
        <v>15</v>
      </c>
      <c r="K30" s="40" t="s">
        <v>61</v>
      </c>
      <c r="L30" s="109">
        <f>20/60</f>
        <v>0.33333333333333331</v>
      </c>
      <c r="M30" s="4">
        <f>J30*L30</f>
        <v>5</v>
      </c>
    </row>
    <row r="31" spans="2:19" ht="16.5" customHeight="1">
      <c r="B31" s="3"/>
      <c r="C31" s="80"/>
      <c r="D31" s="2"/>
      <c r="E31" s="47"/>
      <c r="F31" s="48"/>
      <c r="G31" s="48"/>
      <c r="H31" s="94"/>
      <c r="I31" s="40" t="s">
        <v>37</v>
      </c>
      <c r="J31" s="105">
        <v>11</v>
      </c>
      <c r="K31" s="40" t="s">
        <v>0</v>
      </c>
      <c r="L31" s="109">
        <v>0.6</v>
      </c>
      <c r="M31" s="4">
        <f t="shared" ref="M31:M32" si="6">J31*L31</f>
        <v>6.6</v>
      </c>
      <c r="N31" s="95"/>
      <c r="O31" s="95"/>
      <c r="P31" s="95"/>
    </row>
    <row r="32" spans="2:19" ht="16.5" customHeight="1">
      <c r="I32" s="40" t="s">
        <v>58</v>
      </c>
      <c r="J32" s="105">
        <v>11</v>
      </c>
      <c r="K32" s="40" t="s">
        <v>0</v>
      </c>
      <c r="L32" s="109">
        <v>0.42</v>
      </c>
      <c r="M32" s="4">
        <f t="shared" si="6"/>
        <v>4.62</v>
      </c>
    </row>
    <row r="33" spans="2:15" ht="16.5" hidden="1" customHeight="1">
      <c r="B33" s="1"/>
      <c r="C33" s="1"/>
      <c r="D33" s="1"/>
      <c r="E33" s="96"/>
      <c r="F33" s="96"/>
      <c r="G33" s="96"/>
      <c r="O33" s="97"/>
    </row>
    <row r="34" spans="2:15" ht="16.5" hidden="1" customHeight="1">
      <c r="J34" s="98"/>
    </row>
    <row r="35" spans="2:15" ht="16.5" hidden="1" customHeight="1">
      <c r="L35" s="97"/>
    </row>
    <row r="36" spans="2:15" ht="16.5" hidden="1" customHeight="1">
      <c r="J36" s="99"/>
      <c r="K36" s="99"/>
    </row>
    <row r="37" spans="2:15" ht="16.5" hidden="1" customHeight="1">
      <c r="O37" s="97"/>
    </row>
    <row r="38" spans="2:15" ht="16.5" hidden="1" customHeight="1">
      <c r="L38" s="97"/>
    </row>
    <row r="39" spans="2:15" hidden="1">
      <c r="L39" s="56"/>
    </row>
    <row r="40" spans="2:15" ht="16.5" hidden="1" customHeight="1">
      <c r="L40" s="56"/>
    </row>
    <row r="49" spans="9:15" hidden="1">
      <c r="O49" s="100"/>
    </row>
    <row r="50" spans="9:15" hidden="1">
      <c r="O50" s="100"/>
    </row>
    <row r="51" spans="9:15" hidden="1">
      <c r="I51" s="100"/>
      <c r="J51" s="100"/>
      <c r="K51" s="100"/>
      <c r="M51" s="100"/>
      <c r="O51" s="100"/>
    </row>
    <row r="52" spans="9:15" hidden="1">
      <c r="I52" s="100"/>
      <c r="J52" s="100"/>
      <c r="K52" s="100"/>
      <c r="M52" s="100"/>
      <c r="N52" s="100"/>
    </row>
    <row r="53" spans="9:15" hidden="1">
      <c r="N53" s="100"/>
    </row>
    <row r="54" spans="9:15" hidden="1">
      <c r="N54" s="100"/>
    </row>
    <row r="63" spans="9:15" hidden="1">
      <c r="L63" s="100"/>
    </row>
    <row r="64" spans="9:15" hidden="1">
      <c r="L64" s="100"/>
    </row>
  </sheetData>
  <sheetProtection sheet="1" objects="1" scenarios="1"/>
  <mergeCells count="1">
    <mergeCell ref="B1:F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597D1-FA6B-48FB-A35D-85B2BC314AC3}">
  <dimension ref="A1:S64"/>
  <sheetViews>
    <sheetView topLeftCell="B1" zoomScaleNormal="100" workbookViewId="0">
      <selection activeCell="O24" sqref="O24"/>
    </sheetView>
  </sheetViews>
  <sheetFormatPr defaultColWidth="0" defaultRowHeight="17" zeroHeight="1"/>
  <cols>
    <col min="1" max="1" width="3.1796875" customWidth="1"/>
    <col min="2" max="2" width="45.7265625" style="27" customWidth="1"/>
    <col min="3" max="4" width="11.453125" style="27" customWidth="1"/>
    <col min="5" max="6" width="14.26953125" style="27" customWidth="1"/>
    <col min="7" max="7" width="13" style="27" customWidth="1"/>
    <col min="8" max="8" width="9.1796875" style="27" customWidth="1"/>
    <col min="9" max="9" width="38.1796875" customWidth="1"/>
    <col min="10" max="10" width="10.1796875" customWidth="1"/>
    <col min="11" max="11" width="12.7265625" customWidth="1"/>
    <col min="12" max="13" width="11.7265625" customWidth="1"/>
    <col min="14" max="14" width="10.7265625" customWidth="1"/>
    <col min="15" max="15" width="15" customWidth="1"/>
    <col min="16" max="16" width="14.26953125" customWidth="1"/>
    <col min="17" max="17" width="10.81640625" customWidth="1"/>
    <col min="18" max="18" width="9.1796875" hidden="1" customWidth="1"/>
    <col min="19" max="19" width="23.54296875" hidden="1" customWidth="1"/>
    <col min="20" max="16384" width="9.1796875" hidden="1"/>
  </cols>
  <sheetData>
    <row r="1" spans="2:17" ht="21.5" thickBot="1">
      <c r="B1" s="122" t="s">
        <v>96</v>
      </c>
      <c r="C1" s="123"/>
      <c r="D1" s="123"/>
      <c r="E1" s="123"/>
      <c r="F1" s="123"/>
      <c r="G1" s="26"/>
    </row>
    <row r="2" spans="2:17" ht="16.5" customHeight="1">
      <c r="B2" s="28"/>
      <c r="C2" s="29"/>
      <c r="D2" s="29"/>
      <c r="E2" s="29"/>
      <c r="F2" s="29"/>
      <c r="G2" s="30"/>
      <c r="I2" s="31" t="s">
        <v>55</v>
      </c>
      <c r="J2" s="31"/>
      <c r="K2" s="31"/>
      <c r="L2" s="31"/>
      <c r="M2" s="31"/>
      <c r="N2" s="31"/>
      <c r="O2" s="31"/>
      <c r="P2" s="32"/>
      <c r="Q2" s="32"/>
    </row>
    <row r="3" spans="2:17" ht="16.5" customHeight="1">
      <c r="B3" s="33" t="s">
        <v>4</v>
      </c>
      <c r="C3" s="34" t="s">
        <v>33</v>
      </c>
      <c r="D3" s="34" t="s">
        <v>5</v>
      </c>
      <c r="E3" s="35" t="s">
        <v>38</v>
      </c>
      <c r="F3" s="35" t="s">
        <v>45</v>
      </c>
      <c r="G3" s="36" t="s">
        <v>44</v>
      </c>
      <c r="I3" s="37" t="s">
        <v>21</v>
      </c>
      <c r="J3" s="37" t="s">
        <v>33</v>
      </c>
      <c r="K3" s="37" t="s">
        <v>5</v>
      </c>
      <c r="L3" s="38" t="s">
        <v>38</v>
      </c>
      <c r="M3" s="38" t="s">
        <v>3</v>
      </c>
      <c r="N3" s="38" t="s">
        <v>22</v>
      </c>
      <c r="O3" s="38" t="s">
        <v>23</v>
      </c>
      <c r="P3" s="38" t="s">
        <v>24</v>
      </c>
      <c r="Q3" s="38" t="s">
        <v>25</v>
      </c>
    </row>
    <row r="4" spans="2:17" ht="16.5" customHeight="1">
      <c r="B4" s="39" t="s">
        <v>94</v>
      </c>
      <c r="C4" s="40" t="s">
        <v>39</v>
      </c>
      <c r="D4" s="41">
        <f>(J19*J21*J22)</f>
        <v>1015.6521739130435</v>
      </c>
      <c r="E4" s="101">
        <v>4</v>
      </c>
      <c r="F4" s="42">
        <f>D4*E4</f>
        <v>4062.608695652174</v>
      </c>
      <c r="G4" s="43">
        <f>F4/J21</f>
        <v>128</v>
      </c>
      <c r="I4" s="44"/>
      <c r="J4" s="44"/>
      <c r="K4" s="44"/>
      <c r="L4" s="45" t="s">
        <v>26</v>
      </c>
      <c r="M4" s="31"/>
      <c r="N4" s="46"/>
      <c r="O4" s="45" t="s">
        <v>27</v>
      </c>
      <c r="P4" s="45"/>
      <c r="Q4" s="45"/>
    </row>
    <row r="5" spans="2:17" ht="16.5" customHeight="1">
      <c r="B5" s="39"/>
      <c r="C5" s="1"/>
      <c r="D5" s="2"/>
      <c r="E5" s="47" t="s">
        <v>2</v>
      </c>
      <c r="F5" s="48">
        <f>SUM(F4:F4)</f>
        <v>4062.608695652174</v>
      </c>
      <c r="G5" s="49">
        <f>SUM(G4:G4)</f>
        <v>128</v>
      </c>
      <c r="I5" s="50"/>
      <c r="J5" s="50"/>
      <c r="K5" s="50"/>
      <c r="L5" s="51" t="s">
        <v>28</v>
      </c>
      <c r="M5" s="51" t="s">
        <v>28</v>
      </c>
      <c r="N5" s="51" t="s">
        <v>29</v>
      </c>
      <c r="O5" s="51" t="s">
        <v>30</v>
      </c>
      <c r="P5" s="51" t="s">
        <v>28</v>
      </c>
      <c r="Q5" s="51" t="s">
        <v>28</v>
      </c>
    </row>
    <row r="6" spans="2:17" ht="16.5" customHeight="1">
      <c r="B6" s="52"/>
      <c r="C6" s="53"/>
      <c r="D6" s="53"/>
      <c r="E6" s="53"/>
      <c r="F6" s="53"/>
      <c r="G6" s="54"/>
      <c r="I6" s="104" t="s">
        <v>108</v>
      </c>
      <c r="J6" s="104" t="s">
        <v>0</v>
      </c>
      <c r="K6" s="105">
        <v>20</v>
      </c>
      <c r="L6" s="105">
        <v>10</v>
      </c>
      <c r="M6" s="55">
        <f>K6*L6</f>
        <v>200</v>
      </c>
      <c r="N6" s="106">
        <v>3</v>
      </c>
      <c r="O6" s="5">
        <v>0</v>
      </c>
      <c r="P6" s="56">
        <f>IF(M6&gt;0,(M6-(M6*O6))/N6,"")</f>
        <v>66.666666666666671</v>
      </c>
      <c r="Q6" s="56">
        <f t="shared" ref="Q6:Q13" si="0">IF(M6&gt;0,((M6+M6*O6)/2)*$D$23,"")</f>
        <v>8.5</v>
      </c>
    </row>
    <row r="7" spans="2:17" ht="16.5" customHeight="1">
      <c r="B7" s="33" t="s">
        <v>6</v>
      </c>
      <c r="C7" s="34" t="s">
        <v>33</v>
      </c>
      <c r="D7" s="34" t="s">
        <v>5</v>
      </c>
      <c r="E7" s="35" t="s">
        <v>38</v>
      </c>
      <c r="F7" s="35" t="s">
        <v>45</v>
      </c>
      <c r="G7" s="36" t="s">
        <v>44</v>
      </c>
      <c r="I7" s="104" t="s">
        <v>110</v>
      </c>
      <c r="J7" s="104" t="s">
        <v>0</v>
      </c>
      <c r="K7" s="105">
        <v>1</v>
      </c>
      <c r="L7" s="105">
        <v>150</v>
      </c>
      <c r="M7" s="55">
        <f t="shared" ref="M7:M13" si="1">K7*L7</f>
        <v>150</v>
      </c>
      <c r="N7" s="106">
        <v>10</v>
      </c>
      <c r="O7" s="5">
        <v>0</v>
      </c>
      <c r="P7" s="56">
        <f t="shared" ref="P7:P13" si="2">IF(L7&gt;0,(L7-(L7*O7))/N7,"")</f>
        <v>15</v>
      </c>
      <c r="Q7" s="56">
        <f t="shared" si="0"/>
        <v>6.3750000000000009</v>
      </c>
    </row>
    <row r="8" spans="2:17" ht="16.5" customHeight="1">
      <c r="B8" s="57" t="s">
        <v>35</v>
      </c>
      <c r="C8" s="40" t="s">
        <v>39</v>
      </c>
      <c r="D8" s="55">
        <f>J19*J21*J26</f>
        <v>101.56521739130436</v>
      </c>
      <c r="E8" s="58">
        <f t="shared" ref="E8:E14" si="3">L26</f>
        <v>0.48</v>
      </c>
      <c r="F8" s="56">
        <f t="shared" ref="F8:F14" si="4">D8*E8</f>
        <v>48.751304347826093</v>
      </c>
      <c r="G8" s="59">
        <f t="shared" ref="G8:G18" si="5">F8/$J$21</f>
        <v>1.5360000000000003</v>
      </c>
      <c r="I8" s="104" t="s">
        <v>49</v>
      </c>
      <c r="J8" s="104" t="s">
        <v>0</v>
      </c>
      <c r="K8" s="105">
        <v>4</v>
      </c>
      <c r="L8" s="105">
        <v>225</v>
      </c>
      <c r="M8" s="55">
        <f t="shared" si="1"/>
        <v>900</v>
      </c>
      <c r="N8" s="106">
        <v>10</v>
      </c>
      <c r="O8" s="5">
        <v>0</v>
      </c>
      <c r="P8" s="56">
        <f t="shared" si="2"/>
        <v>22.5</v>
      </c>
      <c r="Q8" s="56">
        <f t="shared" si="0"/>
        <v>38.25</v>
      </c>
    </row>
    <row r="9" spans="2:17" ht="16.5" customHeight="1">
      <c r="B9" s="57" t="s">
        <v>42</v>
      </c>
      <c r="C9" s="40" t="s">
        <v>57</v>
      </c>
      <c r="D9" s="55">
        <f>J19*J21*J27</f>
        <v>380.86956521739131</v>
      </c>
      <c r="E9" s="58">
        <f t="shared" si="3"/>
        <v>1</v>
      </c>
      <c r="F9" s="56">
        <f t="shared" si="4"/>
        <v>380.86956521739131</v>
      </c>
      <c r="G9" s="59">
        <f t="shared" si="5"/>
        <v>12</v>
      </c>
      <c r="I9" s="104" t="s">
        <v>68</v>
      </c>
      <c r="J9" s="104" t="s">
        <v>0</v>
      </c>
      <c r="K9" s="105">
        <v>4</v>
      </c>
      <c r="L9" s="105">
        <v>55</v>
      </c>
      <c r="M9" s="55">
        <f t="shared" si="1"/>
        <v>220</v>
      </c>
      <c r="N9" s="106">
        <v>10</v>
      </c>
      <c r="O9" s="5">
        <v>0</v>
      </c>
      <c r="P9" s="56">
        <f t="shared" si="2"/>
        <v>5.5</v>
      </c>
      <c r="Q9" s="56">
        <f t="shared" si="0"/>
        <v>9.3500000000000014</v>
      </c>
    </row>
    <row r="10" spans="2:17" ht="16.5" customHeight="1">
      <c r="B10" s="57" t="s">
        <v>62</v>
      </c>
      <c r="C10" s="40" t="s">
        <v>39</v>
      </c>
      <c r="D10" s="55">
        <f>J19*J21*J28</f>
        <v>45.704347826086959</v>
      </c>
      <c r="E10" s="58">
        <f t="shared" si="3"/>
        <v>0.2</v>
      </c>
      <c r="F10" s="56">
        <f t="shared" si="4"/>
        <v>9.1408695652173915</v>
      </c>
      <c r="G10" s="59">
        <f t="shared" si="5"/>
        <v>0.28799999999999998</v>
      </c>
      <c r="I10" s="104" t="s">
        <v>50</v>
      </c>
      <c r="J10" s="104" t="s">
        <v>0</v>
      </c>
      <c r="K10" s="105">
        <v>1</v>
      </c>
      <c r="L10" s="105">
        <v>30</v>
      </c>
      <c r="M10" s="55">
        <f t="shared" si="1"/>
        <v>30</v>
      </c>
      <c r="N10" s="106">
        <v>10</v>
      </c>
      <c r="O10" s="5">
        <v>0</v>
      </c>
      <c r="P10" s="56">
        <f t="shared" si="2"/>
        <v>3</v>
      </c>
      <c r="Q10" s="56">
        <f t="shared" si="0"/>
        <v>1.2750000000000001</v>
      </c>
    </row>
    <row r="11" spans="2:17" ht="16.5" customHeight="1">
      <c r="B11" s="57" t="s">
        <v>64</v>
      </c>
      <c r="C11" s="40" t="s">
        <v>65</v>
      </c>
      <c r="D11" s="55">
        <f>J19*J21*J29</f>
        <v>1265.7565217391302</v>
      </c>
      <c r="E11" s="58">
        <f t="shared" si="3"/>
        <v>0.12</v>
      </c>
      <c r="F11" s="56">
        <f t="shared" si="4"/>
        <v>151.89078260869562</v>
      </c>
      <c r="G11" s="59">
        <f t="shared" si="5"/>
        <v>4.7855999999999987</v>
      </c>
      <c r="I11" s="104" t="s">
        <v>69</v>
      </c>
      <c r="J11" s="104" t="s">
        <v>0</v>
      </c>
      <c r="K11" s="105">
        <v>1</v>
      </c>
      <c r="L11" s="105">
        <v>2500</v>
      </c>
      <c r="M11" s="55">
        <f t="shared" si="1"/>
        <v>2500</v>
      </c>
      <c r="N11" s="106">
        <v>10</v>
      </c>
      <c r="O11" s="5">
        <v>0</v>
      </c>
      <c r="P11" s="56">
        <f t="shared" si="2"/>
        <v>250</v>
      </c>
      <c r="Q11" s="56">
        <f t="shared" si="0"/>
        <v>106.25000000000001</v>
      </c>
    </row>
    <row r="12" spans="2:17" ht="16.5" customHeight="1">
      <c r="B12" s="57" t="s">
        <v>1</v>
      </c>
      <c r="C12" s="40" t="s">
        <v>61</v>
      </c>
      <c r="D12" s="55">
        <f>J19*J21*J30</f>
        <v>1904.3478260869565</v>
      </c>
      <c r="E12" s="58">
        <f t="shared" si="3"/>
        <v>0.33333333333333331</v>
      </c>
      <c r="F12" s="56">
        <f t="shared" si="4"/>
        <v>634.78260869565213</v>
      </c>
      <c r="G12" s="59">
        <f t="shared" si="5"/>
        <v>19.999999999999996</v>
      </c>
      <c r="I12" s="104" t="s">
        <v>111</v>
      </c>
      <c r="J12" s="104" t="s">
        <v>109</v>
      </c>
      <c r="K12" s="105">
        <v>8</v>
      </c>
      <c r="L12" s="105">
        <v>48</v>
      </c>
      <c r="M12" s="55">
        <f t="shared" si="1"/>
        <v>384</v>
      </c>
      <c r="N12" s="106">
        <v>10</v>
      </c>
      <c r="O12" s="5">
        <v>0</v>
      </c>
      <c r="P12" s="56">
        <f t="shared" si="2"/>
        <v>4.8</v>
      </c>
      <c r="Q12" s="56">
        <f t="shared" si="0"/>
        <v>16.32</v>
      </c>
    </row>
    <row r="13" spans="2:17" ht="16.5" customHeight="1">
      <c r="B13" s="57" t="s">
        <v>43</v>
      </c>
      <c r="C13" s="40" t="s">
        <v>0</v>
      </c>
      <c r="D13" s="55">
        <f>J31*J21*J19</f>
        <v>1015.6521739130435</v>
      </c>
      <c r="E13" s="58">
        <f t="shared" si="3"/>
        <v>0.6</v>
      </c>
      <c r="F13" s="56">
        <f t="shared" si="4"/>
        <v>609.39130434782612</v>
      </c>
      <c r="G13" s="59">
        <f t="shared" si="5"/>
        <v>19.2</v>
      </c>
      <c r="I13" s="104" t="s">
        <v>67</v>
      </c>
      <c r="J13" s="104" t="s">
        <v>0</v>
      </c>
      <c r="K13" s="105">
        <v>0</v>
      </c>
      <c r="L13" s="105">
        <v>0</v>
      </c>
      <c r="M13" s="60">
        <f t="shared" si="1"/>
        <v>0</v>
      </c>
      <c r="N13" s="106">
        <v>10</v>
      </c>
      <c r="O13" s="5">
        <v>0</v>
      </c>
      <c r="P13" s="61" t="str">
        <f t="shared" si="2"/>
        <v/>
      </c>
      <c r="Q13" s="61" t="str">
        <f t="shared" si="0"/>
        <v/>
      </c>
    </row>
    <row r="14" spans="2:17" ht="16.5" customHeight="1">
      <c r="B14" s="57" t="s">
        <v>60</v>
      </c>
      <c r="C14" s="40" t="s">
        <v>0</v>
      </c>
      <c r="D14" s="55">
        <f>J32*J21*J19</f>
        <v>1015.6521739130435</v>
      </c>
      <c r="E14" s="58">
        <f t="shared" si="3"/>
        <v>0.42</v>
      </c>
      <c r="F14" s="56">
        <f t="shared" si="4"/>
        <v>426.57391304347823</v>
      </c>
      <c r="G14" s="59">
        <f t="shared" si="5"/>
        <v>13.44</v>
      </c>
      <c r="L14" s="25" t="s">
        <v>3</v>
      </c>
      <c r="M14" s="55">
        <f>SUM(M6:M13)</f>
        <v>4384</v>
      </c>
      <c r="N14" s="55"/>
      <c r="O14" s="55"/>
      <c r="P14" s="56">
        <f>SUM(P6:P13)</f>
        <v>367.4666666666667</v>
      </c>
      <c r="Q14" s="56">
        <f>SUM(Q6:Q13)</f>
        <v>186.32</v>
      </c>
    </row>
    <row r="15" spans="2:17" ht="16.5" customHeight="1">
      <c r="B15" s="57" t="s">
        <v>7</v>
      </c>
      <c r="C15" s="62" t="s">
        <v>8</v>
      </c>
      <c r="D15" s="102">
        <v>0.15</v>
      </c>
      <c r="E15" s="58"/>
      <c r="F15" s="56">
        <f>F4*D15</f>
        <v>609.39130434782612</v>
      </c>
      <c r="G15" s="59">
        <f t="shared" si="5"/>
        <v>19.2</v>
      </c>
      <c r="I15" s="63" t="s">
        <v>70</v>
      </c>
      <c r="K15" s="107">
        <v>0.25</v>
      </c>
      <c r="L15" s="55"/>
      <c r="M15" s="55"/>
      <c r="N15" s="2"/>
      <c r="O15" s="2"/>
    </row>
    <row r="16" spans="2:17" ht="16.5" customHeight="1">
      <c r="B16" s="57" t="s">
        <v>31</v>
      </c>
      <c r="C16" s="62" t="s">
        <v>32</v>
      </c>
      <c r="D16" s="5">
        <v>0.01</v>
      </c>
      <c r="E16" s="58"/>
      <c r="F16" s="56">
        <f>M14*D16</f>
        <v>43.84</v>
      </c>
      <c r="G16" s="59">
        <f t="shared" si="5"/>
        <v>1.3812602739726028</v>
      </c>
      <c r="I16" s="2"/>
      <c r="J16" s="2"/>
      <c r="K16" s="2"/>
      <c r="L16" s="2"/>
      <c r="M16" s="2"/>
      <c r="N16" s="2"/>
      <c r="O16" s="2"/>
    </row>
    <row r="17" spans="2:19" ht="16.5" customHeight="1">
      <c r="B17" s="57" t="s">
        <v>9</v>
      </c>
      <c r="C17" s="62"/>
      <c r="D17" s="64"/>
      <c r="E17" s="58"/>
      <c r="F17" s="103">
        <v>0</v>
      </c>
      <c r="G17" s="59">
        <f t="shared" si="5"/>
        <v>0</v>
      </c>
      <c r="I17" s="31" t="s">
        <v>56</v>
      </c>
      <c r="J17" s="32"/>
      <c r="K17" s="32"/>
      <c r="L17" s="2"/>
    </row>
    <row r="18" spans="2:19" ht="16.5" customHeight="1">
      <c r="B18" s="57" t="s">
        <v>11</v>
      </c>
      <c r="C18" s="62" t="s">
        <v>10</v>
      </c>
      <c r="D18" s="5">
        <v>8.5000000000000006E-2</v>
      </c>
      <c r="E18" s="58"/>
      <c r="F18" s="61">
        <f>SUM(F8:F17)*D18*(6/12)</f>
        <v>123.8718452173913</v>
      </c>
      <c r="G18" s="65">
        <f t="shared" si="5"/>
        <v>3.9028115616438352</v>
      </c>
      <c r="I18" s="66" t="s">
        <v>34</v>
      </c>
      <c r="J18" s="67" t="s">
        <v>5</v>
      </c>
      <c r="K18" s="68" t="s">
        <v>33</v>
      </c>
    </row>
    <row r="19" spans="2:19" ht="16.5" customHeight="1">
      <c r="B19" s="69"/>
      <c r="C19" s="62"/>
      <c r="D19" s="2"/>
      <c r="E19" s="70" t="s">
        <v>12</v>
      </c>
      <c r="F19" s="48">
        <f>SUM(F8:F18)</f>
        <v>3038.5034973913039</v>
      </c>
      <c r="G19" s="49">
        <f>SUM(G8:G18)</f>
        <v>95.733671835616434</v>
      </c>
      <c r="I19" s="40" t="s">
        <v>46</v>
      </c>
      <c r="J19" s="105">
        <v>4</v>
      </c>
      <c r="K19" s="40" t="s">
        <v>47</v>
      </c>
    </row>
    <row r="20" spans="2:19" ht="16.5" customHeight="1">
      <c r="B20" s="69"/>
      <c r="C20" s="62"/>
      <c r="D20" s="2"/>
      <c r="E20" s="70"/>
      <c r="F20" s="48"/>
      <c r="G20" s="71"/>
      <c r="I20" s="40" t="s">
        <v>48</v>
      </c>
      <c r="J20" s="108">
        <v>11.5</v>
      </c>
      <c r="K20" s="40" t="s">
        <v>36</v>
      </c>
      <c r="S20" s="72"/>
    </row>
    <row r="21" spans="2:19" ht="16.5" customHeight="1">
      <c r="B21" s="73" t="s">
        <v>13</v>
      </c>
      <c r="C21" s="74" t="s">
        <v>33</v>
      </c>
      <c r="D21" s="75" t="s">
        <v>5</v>
      </c>
      <c r="E21" s="35" t="s">
        <v>38</v>
      </c>
      <c r="F21" s="35" t="s">
        <v>45</v>
      </c>
      <c r="G21" s="36" t="s">
        <v>44</v>
      </c>
      <c r="I21" s="40" t="s">
        <v>40</v>
      </c>
      <c r="J21" s="55">
        <f>365/J20</f>
        <v>31.739130434782609</v>
      </c>
      <c r="K21" s="40" t="s">
        <v>41</v>
      </c>
    </row>
    <row r="22" spans="2:19" ht="16.5" customHeight="1">
      <c r="B22" s="76" t="s">
        <v>19</v>
      </c>
      <c r="C22" s="62"/>
      <c r="D22" s="77"/>
      <c r="E22" s="78"/>
      <c r="F22" s="56">
        <f>P14*K15</f>
        <v>91.866666666666674</v>
      </c>
      <c r="G22" s="59">
        <f>F22/$J$21</f>
        <v>2.8944292237442926</v>
      </c>
      <c r="I22" s="40" t="s">
        <v>63</v>
      </c>
      <c r="J22" s="108">
        <v>8</v>
      </c>
      <c r="K22" s="40" t="s">
        <v>39</v>
      </c>
    </row>
    <row r="23" spans="2:19" ht="16.5" customHeight="1">
      <c r="B23" s="76" t="s">
        <v>20</v>
      </c>
      <c r="C23" s="62" t="s">
        <v>10</v>
      </c>
      <c r="D23" s="5">
        <v>8.5000000000000006E-2</v>
      </c>
      <c r="E23" s="78"/>
      <c r="F23" s="56">
        <f>Q14*K15</f>
        <v>46.58</v>
      </c>
      <c r="G23" s="59">
        <f>F23/$J$21</f>
        <v>1.4675890410958903</v>
      </c>
      <c r="L23" s="2"/>
    </row>
    <row r="24" spans="2:19" ht="16.5" customHeight="1">
      <c r="B24" s="76" t="s">
        <v>14</v>
      </c>
      <c r="C24" s="62"/>
      <c r="D24" s="77"/>
      <c r="E24" s="78"/>
      <c r="F24" s="6">
        <v>50</v>
      </c>
      <c r="G24" s="65">
        <f>F24/$J$21</f>
        <v>1.5753424657534247</v>
      </c>
      <c r="I24" s="31" t="s">
        <v>51</v>
      </c>
      <c r="J24" s="32"/>
      <c r="K24" s="32"/>
      <c r="L24" s="32"/>
      <c r="M24" s="32"/>
    </row>
    <row r="25" spans="2:19" ht="16.5" customHeight="1">
      <c r="B25" s="79"/>
      <c r="C25" s="80"/>
      <c r="D25" s="2"/>
      <c r="E25" s="47" t="s">
        <v>15</v>
      </c>
      <c r="F25" s="48">
        <f>SUM(F22:F24)</f>
        <v>188.44666666666666</v>
      </c>
      <c r="G25" s="49">
        <f>SUM(G22:G24)</f>
        <v>5.9373607305936069</v>
      </c>
      <c r="I25" s="66" t="s">
        <v>34</v>
      </c>
      <c r="J25" s="67" t="s">
        <v>5</v>
      </c>
      <c r="K25" s="68" t="s">
        <v>33</v>
      </c>
      <c r="L25" s="68" t="s">
        <v>52</v>
      </c>
      <c r="M25" s="68" t="s">
        <v>53</v>
      </c>
    </row>
    <row r="26" spans="2:19" ht="16.5" customHeight="1">
      <c r="B26" s="79"/>
      <c r="C26" s="80"/>
      <c r="D26" s="2"/>
      <c r="E26" s="47"/>
      <c r="F26" s="48"/>
      <c r="G26" s="81"/>
      <c r="I26" s="40" t="s">
        <v>35</v>
      </c>
      <c r="J26" s="108">
        <v>0.8</v>
      </c>
      <c r="K26" s="40" t="s">
        <v>39</v>
      </c>
      <c r="L26" s="109">
        <v>0.48</v>
      </c>
      <c r="M26" s="4">
        <f>J26*L26</f>
        <v>0.38400000000000001</v>
      </c>
    </row>
    <row r="27" spans="2:19" ht="16.5" customHeight="1">
      <c r="B27" s="79"/>
      <c r="C27" s="80"/>
      <c r="D27" s="2"/>
      <c r="E27" s="47" t="s">
        <v>16</v>
      </c>
      <c r="F27" s="48">
        <f>F19+F25</f>
        <v>3226.9501640579706</v>
      </c>
      <c r="G27" s="49">
        <f>G19+G25</f>
        <v>101.67103256621004</v>
      </c>
      <c r="I27" s="40" t="s">
        <v>42</v>
      </c>
      <c r="J27" s="105">
        <v>3</v>
      </c>
      <c r="K27" s="40" t="s">
        <v>57</v>
      </c>
      <c r="L27" s="109">
        <v>1</v>
      </c>
      <c r="M27" s="4">
        <f>J27*L27</f>
        <v>3</v>
      </c>
    </row>
    <row r="28" spans="2:19" ht="16.5" customHeight="1">
      <c r="B28" s="82"/>
      <c r="C28" s="83"/>
      <c r="D28" s="31"/>
      <c r="E28" s="84"/>
      <c r="F28" s="85"/>
      <c r="G28" s="86"/>
      <c r="I28" s="40" t="s">
        <v>62</v>
      </c>
      <c r="J28" s="103">
        <v>0.36</v>
      </c>
      <c r="K28" s="40" t="s">
        <v>39</v>
      </c>
      <c r="L28" s="109">
        <v>0.2</v>
      </c>
      <c r="M28" s="4">
        <f>J28*L28</f>
        <v>7.1999999999999995E-2</v>
      </c>
      <c r="S28" s="72"/>
    </row>
    <row r="29" spans="2:19" ht="16.5" customHeight="1">
      <c r="B29" s="79"/>
      <c r="C29" s="80"/>
      <c r="D29"/>
      <c r="E29" s="47" t="s">
        <v>17</v>
      </c>
      <c r="F29" s="48">
        <f>F5-F19</f>
        <v>1024.1051982608701</v>
      </c>
      <c r="G29" s="49">
        <f>G5-G19</f>
        <v>32.266328164383566</v>
      </c>
      <c r="I29" s="87" t="s">
        <v>76</v>
      </c>
      <c r="J29" s="103">
        <f>1.44+0.35+8.18</f>
        <v>9.9699999999999989</v>
      </c>
      <c r="K29" s="40" t="s">
        <v>65</v>
      </c>
      <c r="L29" s="109">
        <v>0.12</v>
      </c>
      <c r="M29" s="4">
        <f>J29*L29</f>
        <v>1.1963999999999999</v>
      </c>
    </row>
    <row r="30" spans="2:19" ht="16.5" customHeight="1" thickBot="1">
      <c r="B30" s="88"/>
      <c r="C30" s="89"/>
      <c r="D30" s="90"/>
      <c r="E30" s="91" t="s">
        <v>18</v>
      </c>
      <c r="F30" s="92">
        <f>F5-F27</f>
        <v>835.6585315942034</v>
      </c>
      <c r="G30" s="93">
        <f>G5-G27</f>
        <v>26.328967433789956</v>
      </c>
      <c r="I30" s="40" t="s">
        <v>54</v>
      </c>
      <c r="J30" s="105">
        <v>15</v>
      </c>
      <c r="K30" s="40" t="s">
        <v>61</v>
      </c>
      <c r="L30" s="109">
        <f>20/60</f>
        <v>0.33333333333333331</v>
      </c>
      <c r="M30" s="4">
        <f>J30*L30</f>
        <v>5</v>
      </c>
    </row>
    <row r="31" spans="2:19" ht="16.5" customHeight="1">
      <c r="B31" s="3"/>
      <c r="C31" s="80"/>
      <c r="D31" s="2"/>
      <c r="E31" s="47"/>
      <c r="F31" s="48"/>
      <c r="G31" s="48"/>
      <c r="H31" s="94"/>
      <c r="I31" s="40" t="s">
        <v>37</v>
      </c>
      <c r="J31" s="105">
        <v>8</v>
      </c>
      <c r="K31" s="40" t="s">
        <v>0</v>
      </c>
      <c r="L31" s="109">
        <v>0.6</v>
      </c>
      <c r="M31" s="4">
        <f t="shared" ref="M31:M32" si="6">J31*L31</f>
        <v>4.8</v>
      </c>
      <c r="N31" s="95"/>
      <c r="O31" s="95"/>
      <c r="P31" s="95"/>
    </row>
    <row r="32" spans="2:19" ht="16.5" customHeight="1">
      <c r="I32" s="40" t="s">
        <v>58</v>
      </c>
      <c r="J32" s="105">
        <v>8</v>
      </c>
      <c r="K32" s="40" t="s">
        <v>0</v>
      </c>
      <c r="L32" s="109">
        <v>0.42</v>
      </c>
      <c r="M32" s="4">
        <f t="shared" si="6"/>
        <v>3.36</v>
      </c>
    </row>
    <row r="33" spans="2:15" ht="16.5" hidden="1" customHeight="1">
      <c r="B33" s="1"/>
      <c r="C33" s="1"/>
      <c r="D33" s="1"/>
      <c r="E33" s="96"/>
      <c r="F33" s="96"/>
      <c r="G33" s="96"/>
      <c r="O33" s="97"/>
    </row>
    <row r="34" spans="2:15" ht="16.5" hidden="1" customHeight="1">
      <c r="J34" s="98"/>
    </row>
    <row r="35" spans="2:15" ht="16.5" hidden="1" customHeight="1">
      <c r="L35" s="97"/>
    </row>
    <row r="36" spans="2:15" ht="16.5" hidden="1" customHeight="1">
      <c r="J36" s="99"/>
      <c r="K36" s="99"/>
    </row>
    <row r="37" spans="2:15" ht="16.5" hidden="1" customHeight="1">
      <c r="O37" s="97"/>
    </row>
    <row r="38" spans="2:15" ht="16.5" hidden="1" customHeight="1">
      <c r="L38" s="97"/>
    </row>
    <row r="39" spans="2:15" hidden="1">
      <c r="L39" s="56"/>
    </row>
    <row r="40" spans="2:15" ht="16.5" hidden="1" customHeight="1">
      <c r="L40" s="56"/>
    </row>
    <row r="49" spans="9:15" hidden="1">
      <c r="O49" s="100"/>
    </row>
    <row r="50" spans="9:15" hidden="1">
      <c r="O50" s="100"/>
    </row>
    <row r="51" spans="9:15" hidden="1">
      <c r="I51" s="100"/>
      <c r="J51" s="100"/>
      <c r="K51" s="100"/>
      <c r="M51" s="100"/>
      <c r="O51" s="100"/>
    </row>
    <row r="52" spans="9:15" hidden="1">
      <c r="I52" s="100"/>
      <c r="J52" s="100"/>
      <c r="K52" s="100"/>
      <c r="M52" s="100"/>
      <c r="N52" s="100"/>
    </row>
    <row r="53" spans="9:15" hidden="1">
      <c r="N53" s="100"/>
    </row>
    <row r="54" spans="9:15" hidden="1">
      <c r="N54" s="100"/>
    </row>
    <row r="63" spans="9:15" hidden="1">
      <c r="L63" s="100"/>
    </row>
    <row r="64" spans="9:15" hidden="1">
      <c r="L64" s="100"/>
    </row>
  </sheetData>
  <sheetProtection sheet="1" objects="1" scenarios="1"/>
  <mergeCells count="1">
    <mergeCell ref="B1:F1"/>
  </mergeCells>
  <pageMargins left="0.7" right="0.7" top="0.75" bottom="0.75" header="0.3" footer="0.3"/>
  <pageSetup orientation="portrait" r:id="rId1"/>
  <ignoredErrors>
    <ignoredError sqref="J29 L3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6E043-861C-40DE-A642-EBBFAA4AC9D8}">
  <dimension ref="A1:S64"/>
  <sheetViews>
    <sheetView topLeftCell="A10" zoomScaleNormal="100" workbookViewId="0">
      <selection activeCell="D4" sqref="D4"/>
    </sheetView>
  </sheetViews>
  <sheetFormatPr defaultColWidth="0" defaultRowHeight="17" zeroHeight="1"/>
  <cols>
    <col min="1" max="1" width="3.1796875" customWidth="1"/>
    <col min="2" max="2" width="45.7265625" style="27" customWidth="1"/>
    <col min="3" max="4" width="11.453125" style="27" customWidth="1"/>
    <col min="5" max="6" width="14.26953125" style="27" customWidth="1"/>
    <col min="7" max="7" width="13" style="27" customWidth="1"/>
    <col min="8" max="8" width="9.1796875" style="27" customWidth="1"/>
    <col min="9" max="9" width="26.1796875" customWidth="1"/>
    <col min="10" max="10" width="10.1796875" customWidth="1"/>
    <col min="11" max="11" width="12.7265625" customWidth="1"/>
    <col min="12" max="13" width="11.7265625" customWidth="1"/>
    <col min="14" max="14" width="10.7265625" customWidth="1"/>
    <col min="15" max="15" width="15" customWidth="1"/>
    <col min="16" max="16" width="14.26953125" customWidth="1"/>
    <col min="17" max="17" width="10.81640625" customWidth="1"/>
    <col min="18" max="18" width="9.1796875" hidden="1" customWidth="1"/>
    <col min="19" max="19" width="23.54296875" hidden="1" customWidth="1"/>
    <col min="20" max="16384" width="9.1796875" hidden="1"/>
  </cols>
  <sheetData>
    <row r="1" spans="2:17" ht="21.5" thickBot="1">
      <c r="B1" s="122" t="s">
        <v>73</v>
      </c>
      <c r="C1" s="123"/>
      <c r="D1" s="123"/>
      <c r="E1" s="123"/>
      <c r="F1" s="123"/>
      <c r="G1" s="26"/>
    </row>
    <row r="2" spans="2:17" ht="16.5" customHeight="1">
      <c r="B2" s="28"/>
      <c r="C2" s="29"/>
      <c r="D2" s="29"/>
      <c r="E2" s="29"/>
      <c r="F2" s="29"/>
      <c r="G2" s="30"/>
      <c r="I2" s="31" t="s">
        <v>55</v>
      </c>
      <c r="J2" s="31"/>
      <c r="K2" s="31"/>
      <c r="L2" s="31"/>
      <c r="M2" s="31"/>
      <c r="N2" s="31"/>
      <c r="O2" s="31"/>
      <c r="P2" s="32"/>
      <c r="Q2" s="32"/>
    </row>
    <row r="3" spans="2:17" ht="16.5" customHeight="1">
      <c r="B3" s="33" t="s">
        <v>4</v>
      </c>
      <c r="C3" s="34" t="s">
        <v>33</v>
      </c>
      <c r="D3" s="34" t="s">
        <v>5</v>
      </c>
      <c r="E3" s="35" t="s">
        <v>38</v>
      </c>
      <c r="F3" s="35" t="s">
        <v>45</v>
      </c>
      <c r="G3" s="36" t="s">
        <v>44</v>
      </c>
      <c r="I3" s="37" t="s">
        <v>21</v>
      </c>
      <c r="J3" s="37" t="s">
        <v>33</v>
      </c>
      <c r="K3" s="37" t="s">
        <v>5</v>
      </c>
      <c r="L3" s="38" t="s">
        <v>38</v>
      </c>
      <c r="M3" s="38" t="s">
        <v>3</v>
      </c>
      <c r="N3" s="38" t="s">
        <v>22</v>
      </c>
      <c r="O3" s="38" t="s">
        <v>23</v>
      </c>
      <c r="P3" s="38" t="s">
        <v>24</v>
      </c>
      <c r="Q3" s="38" t="s">
        <v>25</v>
      </c>
    </row>
    <row r="4" spans="2:17" ht="16.5" customHeight="1">
      <c r="B4" s="39" t="s">
        <v>72</v>
      </c>
      <c r="C4" s="40" t="s">
        <v>39</v>
      </c>
      <c r="D4" s="41">
        <f>(J19*J21*J22)</f>
        <v>1343.2</v>
      </c>
      <c r="E4" s="101">
        <v>4</v>
      </c>
      <c r="F4" s="42">
        <f>D4*E4</f>
        <v>5372.8</v>
      </c>
      <c r="G4" s="43">
        <f>F4/J21</f>
        <v>184</v>
      </c>
      <c r="I4" s="44"/>
      <c r="J4" s="44"/>
      <c r="K4" s="44"/>
      <c r="L4" s="45" t="s">
        <v>26</v>
      </c>
      <c r="M4" s="31"/>
      <c r="N4" s="46"/>
      <c r="O4" s="45" t="s">
        <v>27</v>
      </c>
      <c r="P4" s="45"/>
      <c r="Q4" s="45"/>
    </row>
    <row r="5" spans="2:17" ht="16.5" customHeight="1">
      <c r="B5" s="39"/>
      <c r="C5" s="1"/>
      <c r="D5" s="2"/>
      <c r="E5" s="47" t="s">
        <v>2</v>
      </c>
      <c r="F5" s="48">
        <f>SUM(F4:F4)</f>
        <v>5372.8</v>
      </c>
      <c r="G5" s="49">
        <f>SUM(G4:G4)</f>
        <v>184</v>
      </c>
      <c r="I5" s="50"/>
      <c r="J5" s="50"/>
      <c r="K5" s="50"/>
      <c r="L5" s="51" t="s">
        <v>28</v>
      </c>
      <c r="M5" s="51" t="s">
        <v>28</v>
      </c>
      <c r="N5" s="51" t="s">
        <v>29</v>
      </c>
      <c r="O5" s="51" t="s">
        <v>30</v>
      </c>
      <c r="P5" s="51" t="s">
        <v>28</v>
      </c>
      <c r="Q5" s="51" t="s">
        <v>28</v>
      </c>
    </row>
    <row r="6" spans="2:17" ht="16.5" customHeight="1">
      <c r="B6" s="52"/>
      <c r="C6" s="53"/>
      <c r="D6" s="53"/>
      <c r="E6" s="53"/>
      <c r="F6" s="53"/>
      <c r="G6" s="54"/>
      <c r="I6" s="104" t="s">
        <v>108</v>
      </c>
      <c r="J6" s="104" t="s">
        <v>0</v>
      </c>
      <c r="K6" s="105">
        <v>20</v>
      </c>
      <c r="L6" s="105">
        <v>10</v>
      </c>
      <c r="M6" s="55">
        <f>K6*L6</f>
        <v>200</v>
      </c>
      <c r="N6" s="106">
        <v>3</v>
      </c>
      <c r="O6" s="5">
        <v>0</v>
      </c>
      <c r="P6" s="56">
        <f>IF(M6&gt;0,(M6-(M6*O6))/N6,"")</f>
        <v>66.666666666666671</v>
      </c>
      <c r="Q6" s="56">
        <f t="shared" ref="Q6:Q13" si="0">IF(M6&gt;0,((M6+M6*O6)/2)*$D$23,"")</f>
        <v>8.5</v>
      </c>
    </row>
    <row r="7" spans="2:17" ht="16.5" customHeight="1">
      <c r="B7" s="33" t="s">
        <v>6</v>
      </c>
      <c r="C7" s="34" t="s">
        <v>33</v>
      </c>
      <c r="D7" s="34" t="s">
        <v>5</v>
      </c>
      <c r="E7" s="35" t="s">
        <v>38</v>
      </c>
      <c r="F7" s="35" t="s">
        <v>45</v>
      </c>
      <c r="G7" s="36" t="s">
        <v>44</v>
      </c>
      <c r="I7" s="104" t="s">
        <v>66</v>
      </c>
      <c r="J7" s="104" t="s">
        <v>0</v>
      </c>
      <c r="K7" s="105">
        <v>1</v>
      </c>
      <c r="L7" s="105">
        <v>150</v>
      </c>
      <c r="M7" s="55">
        <f t="shared" ref="M7:M13" si="1">K7*L7</f>
        <v>150</v>
      </c>
      <c r="N7" s="106">
        <v>10</v>
      </c>
      <c r="O7" s="5">
        <v>0</v>
      </c>
      <c r="P7" s="56">
        <f t="shared" ref="P7:P13" si="2">IF(L7&gt;0,(L7-(L7*O7))/N7,"")</f>
        <v>15</v>
      </c>
      <c r="Q7" s="56">
        <f t="shared" si="0"/>
        <v>6.3750000000000009</v>
      </c>
    </row>
    <row r="8" spans="2:17" ht="16.5" customHeight="1">
      <c r="B8" s="57" t="s">
        <v>35</v>
      </c>
      <c r="C8" s="40" t="s">
        <v>39</v>
      </c>
      <c r="D8" s="55">
        <f>J19*J21*J26</f>
        <v>46.72</v>
      </c>
      <c r="E8" s="58">
        <f t="shared" ref="E8:E14" si="3">L26</f>
        <v>2.6</v>
      </c>
      <c r="F8" s="56">
        <f t="shared" ref="F8:F14" si="4">D8*E8</f>
        <v>121.47199999999999</v>
      </c>
      <c r="G8" s="59">
        <f t="shared" ref="G8:G18" si="5">F8/$J$21</f>
        <v>4.16</v>
      </c>
      <c r="I8" s="104" t="s">
        <v>49</v>
      </c>
      <c r="J8" s="104" t="s">
        <v>0</v>
      </c>
      <c r="K8" s="105">
        <v>4</v>
      </c>
      <c r="L8" s="105">
        <v>225</v>
      </c>
      <c r="M8" s="55">
        <f t="shared" si="1"/>
        <v>900</v>
      </c>
      <c r="N8" s="106">
        <v>10</v>
      </c>
      <c r="O8" s="5">
        <v>0</v>
      </c>
      <c r="P8" s="56">
        <f t="shared" si="2"/>
        <v>22.5</v>
      </c>
      <c r="Q8" s="56">
        <f t="shared" si="0"/>
        <v>38.25</v>
      </c>
    </row>
    <row r="9" spans="2:17" ht="16.5" customHeight="1">
      <c r="B9" s="57" t="s">
        <v>42</v>
      </c>
      <c r="C9" s="40" t="s">
        <v>57</v>
      </c>
      <c r="D9" s="55">
        <f>J19*J21*J27</f>
        <v>350.4</v>
      </c>
      <c r="E9" s="58">
        <f t="shared" si="3"/>
        <v>1</v>
      </c>
      <c r="F9" s="56">
        <f t="shared" si="4"/>
        <v>350.4</v>
      </c>
      <c r="G9" s="59">
        <f t="shared" si="5"/>
        <v>12</v>
      </c>
      <c r="I9" s="104" t="s">
        <v>68</v>
      </c>
      <c r="J9" s="104" t="s">
        <v>0</v>
      </c>
      <c r="K9" s="105">
        <v>4</v>
      </c>
      <c r="L9" s="105">
        <v>55</v>
      </c>
      <c r="M9" s="55">
        <f t="shared" si="1"/>
        <v>220</v>
      </c>
      <c r="N9" s="106">
        <v>10</v>
      </c>
      <c r="O9" s="5">
        <v>0</v>
      </c>
      <c r="P9" s="56">
        <f t="shared" si="2"/>
        <v>5.5</v>
      </c>
      <c r="Q9" s="56">
        <f t="shared" si="0"/>
        <v>9.3500000000000014</v>
      </c>
    </row>
    <row r="10" spans="2:17" ht="16.5" customHeight="1">
      <c r="B10" s="57" t="s">
        <v>62</v>
      </c>
      <c r="C10" s="40" t="s">
        <v>39</v>
      </c>
      <c r="D10" s="55">
        <f>J19*J21*J28</f>
        <v>42.047999999999995</v>
      </c>
      <c r="E10" s="58">
        <f t="shared" si="3"/>
        <v>0.2</v>
      </c>
      <c r="F10" s="56">
        <f t="shared" si="4"/>
        <v>8.4095999999999993</v>
      </c>
      <c r="G10" s="59">
        <f t="shared" si="5"/>
        <v>0.28799999999999998</v>
      </c>
      <c r="I10" s="104" t="s">
        <v>50</v>
      </c>
      <c r="J10" s="104" t="s">
        <v>0</v>
      </c>
      <c r="K10" s="105">
        <v>1</v>
      </c>
      <c r="L10" s="105">
        <v>30</v>
      </c>
      <c r="M10" s="55">
        <f t="shared" si="1"/>
        <v>30</v>
      </c>
      <c r="N10" s="106">
        <v>10</v>
      </c>
      <c r="O10" s="5">
        <v>0</v>
      </c>
      <c r="P10" s="56">
        <f t="shared" si="2"/>
        <v>3</v>
      </c>
      <c r="Q10" s="56">
        <f t="shared" si="0"/>
        <v>1.2750000000000001</v>
      </c>
    </row>
    <row r="11" spans="2:17" ht="16.5" customHeight="1">
      <c r="B11" s="57" t="s">
        <v>64</v>
      </c>
      <c r="C11" s="40" t="s">
        <v>65</v>
      </c>
      <c r="D11" s="55">
        <f>J19*J21*J29</f>
        <v>1164.4959999999999</v>
      </c>
      <c r="E11" s="58">
        <f t="shared" si="3"/>
        <v>0.12</v>
      </c>
      <c r="F11" s="56">
        <f t="shared" si="4"/>
        <v>139.73951999999997</v>
      </c>
      <c r="G11" s="59">
        <f t="shared" si="5"/>
        <v>4.7855999999999987</v>
      </c>
      <c r="I11" s="104" t="s">
        <v>69</v>
      </c>
      <c r="J11" s="104" t="s">
        <v>0</v>
      </c>
      <c r="K11" s="105">
        <v>1</v>
      </c>
      <c r="L11" s="105">
        <v>2500</v>
      </c>
      <c r="M11" s="55">
        <f t="shared" si="1"/>
        <v>2500</v>
      </c>
      <c r="N11" s="106">
        <v>10</v>
      </c>
      <c r="O11" s="5">
        <v>0</v>
      </c>
      <c r="P11" s="56">
        <f t="shared" si="2"/>
        <v>250</v>
      </c>
      <c r="Q11" s="56">
        <f t="shared" si="0"/>
        <v>106.25000000000001</v>
      </c>
    </row>
    <row r="12" spans="2:17" ht="16.5" customHeight="1">
      <c r="B12" s="57" t="s">
        <v>1</v>
      </c>
      <c r="C12" s="40" t="s">
        <v>61</v>
      </c>
      <c r="D12" s="55">
        <f>J19*J21*J30</f>
        <v>1752</v>
      </c>
      <c r="E12" s="58">
        <f t="shared" si="3"/>
        <v>0.33333333333333331</v>
      </c>
      <c r="F12" s="56">
        <f t="shared" si="4"/>
        <v>584</v>
      </c>
      <c r="G12" s="59">
        <f t="shared" si="5"/>
        <v>20</v>
      </c>
      <c r="I12" s="104" t="s">
        <v>111</v>
      </c>
      <c r="J12" s="104" t="s">
        <v>109</v>
      </c>
      <c r="K12" s="105">
        <v>8</v>
      </c>
      <c r="L12" s="105">
        <v>48</v>
      </c>
      <c r="M12" s="55">
        <f t="shared" si="1"/>
        <v>384</v>
      </c>
      <c r="N12" s="106">
        <v>10</v>
      </c>
      <c r="O12" s="5">
        <v>0</v>
      </c>
      <c r="P12" s="56">
        <f t="shared" si="2"/>
        <v>4.8</v>
      </c>
      <c r="Q12" s="56">
        <f t="shared" si="0"/>
        <v>16.32</v>
      </c>
    </row>
    <row r="13" spans="2:17" ht="16.5" customHeight="1">
      <c r="B13" s="57" t="s">
        <v>43</v>
      </c>
      <c r="C13" s="40" t="s">
        <v>0</v>
      </c>
      <c r="D13" s="55">
        <f>J31*J21*J19</f>
        <v>1284.8</v>
      </c>
      <c r="E13" s="58">
        <f t="shared" si="3"/>
        <v>0.6</v>
      </c>
      <c r="F13" s="56">
        <f t="shared" si="4"/>
        <v>770.88</v>
      </c>
      <c r="G13" s="59">
        <f t="shared" si="5"/>
        <v>26.400000000000002</v>
      </c>
      <c r="I13" s="104" t="s">
        <v>67</v>
      </c>
      <c r="J13" s="104" t="s">
        <v>0</v>
      </c>
      <c r="K13" s="105">
        <v>0</v>
      </c>
      <c r="L13" s="105">
        <v>0</v>
      </c>
      <c r="M13" s="60">
        <f t="shared" si="1"/>
        <v>0</v>
      </c>
      <c r="N13" s="106">
        <v>10</v>
      </c>
      <c r="O13" s="5">
        <v>0</v>
      </c>
      <c r="P13" s="61" t="str">
        <f t="shared" si="2"/>
        <v/>
      </c>
      <c r="Q13" s="61" t="str">
        <f t="shared" si="0"/>
        <v/>
      </c>
    </row>
    <row r="14" spans="2:17" ht="16.5" customHeight="1">
      <c r="B14" s="57" t="s">
        <v>60</v>
      </c>
      <c r="C14" s="40" t="s">
        <v>0</v>
      </c>
      <c r="D14" s="55">
        <f>J32*J21*J19</f>
        <v>1284.8</v>
      </c>
      <c r="E14" s="58">
        <f t="shared" si="3"/>
        <v>0.42</v>
      </c>
      <c r="F14" s="56">
        <f t="shared" si="4"/>
        <v>539.61599999999999</v>
      </c>
      <c r="G14" s="59">
        <f t="shared" si="5"/>
        <v>18.48</v>
      </c>
      <c r="L14" s="25" t="s">
        <v>3</v>
      </c>
      <c r="M14" s="55">
        <f>SUM(M6:M13)</f>
        <v>4384</v>
      </c>
      <c r="N14" s="55"/>
      <c r="O14" s="55"/>
      <c r="P14" s="56">
        <f>SUM(P6:P13)</f>
        <v>367.4666666666667</v>
      </c>
      <c r="Q14" s="56">
        <f>SUM(Q6:Q13)</f>
        <v>186.32</v>
      </c>
    </row>
    <row r="15" spans="2:17" ht="16.5" customHeight="1">
      <c r="B15" s="57" t="s">
        <v>7</v>
      </c>
      <c r="C15" s="62" t="s">
        <v>8</v>
      </c>
      <c r="D15" s="102">
        <v>0.15</v>
      </c>
      <c r="E15" s="58"/>
      <c r="F15" s="56">
        <f>F4*D15</f>
        <v>805.92</v>
      </c>
      <c r="G15" s="59">
        <f t="shared" si="5"/>
        <v>27.599999999999998</v>
      </c>
      <c r="I15" s="63" t="s">
        <v>70</v>
      </c>
      <c r="K15" s="107">
        <v>0.25</v>
      </c>
      <c r="L15" s="55"/>
      <c r="M15" s="55"/>
      <c r="N15" s="2"/>
      <c r="O15" s="2"/>
    </row>
    <row r="16" spans="2:17" ht="16.5" customHeight="1">
      <c r="B16" s="57" t="s">
        <v>31</v>
      </c>
      <c r="C16" s="62" t="s">
        <v>32</v>
      </c>
      <c r="D16" s="5">
        <v>0.01</v>
      </c>
      <c r="E16" s="58"/>
      <c r="F16" s="56">
        <f>M14*D16</f>
        <v>43.84</v>
      </c>
      <c r="G16" s="59">
        <f t="shared" si="5"/>
        <v>1.5013698630136987</v>
      </c>
      <c r="I16" s="2"/>
      <c r="J16" s="2"/>
      <c r="K16" s="2"/>
      <c r="L16" s="2"/>
      <c r="M16" s="2"/>
      <c r="N16" s="2"/>
      <c r="O16" s="2"/>
    </row>
    <row r="17" spans="2:19" ht="16.5" customHeight="1">
      <c r="B17" s="57" t="s">
        <v>9</v>
      </c>
      <c r="C17" s="62"/>
      <c r="D17" s="64"/>
      <c r="E17" s="58"/>
      <c r="F17" s="103">
        <v>0</v>
      </c>
      <c r="G17" s="59">
        <f t="shared" si="5"/>
        <v>0</v>
      </c>
      <c r="I17" s="31" t="s">
        <v>56</v>
      </c>
      <c r="J17" s="32"/>
      <c r="K17" s="32"/>
      <c r="L17" s="2"/>
    </row>
    <row r="18" spans="2:19" ht="16.5" customHeight="1">
      <c r="B18" s="57" t="s">
        <v>11</v>
      </c>
      <c r="C18" s="62" t="s">
        <v>10</v>
      </c>
      <c r="D18" s="5">
        <v>8.5000000000000006E-2</v>
      </c>
      <c r="E18" s="58"/>
      <c r="F18" s="61">
        <f>SUM(F8:F17)*D18*(6/12)</f>
        <v>142.98177760000002</v>
      </c>
      <c r="G18" s="65">
        <f t="shared" si="5"/>
        <v>4.8966362191780828</v>
      </c>
      <c r="I18" s="66" t="s">
        <v>34</v>
      </c>
      <c r="J18" s="67" t="s">
        <v>5</v>
      </c>
      <c r="K18" s="68" t="s">
        <v>33</v>
      </c>
    </row>
    <row r="19" spans="2:19" ht="16.5" customHeight="1">
      <c r="B19" s="69"/>
      <c r="C19" s="62"/>
      <c r="D19" s="2"/>
      <c r="E19" s="70" t="s">
        <v>12</v>
      </c>
      <c r="F19" s="48">
        <f>SUM(F8:F18)</f>
        <v>3507.2588976000002</v>
      </c>
      <c r="G19" s="49">
        <f>SUM(G8:G18)</f>
        <v>120.11160608219177</v>
      </c>
      <c r="I19" s="40" t="s">
        <v>46</v>
      </c>
      <c r="J19" s="105">
        <v>4</v>
      </c>
      <c r="K19" s="40" t="s">
        <v>47</v>
      </c>
    </row>
    <row r="20" spans="2:19" ht="16.5" customHeight="1">
      <c r="B20" s="69"/>
      <c r="C20" s="62"/>
      <c r="D20" s="2"/>
      <c r="E20" s="70"/>
      <c r="F20" s="48"/>
      <c r="G20" s="71"/>
      <c r="I20" s="40" t="s">
        <v>48</v>
      </c>
      <c r="J20" s="108">
        <v>12.5</v>
      </c>
      <c r="K20" s="40" t="s">
        <v>36</v>
      </c>
      <c r="S20" s="72"/>
    </row>
    <row r="21" spans="2:19" ht="16.5" customHeight="1">
      <c r="B21" s="73" t="s">
        <v>13</v>
      </c>
      <c r="C21" s="74" t="s">
        <v>33</v>
      </c>
      <c r="D21" s="75" t="s">
        <v>5</v>
      </c>
      <c r="E21" s="35" t="s">
        <v>38</v>
      </c>
      <c r="F21" s="35" t="s">
        <v>45</v>
      </c>
      <c r="G21" s="36" t="s">
        <v>44</v>
      </c>
      <c r="I21" s="40" t="s">
        <v>40</v>
      </c>
      <c r="J21" s="55">
        <f>365/J20</f>
        <v>29.2</v>
      </c>
      <c r="K21" s="40" t="s">
        <v>41</v>
      </c>
    </row>
    <row r="22" spans="2:19" ht="16.5" customHeight="1">
      <c r="B22" s="76" t="s">
        <v>19</v>
      </c>
      <c r="C22" s="62"/>
      <c r="D22" s="77"/>
      <c r="E22" s="78"/>
      <c r="F22" s="56">
        <f>P14*K15</f>
        <v>91.866666666666674</v>
      </c>
      <c r="G22" s="59">
        <f>F22/$J$21</f>
        <v>3.1461187214611877</v>
      </c>
      <c r="I22" s="40" t="s">
        <v>63</v>
      </c>
      <c r="J22" s="108">
        <v>11.5</v>
      </c>
      <c r="K22" s="40" t="s">
        <v>39</v>
      </c>
    </row>
    <row r="23" spans="2:19" ht="16.5" customHeight="1">
      <c r="B23" s="76" t="s">
        <v>20</v>
      </c>
      <c r="C23" s="62" t="s">
        <v>10</v>
      </c>
      <c r="D23" s="5">
        <v>8.5000000000000006E-2</v>
      </c>
      <c r="E23" s="78"/>
      <c r="F23" s="56">
        <f>Q14*K15</f>
        <v>46.58</v>
      </c>
      <c r="G23" s="59">
        <f>F23/$J$21</f>
        <v>1.5952054794520547</v>
      </c>
      <c r="L23" s="2"/>
    </row>
    <row r="24" spans="2:19" ht="16.5" customHeight="1">
      <c r="B24" s="76" t="s">
        <v>14</v>
      </c>
      <c r="C24" s="62"/>
      <c r="D24" s="77"/>
      <c r="E24" s="78"/>
      <c r="F24" s="6">
        <v>50</v>
      </c>
      <c r="G24" s="65">
        <f>F24/$J$21</f>
        <v>1.7123287671232876</v>
      </c>
      <c r="I24" s="31" t="s">
        <v>51</v>
      </c>
      <c r="J24" s="32"/>
      <c r="K24" s="32"/>
      <c r="L24" s="32"/>
      <c r="M24" s="32"/>
    </row>
    <row r="25" spans="2:19" ht="16.5" customHeight="1">
      <c r="B25" s="79"/>
      <c r="C25" s="80"/>
      <c r="D25" s="2"/>
      <c r="E25" s="47" t="s">
        <v>15</v>
      </c>
      <c r="F25" s="48">
        <f>SUM(F22:F24)</f>
        <v>188.44666666666666</v>
      </c>
      <c r="G25" s="49">
        <f>SUM(G22:G24)</f>
        <v>6.45365296803653</v>
      </c>
      <c r="I25" s="66" t="s">
        <v>34</v>
      </c>
      <c r="J25" s="67" t="s">
        <v>5</v>
      </c>
      <c r="K25" s="68" t="s">
        <v>33</v>
      </c>
      <c r="L25" s="68" t="s">
        <v>52</v>
      </c>
      <c r="M25" s="68" t="s">
        <v>53</v>
      </c>
    </row>
    <row r="26" spans="2:19" ht="16.5" customHeight="1">
      <c r="B26" s="79"/>
      <c r="C26" s="80"/>
      <c r="D26" s="2"/>
      <c r="E26" s="47"/>
      <c r="F26" s="48"/>
      <c r="G26" s="81"/>
      <c r="I26" s="40" t="s">
        <v>35</v>
      </c>
      <c r="J26" s="108">
        <v>0.4</v>
      </c>
      <c r="K26" s="40" t="s">
        <v>39</v>
      </c>
      <c r="L26" s="109">
        <v>2.6</v>
      </c>
      <c r="M26" s="4">
        <f>J26*L26</f>
        <v>1.04</v>
      </c>
    </row>
    <row r="27" spans="2:19" ht="16.5" customHeight="1">
      <c r="B27" s="79"/>
      <c r="C27" s="80"/>
      <c r="D27" s="2"/>
      <c r="E27" s="47" t="s">
        <v>16</v>
      </c>
      <c r="F27" s="48">
        <f>F19+F25</f>
        <v>3695.7055642666669</v>
      </c>
      <c r="G27" s="49">
        <f>G19+G25</f>
        <v>126.56525905022831</v>
      </c>
      <c r="I27" s="40" t="s">
        <v>42</v>
      </c>
      <c r="J27" s="105">
        <v>3</v>
      </c>
      <c r="K27" s="40" t="s">
        <v>57</v>
      </c>
      <c r="L27" s="109">
        <v>1</v>
      </c>
      <c r="M27" s="4">
        <f>J27*L27</f>
        <v>3</v>
      </c>
    </row>
    <row r="28" spans="2:19" ht="16.5" customHeight="1">
      <c r="B28" s="82"/>
      <c r="C28" s="83"/>
      <c r="D28" s="31"/>
      <c r="E28" s="84"/>
      <c r="F28" s="85"/>
      <c r="G28" s="86"/>
      <c r="I28" s="40" t="s">
        <v>62</v>
      </c>
      <c r="J28" s="103">
        <v>0.36</v>
      </c>
      <c r="K28" s="40" t="s">
        <v>39</v>
      </c>
      <c r="L28" s="109">
        <v>0.2</v>
      </c>
      <c r="M28" s="4">
        <f>J28*L28</f>
        <v>7.1999999999999995E-2</v>
      </c>
      <c r="S28" s="72"/>
    </row>
    <row r="29" spans="2:19" ht="16.5" customHeight="1">
      <c r="B29" s="79"/>
      <c r="C29" s="80"/>
      <c r="D29"/>
      <c r="E29" s="47" t="s">
        <v>17</v>
      </c>
      <c r="F29" s="48">
        <f>F5-F19</f>
        <v>1865.5411024</v>
      </c>
      <c r="G29" s="49">
        <f>G5-G19</f>
        <v>63.88839391780823</v>
      </c>
      <c r="I29" s="87" t="s">
        <v>76</v>
      </c>
      <c r="J29" s="103">
        <f>1.44+0.35+8.18</f>
        <v>9.9699999999999989</v>
      </c>
      <c r="K29" s="40" t="s">
        <v>65</v>
      </c>
      <c r="L29" s="109">
        <v>0.12</v>
      </c>
      <c r="M29" s="4">
        <f>J29*L29</f>
        <v>1.1963999999999999</v>
      </c>
    </row>
    <row r="30" spans="2:19" ht="16.5" customHeight="1" thickBot="1">
      <c r="B30" s="88"/>
      <c r="C30" s="89"/>
      <c r="D30" s="90"/>
      <c r="E30" s="91" t="s">
        <v>18</v>
      </c>
      <c r="F30" s="92">
        <f>F5-F27</f>
        <v>1677.0944357333333</v>
      </c>
      <c r="G30" s="93">
        <f>G5-G27</f>
        <v>57.434740949771694</v>
      </c>
      <c r="I30" s="40" t="s">
        <v>54</v>
      </c>
      <c r="J30" s="105">
        <v>15</v>
      </c>
      <c r="K30" s="40" t="s">
        <v>61</v>
      </c>
      <c r="L30" s="109">
        <f>20/60</f>
        <v>0.33333333333333331</v>
      </c>
      <c r="M30" s="4">
        <f>J30*L30</f>
        <v>5</v>
      </c>
    </row>
    <row r="31" spans="2:19" ht="16.5" customHeight="1">
      <c r="B31" s="3"/>
      <c r="C31" s="80"/>
      <c r="D31" s="2"/>
      <c r="E31" s="47"/>
      <c r="F31" s="48"/>
      <c r="G31" s="48"/>
      <c r="H31" s="94"/>
      <c r="I31" s="40" t="s">
        <v>37</v>
      </c>
      <c r="J31" s="105">
        <v>11</v>
      </c>
      <c r="K31" s="40" t="s">
        <v>0</v>
      </c>
      <c r="L31" s="109">
        <v>0.6</v>
      </c>
      <c r="M31" s="4">
        <f t="shared" ref="M31:M32" si="6">J31*L31</f>
        <v>6.6</v>
      </c>
      <c r="N31" s="95"/>
      <c r="O31" s="95"/>
      <c r="P31" s="95"/>
    </row>
    <row r="32" spans="2:19" ht="16.5" customHeight="1">
      <c r="I32" s="40" t="s">
        <v>58</v>
      </c>
      <c r="J32" s="105">
        <v>11</v>
      </c>
      <c r="K32" s="40" t="s">
        <v>0</v>
      </c>
      <c r="L32" s="109">
        <v>0.42</v>
      </c>
      <c r="M32" s="4">
        <f t="shared" si="6"/>
        <v>4.62</v>
      </c>
    </row>
    <row r="33" spans="2:15" ht="16.5" hidden="1" customHeight="1">
      <c r="B33" s="1"/>
      <c r="C33" s="1"/>
      <c r="D33" s="1"/>
      <c r="E33" s="96"/>
      <c r="F33" s="96"/>
      <c r="G33" s="96"/>
      <c r="O33" s="97"/>
    </row>
    <row r="34" spans="2:15" ht="16.5" hidden="1" customHeight="1">
      <c r="J34" s="98"/>
    </row>
    <row r="35" spans="2:15" ht="16.5" hidden="1" customHeight="1">
      <c r="L35" s="97"/>
    </row>
    <row r="36" spans="2:15" ht="16.5" hidden="1" customHeight="1">
      <c r="J36" s="99"/>
      <c r="K36" s="99"/>
    </row>
    <row r="37" spans="2:15" ht="16.5" hidden="1" customHeight="1">
      <c r="O37" s="97"/>
    </row>
    <row r="38" spans="2:15" ht="16.5" hidden="1" customHeight="1">
      <c r="L38" s="97"/>
    </row>
    <row r="39" spans="2:15" hidden="1">
      <c r="L39" s="56"/>
    </row>
    <row r="40" spans="2:15" ht="16.5" hidden="1" customHeight="1">
      <c r="L40" s="56"/>
    </row>
    <row r="49" spans="9:15" hidden="1">
      <c r="O49" s="100"/>
    </row>
    <row r="50" spans="9:15" hidden="1">
      <c r="O50" s="100"/>
    </row>
    <row r="51" spans="9:15" hidden="1">
      <c r="I51" s="100"/>
      <c r="J51" s="100"/>
      <c r="K51" s="100"/>
      <c r="M51" s="100"/>
      <c r="O51" s="100"/>
    </row>
    <row r="52" spans="9:15" hidden="1">
      <c r="I52" s="100"/>
      <c r="J52" s="100"/>
      <c r="K52" s="100"/>
      <c r="M52" s="100"/>
      <c r="N52" s="100"/>
    </row>
    <row r="53" spans="9:15" hidden="1">
      <c r="N53" s="100"/>
    </row>
    <row r="54" spans="9:15" hidden="1">
      <c r="N54" s="100"/>
    </row>
    <row r="63" spans="9:15" hidden="1">
      <c r="L63" s="100"/>
    </row>
    <row r="64" spans="9:15" hidden="1">
      <c r="L64" s="100"/>
    </row>
  </sheetData>
  <sheetProtection sheet="1" objects="1" scenarios="1"/>
  <mergeCells count="1">
    <mergeCell ref="B1:F1"/>
  </mergeCells>
  <pageMargins left="0.7" right="0.7" top="0.75" bottom="0.75" header="0.3" footer="0.3"/>
  <pageSetup orientation="portrait" r:id="rId1"/>
  <ignoredErrors>
    <ignoredError sqref="J29 L30"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41011-F806-477F-BE91-AA6C107A81B4}">
  <dimension ref="A1:S64"/>
  <sheetViews>
    <sheetView topLeftCell="A5" zoomScaleNormal="100" workbookViewId="0">
      <selection activeCell="L32" sqref="L32"/>
    </sheetView>
  </sheetViews>
  <sheetFormatPr defaultColWidth="0" defaultRowHeight="17" zeroHeight="1"/>
  <cols>
    <col min="1" max="1" width="3.1796875" customWidth="1"/>
    <col min="2" max="2" width="45.7265625" style="27" customWidth="1"/>
    <col min="3" max="4" width="11.453125" style="27" customWidth="1"/>
    <col min="5" max="6" width="14.26953125" style="27" customWidth="1"/>
    <col min="7" max="7" width="13" style="27" customWidth="1"/>
    <col min="8" max="8" width="9.1796875" style="27" customWidth="1"/>
    <col min="9" max="9" width="26.1796875" customWidth="1"/>
    <col min="10" max="10" width="10.1796875" customWidth="1"/>
    <col min="11" max="11" width="12.7265625" customWidth="1"/>
    <col min="12" max="13" width="11.7265625" customWidth="1"/>
    <col min="14" max="14" width="10.7265625" customWidth="1"/>
    <col min="15" max="15" width="15" customWidth="1"/>
    <col min="16" max="16" width="14.26953125" customWidth="1"/>
    <col min="17" max="17" width="10.81640625" customWidth="1"/>
    <col min="18" max="18" width="9.1796875" hidden="1" customWidth="1"/>
    <col min="19" max="19" width="23.54296875" hidden="1" customWidth="1"/>
    <col min="20" max="16384" width="9.1796875" hidden="1"/>
  </cols>
  <sheetData>
    <row r="1" spans="2:17" ht="21.5" thickBot="1">
      <c r="B1" s="122" t="s">
        <v>74</v>
      </c>
      <c r="C1" s="123"/>
      <c r="D1" s="123"/>
      <c r="E1" s="123"/>
      <c r="F1" s="123"/>
      <c r="G1" s="26"/>
    </row>
    <row r="2" spans="2:17" ht="16.5" customHeight="1">
      <c r="B2" s="28"/>
      <c r="C2" s="29"/>
      <c r="D2" s="29"/>
      <c r="E2" s="29"/>
      <c r="F2" s="29"/>
      <c r="G2" s="30"/>
      <c r="I2" s="31" t="s">
        <v>55</v>
      </c>
      <c r="J2" s="31"/>
      <c r="K2" s="31"/>
      <c r="L2" s="31"/>
      <c r="M2" s="31"/>
      <c r="N2" s="31"/>
      <c r="O2" s="31"/>
      <c r="P2" s="32"/>
      <c r="Q2" s="32"/>
    </row>
    <row r="3" spans="2:17" ht="16.5" customHeight="1">
      <c r="B3" s="33" t="s">
        <v>4</v>
      </c>
      <c r="C3" s="34" t="s">
        <v>33</v>
      </c>
      <c r="D3" s="34" t="s">
        <v>5</v>
      </c>
      <c r="E3" s="35" t="s">
        <v>38</v>
      </c>
      <c r="F3" s="35" t="s">
        <v>45</v>
      </c>
      <c r="G3" s="36" t="s">
        <v>44</v>
      </c>
      <c r="I3" s="37" t="s">
        <v>21</v>
      </c>
      <c r="J3" s="37" t="s">
        <v>33</v>
      </c>
      <c r="K3" s="37" t="s">
        <v>5</v>
      </c>
      <c r="L3" s="38" t="s">
        <v>38</v>
      </c>
      <c r="M3" s="38" t="s">
        <v>3</v>
      </c>
      <c r="N3" s="38" t="s">
        <v>22</v>
      </c>
      <c r="O3" s="38" t="s">
        <v>23</v>
      </c>
      <c r="P3" s="38" t="s">
        <v>24</v>
      </c>
      <c r="Q3" s="38" t="s">
        <v>25</v>
      </c>
    </row>
    <row r="4" spans="2:17" ht="16.5" customHeight="1">
      <c r="B4" s="39" t="s">
        <v>71</v>
      </c>
      <c r="C4" s="40" t="s">
        <v>39</v>
      </c>
      <c r="D4" s="41">
        <f>(J19*J21*J22)</f>
        <v>1460</v>
      </c>
      <c r="E4" s="101">
        <v>4</v>
      </c>
      <c r="F4" s="42">
        <f>D4*E4</f>
        <v>5840</v>
      </c>
      <c r="G4" s="43">
        <f>F4/J21</f>
        <v>128</v>
      </c>
      <c r="I4" s="44"/>
      <c r="J4" s="44"/>
      <c r="K4" s="44"/>
      <c r="L4" s="45" t="s">
        <v>26</v>
      </c>
      <c r="M4" s="31"/>
      <c r="N4" s="46"/>
      <c r="O4" s="45" t="s">
        <v>27</v>
      </c>
      <c r="P4" s="45"/>
      <c r="Q4" s="45"/>
    </row>
    <row r="5" spans="2:17" ht="16.5" customHeight="1">
      <c r="B5" s="39"/>
      <c r="C5" s="1"/>
      <c r="D5" s="2"/>
      <c r="E5" s="47" t="s">
        <v>2</v>
      </c>
      <c r="F5" s="48">
        <f>SUM(F4:F4)</f>
        <v>5840</v>
      </c>
      <c r="G5" s="49">
        <f>SUM(G4:G4)</f>
        <v>128</v>
      </c>
      <c r="I5" s="50"/>
      <c r="J5" s="50"/>
      <c r="K5" s="50"/>
      <c r="L5" s="51" t="s">
        <v>28</v>
      </c>
      <c r="M5" s="51" t="s">
        <v>28</v>
      </c>
      <c r="N5" s="51" t="s">
        <v>29</v>
      </c>
      <c r="O5" s="51" t="s">
        <v>30</v>
      </c>
      <c r="P5" s="51" t="s">
        <v>28</v>
      </c>
      <c r="Q5" s="51" t="s">
        <v>28</v>
      </c>
    </row>
    <row r="6" spans="2:17" ht="16.5" customHeight="1">
      <c r="B6" s="52"/>
      <c r="C6" s="53"/>
      <c r="D6" s="53"/>
      <c r="E6" s="53"/>
      <c r="F6" s="53"/>
      <c r="G6" s="54"/>
      <c r="I6" s="104" t="s">
        <v>108</v>
      </c>
      <c r="J6" s="104" t="s">
        <v>0</v>
      </c>
      <c r="K6" s="105">
        <v>20</v>
      </c>
      <c r="L6" s="105">
        <v>10</v>
      </c>
      <c r="M6" s="55">
        <f>K6*L6</f>
        <v>200</v>
      </c>
      <c r="N6" s="106">
        <v>3</v>
      </c>
      <c r="O6" s="5">
        <v>0</v>
      </c>
      <c r="P6" s="56">
        <f>IF(M6&gt;0,(M6-(M6*O6))/N6,"")</f>
        <v>66.666666666666671</v>
      </c>
      <c r="Q6" s="56">
        <f t="shared" ref="Q6:Q13" si="0">IF(M6&gt;0,((M6+M6*O6)/2)*$D$23,"")</f>
        <v>8.5</v>
      </c>
    </row>
    <row r="7" spans="2:17" ht="16.5" customHeight="1">
      <c r="B7" s="33" t="s">
        <v>6</v>
      </c>
      <c r="C7" s="34" t="s">
        <v>33</v>
      </c>
      <c r="D7" s="34" t="s">
        <v>5</v>
      </c>
      <c r="E7" s="35" t="s">
        <v>38</v>
      </c>
      <c r="F7" s="35" t="s">
        <v>45</v>
      </c>
      <c r="G7" s="36" t="s">
        <v>44</v>
      </c>
      <c r="I7" s="104" t="s">
        <v>66</v>
      </c>
      <c r="J7" s="104" t="s">
        <v>0</v>
      </c>
      <c r="K7" s="105">
        <v>1</v>
      </c>
      <c r="L7" s="105">
        <v>150</v>
      </c>
      <c r="M7" s="55">
        <f t="shared" ref="M7:M13" si="1">K7*L7</f>
        <v>150</v>
      </c>
      <c r="N7" s="106">
        <v>10</v>
      </c>
      <c r="O7" s="5">
        <v>0</v>
      </c>
      <c r="P7" s="56">
        <f t="shared" ref="P7:P13" si="2">IF(L7&gt;0,(L7-(L7*O7))/N7,"")</f>
        <v>15</v>
      </c>
      <c r="Q7" s="56">
        <f t="shared" si="0"/>
        <v>6.3750000000000009</v>
      </c>
    </row>
    <row r="8" spans="2:17" ht="16.5" customHeight="1">
      <c r="B8" s="57" t="s">
        <v>35</v>
      </c>
      <c r="C8" s="40" t="s">
        <v>39</v>
      </c>
      <c r="D8" s="55">
        <f>J19*J21*J26</f>
        <v>182.5</v>
      </c>
      <c r="E8" s="58">
        <f t="shared" ref="E8:E14" si="3">L26</f>
        <v>2</v>
      </c>
      <c r="F8" s="56">
        <f t="shared" ref="F8:F14" si="4">D8*E8</f>
        <v>365</v>
      </c>
      <c r="G8" s="59">
        <f t="shared" ref="G8:G18" si="5">F8/$J$21</f>
        <v>8</v>
      </c>
      <c r="I8" s="104" t="s">
        <v>49</v>
      </c>
      <c r="J8" s="104" t="s">
        <v>0</v>
      </c>
      <c r="K8" s="105">
        <v>4</v>
      </c>
      <c r="L8" s="105">
        <v>225</v>
      </c>
      <c r="M8" s="55">
        <f t="shared" si="1"/>
        <v>900</v>
      </c>
      <c r="N8" s="106">
        <v>10</v>
      </c>
      <c r="O8" s="5">
        <v>0</v>
      </c>
      <c r="P8" s="56">
        <f t="shared" si="2"/>
        <v>22.5</v>
      </c>
      <c r="Q8" s="56">
        <f t="shared" si="0"/>
        <v>38.25</v>
      </c>
    </row>
    <row r="9" spans="2:17" ht="16.5" customHeight="1">
      <c r="B9" s="57" t="s">
        <v>42</v>
      </c>
      <c r="C9" s="40" t="s">
        <v>57</v>
      </c>
      <c r="D9" s="55">
        <f>J19*J21*J27</f>
        <v>547.5</v>
      </c>
      <c r="E9" s="58">
        <f t="shared" si="3"/>
        <v>1</v>
      </c>
      <c r="F9" s="56">
        <f t="shared" si="4"/>
        <v>547.5</v>
      </c>
      <c r="G9" s="59">
        <f t="shared" si="5"/>
        <v>12</v>
      </c>
      <c r="I9" s="104" t="s">
        <v>68</v>
      </c>
      <c r="J9" s="104" t="s">
        <v>0</v>
      </c>
      <c r="K9" s="105">
        <v>4</v>
      </c>
      <c r="L9" s="105">
        <v>55</v>
      </c>
      <c r="M9" s="55">
        <f t="shared" si="1"/>
        <v>220</v>
      </c>
      <c r="N9" s="106">
        <v>10</v>
      </c>
      <c r="O9" s="5">
        <v>0</v>
      </c>
      <c r="P9" s="56">
        <f t="shared" si="2"/>
        <v>5.5</v>
      </c>
      <c r="Q9" s="56">
        <f t="shared" si="0"/>
        <v>9.3500000000000014</v>
      </c>
    </row>
    <row r="10" spans="2:17" ht="16.5" customHeight="1">
      <c r="B10" s="57" t="s">
        <v>62</v>
      </c>
      <c r="C10" s="40" t="s">
        <v>39</v>
      </c>
      <c r="D10" s="55">
        <f>J19*J21*J28</f>
        <v>65.7</v>
      </c>
      <c r="E10" s="58">
        <f t="shared" si="3"/>
        <v>0.2</v>
      </c>
      <c r="F10" s="56">
        <f t="shared" si="4"/>
        <v>13.14</v>
      </c>
      <c r="G10" s="59">
        <f t="shared" si="5"/>
        <v>0.28800000000000003</v>
      </c>
      <c r="I10" s="104" t="s">
        <v>50</v>
      </c>
      <c r="J10" s="104" t="s">
        <v>0</v>
      </c>
      <c r="K10" s="105">
        <v>1</v>
      </c>
      <c r="L10" s="105">
        <v>30</v>
      </c>
      <c r="M10" s="55">
        <f t="shared" si="1"/>
        <v>30</v>
      </c>
      <c r="N10" s="106">
        <v>10</v>
      </c>
      <c r="O10" s="5">
        <v>0</v>
      </c>
      <c r="P10" s="56">
        <f t="shared" si="2"/>
        <v>3</v>
      </c>
      <c r="Q10" s="56">
        <f t="shared" si="0"/>
        <v>1.2750000000000001</v>
      </c>
    </row>
    <row r="11" spans="2:17" ht="16.5" customHeight="1">
      <c r="B11" s="57" t="s">
        <v>64</v>
      </c>
      <c r="C11" s="40" t="s">
        <v>65</v>
      </c>
      <c r="D11" s="55">
        <f>J19*J21*J29</f>
        <v>1268.375</v>
      </c>
      <c r="E11" s="58">
        <f t="shared" si="3"/>
        <v>0.12</v>
      </c>
      <c r="F11" s="56">
        <f t="shared" si="4"/>
        <v>152.20499999999998</v>
      </c>
      <c r="G11" s="59">
        <f t="shared" si="5"/>
        <v>3.3359999999999999</v>
      </c>
      <c r="I11" s="104" t="s">
        <v>69</v>
      </c>
      <c r="J11" s="104" t="s">
        <v>0</v>
      </c>
      <c r="K11" s="105">
        <v>1</v>
      </c>
      <c r="L11" s="105">
        <v>2500</v>
      </c>
      <c r="M11" s="55">
        <f t="shared" si="1"/>
        <v>2500</v>
      </c>
      <c r="N11" s="106">
        <v>10</v>
      </c>
      <c r="O11" s="5">
        <v>0</v>
      </c>
      <c r="P11" s="56">
        <f t="shared" si="2"/>
        <v>250</v>
      </c>
      <c r="Q11" s="56">
        <f t="shared" si="0"/>
        <v>106.25000000000001</v>
      </c>
    </row>
    <row r="12" spans="2:17" ht="16.5" customHeight="1">
      <c r="B12" s="57" t="s">
        <v>1</v>
      </c>
      <c r="C12" s="40" t="s">
        <v>61</v>
      </c>
      <c r="D12" s="55">
        <f>J19*J21*J30</f>
        <v>2737.5</v>
      </c>
      <c r="E12" s="58">
        <f t="shared" si="3"/>
        <v>0.33333333333333331</v>
      </c>
      <c r="F12" s="56">
        <f t="shared" si="4"/>
        <v>912.5</v>
      </c>
      <c r="G12" s="59">
        <f t="shared" si="5"/>
        <v>20</v>
      </c>
      <c r="I12" s="104" t="s">
        <v>111</v>
      </c>
      <c r="J12" s="104" t="s">
        <v>109</v>
      </c>
      <c r="K12" s="105">
        <v>8</v>
      </c>
      <c r="L12" s="105">
        <v>48</v>
      </c>
      <c r="M12" s="55">
        <f t="shared" si="1"/>
        <v>384</v>
      </c>
      <c r="N12" s="106">
        <v>10</v>
      </c>
      <c r="O12" s="5">
        <v>0</v>
      </c>
      <c r="P12" s="56">
        <f t="shared" si="2"/>
        <v>4.8</v>
      </c>
      <c r="Q12" s="56">
        <f t="shared" si="0"/>
        <v>16.32</v>
      </c>
    </row>
    <row r="13" spans="2:17" ht="16.5" customHeight="1">
      <c r="B13" s="57" t="s">
        <v>43</v>
      </c>
      <c r="C13" s="40" t="s">
        <v>0</v>
      </c>
      <c r="D13" s="55">
        <f>J31*J21*J19</f>
        <v>1460</v>
      </c>
      <c r="E13" s="58">
        <f t="shared" si="3"/>
        <v>0.6</v>
      </c>
      <c r="F13" s="56">
        <f t="shared" si="4"/>
        <v>876</v>
      </c>
      <c r="G13" s="59">
        <f t="shared" si="5"/>
        <v>19.2</v>
      </c>
      <c r="I13" s="104" t="s">
        <v>67</v>
      </c>
      <c r="J13" s="104" t="s">
        <v>0</v>
      </c>
      <c r="K13" s="105">
        <v>0</v>
      </c>
      <c r="L13" s="105">
        <v>0</v>
      </c>
      <c r="M13" s="60">
        <f t="shared" si="1"/>
        <v>0</v>
      </c>
      <c r="N13" s="106">
        <v>10</v>
      </c>
      <c r="O13" s="5">
        <v>0</v>
      </c>
      <c r="P13" s="61" t="str">
        <f t="shared" si="2"/>
        <v/>
      </c>
      <c r="Q13" s="61" t="str">
        <f t="shared" si="0"/>
        <v/>
      </c>
    </row>
    <row r="14" spans="2:17" ht="16.5" customHeight="1">
      <c r="B14" s="57" t="s">
        <v>60</v>
      </c>
      <c r="C14" s="40" t="s">
        <v>0</v>
      </c>
      <c r="D14" s="55">
        <f>J32*J21*J19</f>
        <v>1460</v>
      </c>
      <c r="E14" s="58">
        <f t="shared" si="3"/>
        <v>0.42</v>
      </c>
      <c r="F14" s="56">
        <f t="shared" si="4"/>
        <v>613.19999999999993</v>
      </c>
      <c r="G14" s="59">
        <f t="shared" si="5"/>
        <v>13.439999999999998</v>
      </c>
      <c r="L14" s="25" t="s">
        <v>3</v>
      </c>
      <c r="M14" s="55">
        <f>SUM(M6:M13)</f>
        <v>4384</v>
      </c>
      <c r="N14" s="55"/>
      <c r="O14" s="55"/>
      <c r="P14" s="56">
        <f>SUM(P6:P13)</f>
        <v>367.4666666666667</v>
      </c>
      <c r="Q14" s="56">
        <f>SUM(Q6:Q13)</f>
        <v>186.32</v>
      </c>
    </row>
    <row r="15" spans="2:17" ht="16.5" customHeight="1">
      <c r="B15" s="57" t="s">
        <v>7</v>
      </c>
      <c r="C15" s="62" t="s">
        <v>8</v>
      </c>
      <c r="D15" s="102">
        <v>0.15</v>
      </c>
      <c r="E15" s="58"/>
      <c r="F15" s="56">
        <f>F4*D15</f>
        <v>876</v>
      </c>
      <c r="G15" s="59">
        <f t="shared" si="5"/>
        <v>19.2</v>
      </c>
      <c r="I15" s="63" t="s">
        <v>70</v>
      </c>
      <c r="K15" s="107">
        <v>0.25</v>
      </c>
      <c r="L15" s="55"/>
      <c r="M15" s="55"/>
      <c r="N15" s="2"/>
      <c r="O15" s="2"/>
    </row>
    <row r="16" spans="2:17" ht="16.5" customHeight="1">
      <c r="B16" s="57" t="s">
        <v>31</v>
      </c>
      <c r="C16" s="62" t="s">
        <v>32</v>
      </c>
      <c r="D16" s="5">
        <v>0.01</v>
      </c>
      <c r="E16" s="58"/>
      <c r="F16" s="56">
        <f>M14*D16</f>
        <v>43.84</v>
      </c>
      <c r="G16" s="59">
        <f t="shared" si="5"/>
        <v>0.96087671232876715</v>
      </c>
      <c r="I16" s="2"/>
      <c r="J16" s="2"/>
      <c r="K16" s="2"/>
      <c r="L16" s="2"/>
      <c r="M16" s="2"/>
      <c r="N16" s="2"/>
      <c r="O16" s="2"/>
    </row>
    <row r="17" spans="2:19" ht="16.5" customHeight="1">
      <c r="B17" s="57" t="s">
        <v>9</v>
      </c>
      <c r="C17" s="62"/>
      <c r="D17" s="64"/>
      <c r="E17" s="58"/>
      <c r="F17" s="103">
        <v>0</v>
      </c>
      <c r="G17" s="59">
        <f t="shared" si="5"/>
        <v>0</v>
      </c>
      <c r="I17" s="31" t="s">
        <v>56</v>
      </c>
      <c r="J17" s="32"/>
      <c r="K17" s="32"/>
      <c r="L17" s="2"/>
    </row>
    <row r="18" spans="2:19" ht="16.5" customHeight="1">
      <c r="B18" s="57" t="s">
        <v>11</v>
      </c>
      <c r="C18" s="62" t="s">
        <v>10</v>
      </c>
      <c r="D18" s="5">
        <v>8.5000000000000006E-2</v>
      </c>
      <c r="E18" s="58"/>
      <c r="F18" s="61">
        <f>SUM(F8:F17)*D18*(6/12)</f>
        <v>186.97386250000002</v>
      </c>
      <c r="G18" s="65">
        <f t="shared" si="5"/>
        <v>4.0980572602739729</v>
      </c>
      <c r="I18" s="66" t="s">
        <v>34</v>
      </c>
      <c r="J18" s="67" t="s">
        <v>5</v>
      </c>
      <c r="K18" s="68" t="s">
        <v>33</v>
      </c>
    </row>
    <row r="19" spans="2:19" ht="16.5" customHeight="1">
      <c r="B19" s="69"/>
      <c r="C19" s="62"/>
      <c r="D19" s="2"/>
      <c r="E19" s="70" t="s">
        <v>12</v>
      </c>
      <c r="F19" s="48">
        <f>SUM(F8:F18)</f>
        <v>4586.3588625000002</v>
      </c>
      <c r="G19" s="49">
        <f>SUM(G8:G18)</f>
        <v>100.52293397260274</v>
      </c>
      <c r="I19" s="40" t="s">
        <v>46</v>
      </c>
      <c r="J19" s="105">
        <v>4</v>
      </c>
      <c r="K19" s="40" t="s">
        <v>47</v>
      </c>
    </row>
    <row r="20" spans="2:19" ht="16.5" customHeight="1">
      <c r="B20" s="69"/>
      <c r="C20" s="62"/>
      <c r="D20" s="2"/>
      <c r="E20" s="70"/>
      <c r="F20" s="48"/>
      <c r="G20" s="71"/>
      <c r="I20" s="40" t="s">
        <v>48</v>
      </c>
      <c r="J20" s="105">
        <v>8</v>
      </c>
      <c r="K20" s="40" t="s">
        <v>36</v>
      </c>
      <c r="S20" s="72"/>
    </row>
    <row r="21" spans="2:19" ht="16.5" customHeight="1">
      <c r="B21" s="73" t="s">
        <v>13</v>
      </c>
      <c r="C21" s="74" t="s">
        <v>33</v>
      </c>
      <c r="D21" s="75" t="s">
        <v>5</v>
      </c>
      <c r="E21" s="35" t="s">
        <v>38</v>
      </c>
      <c r="F21" s="35" t="s">
        <v>45</v>
      </c>
      <c r="G21" s="36" t="s">
        <v>44</v>
      </c>
      <c r="I21" s="40" t="s">
        <v>40</v>
      </c>
      <c r="J21" s="55">
        <f>365/J20</f>
        <v>45.625</v>
      </c>
      <c r="K21" s="40" t="s">
        <v>41</v>
      </c>
    </row>
    <row r="22" spans="2:19" ht="16.5" customHeight="1">
      <c r="B22" s="76" t="s">
        <v>19</v>
      </c>
      <c r="C22" s="62"/>
      <c r="D22" s="77"/>
      <c r="E22" s="78"/>
      <c r="F22" s="56">
        <f>P14*K15</f>
        <v>91.866666666666674</v>
      </c>
      <c r="G22" s="59">
        <f>F22/$J$21</f>
        <v>2.0135159817351598</v>
      </c>
      <c r="I22" s="40" t="s">
        <v>63</v>
      </c>
      <c r="J22" s="105">
        <v>8</v>
      </c>
      <c r="K22" s="40" t="s">
        <v>39</v>
      </c>
    </row>
    <row r="23" spans="2:19" ht="16.5" customHeight="1">
      <c r="B23" s="76" t="s">
        <v>20</v>
      </c>
      <c r="C23" s="62" t="s">
        <v>10</v>
      </c>
      <c r="D23" s="5">
        <v>8.5000000000000006E-2</v>
      </c>
      <c r="E23" s="78"/>
      <c r="F23" s="56">
        <f>Q14*K15</f>
        <v>46.58</v>
      </c>
      <c r="G23" s="59">
        <f>F23/$J$21</f>
        <v>1.020931506849315</v>
      </c>
      <c r="L23" s="2"/>
    </row>
    <row r="24" spans="2:19" ht="16.5" customHeight="1">
      <c r="B24" s="76" t="s">
        <v>14</v>
      </c>
      <c r="C24" s="62"/>
      <c r="D24" s="77"/>
      <c r="E24" s="78"/>
      <c r="F24" s="6">
        <v>50</v>
      </c>
      <c r="G24" s="65">
        <f>F24/$J$21</f>
        <v>1.095890410958904</v>
      </c>
      <c r="I24" s="31" t="s">
        <v>51</v>
      </c>
      <c r="J24" s="32"/>
      <c r="K24" s="32"/>
      <c r="L24" s="32"/>
      <c r="M24" s="32"/>
    </row>
    <row r="25" spans="2:19" ht="16.5" customHeight="1">
      <c r="B25" s="79"/>
      <c r="C25" s="80"/>
      <c r="D25" s="2"/>
      <c r="E25" s="47" t="s">
        <v>15</v>
      </c>
      <c r="F25" s="48">
        <f>SUM(F22:F24)</f>
        <v>188.44666666666666</v>
      </c>
      <c r="G25" s="49">
        <f>SUM(G22:G24)</f>
        <v>4.1303378995433793</v>
      </c>
      <c r="I25" s="66" t="s">
        <v>34</v>
      </c>
      <c r="J25" s="67" t="s">
        <v>5</v>
      </c>
      <c r="K25" s="68" t="s">
        <v>33</v>
      </c>
      <c r="L25" s="68" t="s">
        <v>52</v>
      </c>
      <c r="M25" s="68" t="s">
        <v>53</v>
      </c>
    </row>
    <row r="26" spans="2:19" ht="16.5" customHeight="1">
      <c r="B26" s="79"/>
      <c r="C26" s="80"/>
      <c r="D26" s="2"/>
      <c r="E26" s="47"/>
      <c r="F26" s="48"/>
      <c r="G26" s="81"/>
      <c r="I26" s="40" t="s">
        <v>35</v>
      </c>
      <c r="J26" s="105">
        <v>1</v>
      </c>
      <c r="K26" s="40" t="s">
        <v>39</v>
      </c>
      <c r="L26" s="109">
        <v>2</v>
      </c>
      <c r="M26" s="4">
        <f>J26*L26</f>
        <v>2</v>
      </c>
    </row>
    <row r="27" spans="2:19" ht="16.5" customHeight="1">
      <c r="B27" s="79"/>
      <c r="C27" s="80"/>
      <c r="D27" s="2"/>
      <c r="E27" s="47" t="s">
        <v>16</v>
      </c>
      <c r="F27" s="48">
        <f>F19+F25</f>
        <v>4774.8055291666669</v>
      </c>
      <c r="G27" s="49">
        <f>G19+G25</f>
        <v>104.65327187214612</v>
      </c>
      <c r="I27" s="40" t="s">
        <v>42</v>
      </c>
      <c r="J27" s="105">
        <v>3</v>
      </c>
      <c r="K27" s="40" t="s">
        <v>57</v>
      </c>
      <c r="L27" s="109">
        <v>1</v>
      </c>
      <c r="M27" s="4">
        <f>J27*L27</f>
        <v>3</v>
      </c>
    </row>
    <row r="28" spans="2:19" ht="16.5" customHeight="1">
      <c r="B28" s="82"/>
      <c r="C28" s="83"/>
      <c r="D28" s="31"/>
      <c r="E28" s="84"/>
      <c r="F28" s="85"/>
      <c r="G28" s="86"/>
      <c r="I28" s="40" t="s">
        <v>62</v>
      </c>
      <c r="J28" s="103">
        <v>0.36</v>
      </c>
      <c r="K28" s="40" t="s">
        <v>39</v>
      </c>
      <c r="L28" s="109">
        <v>0.2</v>
      </c>
      <c r="M28" s="4">
        <f>J28*L28</f>
        <v>7.1999999999999995E-2</v>
      </c>
      <c r="S28" s="72"/>
    </row>
    <row r="29" spans="2:19" ht="16.5" customHeight="1">
      <c r="B29" s="79"/>
      <c r="C29" s="80"/>
      <c r="D29"/>
      <c r="E29" s="47" t="s">
        <v>17</v>
      </c>
      <c r="F29" s="48">
        <f>F5-F19</f>
        <v>1253.6411374999998</v>
      </c>
      <c r="G29" s="49">
        <f>G5-G19</f>
        <v>27.477066027397257</v>
      </c>
      <c r="I29" s="87" t="s">
        <v>76</v>
      </c>
      <c r="J29" s="103">
        <f>1.44+0.35+5.16</f>
        <v>6.95</v>
      </c>
      <c r="K29" s="40" t="s">
        <v>65</v>
      </c>
      <c r="L29" s="109">
        <v>0.12</v>
      </c>
      <c r="M29" s="4">
        <f>J29*L29</f>
        <v>0.83399999999999996</v>
      </c>
    </row>
    <row r="30" spans="2:19" ht="16.5" customHeight="1" thickBot="1">
      <c r="B30" s="88"/>
      <c r="C30" s="89"/>
      <c r="D30" s="90"/>
      <c r="E30" s="91" t="s">
        <v>18</v>
      </c>
      <c r="F30" s="92">
        <f>F5-F27</f>
        <v>1065.1944708333331</v>
      </c>
      <c r="G30" s="93">
        <f>G5-G27</f>
        <v>23.346728127853879</v>
      </c>
      <c r="I30" s="40" t="s">
        <v>54</v>
      </c>
      <c r="J30" s="105">
        <v>15</v>
      </c>
      <c r="K30" s="40" t="s">
        <v>61</v>
      </c>
      <c r="L30" s="109">
        <f>20/60</f>
        <v>0.33333333333333331</v>
      </c>
      <c r="M30" s="4">
        <f>J30*L30</f>
        <v>5</v>
      </c>
    </row>
    <row r="31" spans="2:19" ht="16.5" customHeight="1">
      <c r="B31" s="3"/>
      <c r="C31" s="80"/>
      <c r="D31" s="2"/>
      <c r="E31" s="47"/>
      <c r="F31" s="48"/>
      <c r="G31" s="48"/>
      <c r="H31" s="94"/>
      <c r="I31" s="40" t="s">
        <v>37</v>
      </c>
      <c r="J31" s="105">
        <v>8</v>
      </c>
      <c r="K31" s="40" t="s">
        <v>0</v>
      </c>
      <c r="L31" s="109">
        <v>0.6</v>
      </c>
      <c r="M31" s="4">
        <f t="shared" ref="M31:M32" si="6">J31*L31</f>
        <v>4.8</v>
      </c>
      <c r="N31" s="95"/>
      <c r="O31" s="95"/>
      <c r="P31" s="95"/>
    </row>
    <row r="32" spans="2:19" ht="16.5" customHeight="1">
      <c r="I32" s="40" t="s">
        <v>58</v>
      </c>
      <c r="J32" s="105">
        <v>8</v>
      </c>
      <c r="K32" s="40" t="s">
        <v>0</v>
      </c>
      <c r="L32" s="109">
        <v>0.42</v>
      </c>
      <c r="M32" s="4">
        <f t="shared" si="6"/>
        <v>3.36</v>
      </c>
    </row>
    <row r="33" spans="2:15" ht="16.5" hidden="1" customHeight="1">
      <c r="B33" s="1"/>
      <c r="C33" s="1"/>
      <c r="D33" s="1"/>
      <c r="E33" s="96"/>
      <c r="F33" s="96"/>
      <c r="G33" s="96"/>
      <c r="O33" s="97"/>
    </row>
    <row r="34" spans="2:15" ht="16.5" hidden="1" customHeight="1">
      <c r="J34" s="98"/>
    </row>
    <row r="35" spans="2:15" ht="16.5" hidden="1" customHeight="1">
      <c r="L35" s="97"/>
    </row>
    <row r="36" spans="2:15" ht="16.5" hidden="1" customHeight="1">
      <c r="J36" s="99"/>
      <c r="K36" s="99"/>
    </row>
    <row r="37" spans="2:15" ht="16.5" hidden="1" customHeight="1">
      <c r="O37" s="97"/>
    </row>
    <row r="38" spans="2:15" ht="16.5" hidden="1" customHeight="1">
      <c r="L38" s="97"/>
    </row>
    <row r="39" spans="2:15" hidden="1">
      <c r="L39" s="56"/>
    </row>
    <row r="40" spans="2:15" ht="16.5" hidden="1" customHeight="1">
      <c r="L40" s="56"/>
    </row>
    <row r="49" spans="9:15" hidden="1">
      <c r="O49" s="100"/>
    </row>
    <row r="50" spans="9:15" hidden="1">
      <c r="O50" s="100"/>
    </row>
    <row r="51" spans="9:15" hidden="1">
      <c r="I51" s="100"/>
      <c r="J51" s="100"/>
      <c r="K51" s="100"/>
      <c r="M51" s="100"/>
      <c r="O51" s="100"/>
    </row>
    <row r="52" spans="9:15" hidden="1">
      <c r="I52" s="100"/>
      <c r="J52" s="100"/>
      <c r="K52" s="100"/>
      <c r="M52" s="100"/>
      <c r="N52" s="100"/>
    </row>
    <row r="53" spans="9:15" hidden="1">
      <c r="N53" s="100"/>
    </row>
    <row r="54" spans="9:15" hidden="1">
      <c r="N54" s="100"/>
    </row>
    <row r="63" spans="9:15" hidden="1">
      <c r="L63" s="100"/>
    </row>
    <row r="64" spans="9:15" hidden="1">
      <c r="L64" s="100"/>
    </row>
  </sheetData>
  <sheetProtection sheet="1" objects="1" scenarios="1"/>
  <mergeCells count="1">
    <mergeCell ref="B1:F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021ED-9501-493F-BFC2-D147EEB38A18}">
  <dimension ref="A1:S64"/>
  <sheetViews>
    <sheetView zoomScaleNormal="100" workbookViewId="0">
      <selection activeCell="K9" sqref="K9"/>
    </sheetView>
  </sheetViews>
  <sheetFormatPr defaultColWidth="0" defaultRowHeight="17" zeroHeight="1"/>
  <cols>
    <col min="1" max="1" width="3.1796875" customWidth="1"/>
    <col min="2" max="2" width="45.7265625" style="27" customWidth="1"/>
    <col min="3" max="4" width="11.453125" style="27" customWidth="1"/>
    <col min="5" max="6" width="14.26953125" style="27" customWidth="1"/>
    <col min="7" max="7" width="13" style="27" customWidth="1"/>
    <col min="8" max="8" width="9.1796875" style="27" customWidth="1"/>
    <col min="9" max="9" width="26.1796875" customWidth="1"/>
    <col min="10" max="10" width="10.1796875" customWidth="1"/>
    <col min="11" max="11" width="12.7265625" customWidth="1"/>
    <col min="12" max="13" width="11.7265625" customWidth="1"/>
    <col min="14" max="14" width="10.7265625" customWidth="1"/>
    <col min="15" max="15" width="15" customWidth="1"/>
    <col min="16" max="16" width="14.26953125" customWidth="1"/>
    <col min="17" max="17" width="10.81640625" customWidth="1"/>
    <col min="18" max="18" width="8.7265625" hidden="1" customWidth="1"/>
    <col min="19" max="19" width="23.54296875" hidden="1" customWidth="1"/>
    <col min="20" max="16384" width="8.7265625" hidden="1"/>
  </cols>
  <sheetData>
    <row r="1" spans="2:17" ht="21.5" thickBot="1">
      <c r="B1" s="122" t="s">
        <v>59</v>
      </c>
      <c r="C1" s="123"/>
      <c r="D1" s="123"/>
      <c r="E1" s="123"/>
      <c r="F1" s="123"/>
      <c r="G1" s="26"/>
    </row>
    <row r="2" spans="2:17" ht="16.5" customHeight="1">
      <c r="B2" s="28"/>
      <c r="C2" s="29"/>
      <c r="D2" s="29"/>
      <c r="E2" s="29"/>
      <c r="F2" s="29"/>
      <c r="G2" s="30"/>
      <c r="I2" s="31" t="s">
        <v>55</v>
      </c>
      <c r="J2" s="31"/>
      <c r="K2" s="31"/>
      <c r="L2" s="31"/>
      <c r="M2" s="31"/>
      <c r="N2" s="31"/>
      <c r="O2" s="31"/>
      <c r="P2" s="32"/>
      <c r="Q2" s="32"/>
    </row>
    <row r="3" spans="2:17" ht="16.5" customHeight="1">
      <c r="B3" s="33" t="s">
        <v>4</v>
      </c>
      <c r="C3" s="34" t="s">
        <v>33</v>
      </c>
      <c r="D3" s="34" t="s">
        <v>5</v>
      </c>
      <c r="E3" s="35" t="s">
        <v>38</v>
      </c>
      <c r="F3" s="35" t="s">
        <v>45</v>
      </c>
      <c r="G3" s="36" t="s">
        <v>44</v>
      </c>
      <c r="I3" s="37" t="s">
        <v>21</v>
      </c>
      <c r="J3" s="37" t="s">
        <v>33</v>
      </c>
      <c r="K3" s="37" t="s">
        <v>5</v>
      </c>
      <c r="L3" s="38" t="s">
        <v>38</v>
      </c>
      <c r="M3" s="38" t="s">
        <v>3</v>
      </c>
      <c r="N3" s="38" t="s">
        <v>22</v>
      </c>
      <c r="O3" s="38" t="s">
        <v>23</v>
      </c>
      <c r="P3" s="38" t="s">
        <v>24</v>
      </c>
      <c r="Q3" s="38" t="s">
        <v>25</v>
      </c>
    </row>
    <row r="4" spans="2:17" ht="16.5" customHeight="1">
      <c r="B4" s="39" t="s">
        <v>75</v>
      </c>
      <c r="C4" s="40" t="s">
        <v>39</v>
      </c>
      <c r="D4" s="41">
        <f>(J19*J21*J22)</f>
        <v>2190</v>
      </c>
      <c r="E4" s="101">
        <v>4</v>
      </c>
      <c r="F4" s="42">
        <f>D4*E4</f>
        <v>8760</v>
      </c>
      <c r="G4" s="43">
        <f>F4/J21</f>
        <v>240</v>
      </c>
      <c r="I4" s="44"/>
      <c r="J4" s="44"/>
      <c r="K4" s="44"/>
      <c r="L4" s="45" t="s">
        <v>26</v>
      </c>
      <c r="M4" s="31"/>
      <c r="N4" s="46"/>
      <c r="O4" s="45" t="s">
        <v>27</v>
      </c>
      <c r="P4" s="45"/>
      <c r="Q4" s="45"/>
    </row>
    <row r="5" spans="2:17" ht="16.5" customHeight="1">
      <c r="B5" s="39"/>
      <c r="C5" s="1"/>
      <c r="D5" s="2"/>
      <c r="E5" s="47" t="s">
        <v>2</v>
      </c>
      <c r="F5" s="48">
        <f>SUM(F4:F4)</f>
        <v>8760</v>
      </c>
      <c r="G5" s="49">
        <f>SUM(G4:G4)</f>
        <v>240</v>
      </c>
      <c r="I5" s="50"/>
      <c r="J5" s="50"/>
      <c r="K5" s="50"/>
      <c r="L5" s="51" t="s">
        <v>28</v>
      </c>
      <c r="M5" s="51" t="s">
        <v>28</v>
      </c>
      <c r="N5" s="51" t="s">
        <v>29</v>
      </c>
      <c r="O5" s="51" t="s">
        <v>30</v>
      </c>
      <c r="P5" s="51" t="s">
        <v>28</v>
      </c>
      <c r="Q5" s="51" t="s">
        <v>28</v>
      </c>
    </row>
    <row r="6" spans="2:17" ht="16.5" customHeight="1">
      <c r="B6" s="52"/>
      <c r="C6" s="53"/>
      <c r="D6" s="53"/>
      <c r="E6" s="53"/>
      <c r="F6" s="53"/>
      <c r="G6" s="54"/>
      <c r="I6" s="104" t="s">
        <v>108</v>
      </c>
      <c r="J6" s="104" t="s">
        <v>0</v>
      </c>
      <c r="K6" s="105">
        <v>20</v>
      </c>
      <c r="L6" s="105">
        <v>10</v>
      </c>
      <c r="M6" s="55">
        <f>K6*L6</f>
        <v>200</v>
      </c>
      <c r="N6" s="106">
        <v>3</v>
      </c>
      <c r="O6" s="5">
        <v>0</v>
      </c>
      <c r="P6" s="56">
        <f>IF(M6&gt;0,(M6-(M6*O6))/N6,"")</f>
        <v>66.666666666666671</v>
      </c>
      <c r="Q6" s="56">
        <f t="shared" ref="Q6:Q13" si="0">IF(M6&gt;0,((M6+M6*O6)/2)*$D$23,"")</f>
        <v>8.5</v>
      </c>
    </row>
    <row r="7" spans="2:17" ht="16.5" customHeight="1">
      <c r="B7" s="33" t="s">
        <v>6</v>
      </c>
      <c r="C7" s="34" t="s">
        <v>33</v>
      </c>
      <c r="D7" s="34" t="s">
        <v>5</v>
      </c>
      <c r="E7" s="35" t="s">
        <v>38</v>
      </c>
      <c r="F7" s="35" t="s">
        <v>45</v>
      </c>
      <c r="G7" s="36" t="s">
        <v>44</v>
      </c>
      <c r="I7" s="104" t="s">
        <v>66</v>
      </c>
      <c r="J7" s="104" t="s">
        <v>0</v>
      </c>
      <c r="K7" s="105">
        <v>1</v>
      </c>
      <c r="L7" s="105">
        <v>150</v>
      </c>
      <c r="M7" s="55">
        <f t="shared" ref="M7:M13" si="1">K7*L7</f>
        <v>150</v>
      </c>
      <c r="N7" s="106">
        <v>10</v>
      </c>
      <c r="O7" s="5">
        <v>0</v>
      </c>
      <c r="P7" s="56">
        <f t="shared" ref="P7:P13" si="2">IF(L7&gt;0,(L7-(L7*O7))/N7,"")</f>
        <v>15</v>
      </c>
      <c r="Q7" s="56">
        <f t="shared" si="0"/>
        <v>6.3750000000000009</v>
      </c>
    </row>
    <row r="8" spans="2:17" ht="16.5" customHeight="1">
      <c r="B8" s="57" t="s">
        <v>35</v>
      </c>
      <c r="C8" s="40" t="s">
        <v>39</v>
      </c>
      <c r="D8" s="55">
        <f>J19*J21*J26</f>
        <v>73</v>
      </c>
      <c r="E8" s="58">
        <f t="shared" ref="E8:E14" si="3">L26</f>
        <v>8</v>
      </c>
      <c r="F8" s="56">
        <f t="shared" ref="F8:F14" si="4">D8*E8</f>
        <v>584</v>
      </c>
      <c r="G8" s="59">
        <f t="shared" ref="G8:G18" si="5">F8/$J$21</f>
        <v>16</v>
      </c>
      <c r="I8" s="104" t="s">
        <v>49</v>
      </c>
      <c r="J8" s="104" t="s">
        <v>0</v>
      </c>
      <c r="K8" s="105">
        <v>4</v>
      </c>
      <c r="L8" s="105">
        <v>225</v>
      </c>
      <c r="M8" s="55">
        <f t="shared" si="1"/>
        <v>900</v>
      </c>
      <c r="N8" s="106">
        <v>10</v>
      </c>
      <c r="O8" s="5">
        <v>0</v>
      </c>
      <c r="P8" s="56">
        <f t="shared" si="2"/>
        <v>22.5</v>
      </c>
      <c r="Q8" s="56">
        <f t="shared" si="0"/>
        <v>38.25</v>
      </c>
    </row>
    <row r="9" spans="2:17" ht="16.5" customHeight="1">
      <c r="B9" s="57" t="s">
        <v>42</v>
      </c>
      <c r="C9" s="40" t="s">
        <v>57</v>
      </c>
      <c r="D9" s="55">
        <f>J19*J21*J27</f>
        <v>438</v>
      </c>
      <c r="E9" s="58">
        <f t="shared" si="3"/>
        <v>1</v>
      </c>
      <c r="F9" s="56">
        <f t="shared" si="4"/>
        <v>438</v>
      </c>
      <c r="G9" s="59">
        <f t="shared" si="5"/>
        <v>12</v>
      </c>
      <c r="I9" s="104" t="s">
        <v>68</v>
      </c>
      <c r="J9" s="104" t="s">
        <v>0</v>
      </c>
      <c r="K9" s="105">
        <v>4</v>
      </c>
      <c r="L9" s="105">
        <v>55</v>
      </c>
      <c r="M9" s="55">
        <f t="shared" si="1"/>
        <v>220</v>
      </c>
      <c r="N9" s="106">
        <v>10</v>
      </c>
      <c r="O9" s="5">
        <v>0</v>
      </c>
      <c r="P9" s="56">
        <f t="shared" si="2"/>
        <v>5.5</v>
      </c>
      <c r="Q9" s="56">
        <f t="shared" si="0"/>
        <v>9.3500000000000014</v>
      </c>
    </row>
    <row r="10" spans="2:17" ht="16.5" customHeight="1">
      <c r="B10" s="57" t="s">
        <v>62</v>
      </c>
      <c r="C10" s="40" t="s">
        <v>39</v>
      </c>
      <c r="D10" s="55">
        <f>J19*J21*J28</f>
        <v>52.559999999999995</v>
      </c>
      <c r="E10" s="58">
        <f t="shared" si="3"/>
        <v>0.2</v>
      </c>
      <c r="F10" s="56">
        <f t="shared" si="4"/>
        <v>10.512</v>
      </c>
      <c r="G10" s="59">
        <f t="shared" si="5"/>
        <v>0.28800000000000003</v>
      </c>
      <c r="I10" s="104" t="s">
        <v>50</v>
      </c>
      <c r="J10" s="104" t="s">
        <v>0</v>
      </c>
      <c r="K10" s="105">
        <v>1</v>
      </c>
      <c r="L10" s="105">
        <v>30</v>
      </c>
      <c r="M10" s="55">
        <f t="shared" si="1"/>
        <v>30</v>
      </c>
      <c r="N10" s="106">
        <v>10</v>
      </c>
      <c r="O10" s="5">
        <v>0</v>
      </c>
      <c r="P10" s="56">
        <f t="shared" si="2"/>
        <v>3</v>
      </c>
      <c r="Q10" s="56">
        <f t="shared" si="0"/>
        <v>1.2750000000000001</v>
      </c>
    </row>
    <row r="11" spans="2:17" ht="16.5" customHeight="1">
      <c r="B11" s="57" t="s">
        <v>64</v>
      </c>
      <c r="C11" s="40" t="s">
        <v>65</v>
      </c>
      <c r="D11" s="55">
        <f>J19*J21*J29</f>
        <v>1197.1999999999998</v>
      </c>
      <c r="E11" s="58">
        <f t="shared" si="3"/>
        <v>0.12</v>
      </c>
      <c r="F11" s="56">
        <f t="shared" si="4"/>
        <v>143.66399999999996</v>
      </c>
      <c r="G11" s="59">
        <f t="shared" si="5"/>
        <v>3.9359999999999991</v>
      </c>
      <c r="I11" s="104" t="s">
        <v>69</v>
      </c>
      <c r="J11" s="104" t="s">
        <v>0</v>
      </c>
      <c r="K11" s="105">
        <v>1</v>
      </c>
      <c r="L11" s="105">
        <v>2500</v>
      </c>
      <c r="M11" s="55">
        <f t="shared" si="1"/>
        <v>2500</v>
      </c>
      <c r="N11" s="106">
        <v>10</v>
      </c>
      <c r="O11" s="5">
        <v>0</v>
      </c>
      <c r="P11" s="56">
        <f t="shared" si="2"/>
        <v>250</v>
      </c>
      <c r="Q11" s="56">
        <f t="shared" si="0"/>
        <v>106.25000000000001</v>
      </c>
    </row>
    <row r="12" spans="2:17" ht="16.5" customHeight="1">
      <c r="B12" s="57" t="s">
        <v>1</v>
      </c>
      <c r="C12" s="40" t="s">
        <v>61</v>
      </c>
      <c r="D12" s="55">
        <f>J19*J21*J30</f>
        <v>2190</v>
      </c>
      <c r="E12" s="58">
        <f t="shared" si="3"/>
        <v>0.33333333333333331</v>
      </c>
      <c r="F12" s="56">
        <f t="shared" si="4"/>
        <v>730</v>
      </c>
      <c r="G12" s="59">
        <f t="shared" si="5"/>
        <v>20</v>
      </c>
      <c r="I12" s="104" t="s">
        <v>111</v>
      </c>
      <c r="J12" s="104" t="s">
        <v>109</v>
      </c>
      <c r="K12" s="105">
        <v>8</v>
      </c>
      <c r="L12" s="105">
        <v>48</v>
      </c>
      <c r="M12" s="55">
        <f t="shared" si="1"/>
        <v>384</v>
      </c>
      <c r="N12" s="106">
        <v>10</v>
      </c>
      <c r="O12" s="5">
        <v>0</v>
      </c>
      <c r="P12" s="56">
        <f t="shared" si="2"/>
        <v>4.8</v>
      </c>
      <c r="Q12" s="56">
        <f t="shared" si="0"/>
        <v>16.32</v>
      </c>
    </row>
    <row r="13" spans="2:17" ht="16.5" customHeight="1">
      <c r="B13" s="57" t="s">
        <v>43</v>
      </c>
      <c r="C13" s="40" t="s">
        <v>0</v>
      </c>
      <c r="D13" s="55">
        <f>J31*J21*J19</f>
        <v>2190</v>
      </c>
      <c r="E13" s="58">
        <f t="shared" si="3"/>
        <v>0.6</v>
      </c>
      <c r="F13" s="56">
        <f t="shared" si="4"/>
        <v>1314</v>
      </c>
      <c r="G13" s="59">
        <f t="shared" si="5"/>
        <v>36</v>
      </c>
      <c r="I13" s="104" t="s">
        <v>67</v>
      </c>
      <c r="J13" s="104" t="s">
        <v>0</v>
      </c>
      <c r="K13" s="105">
        <v>0</v>
      </c>
      <c r="L13" s="105">
        <v>0</v>
      </c>
      <c r="M13" s="60">
        <f t="shared" si="1"/>
        <v>0</v>
      </c>
      <c r="N13" s="106">
        <v>10</v>
      </c>
      <c r="O13" s="5">
        <v>0</v>
      </c>
      <c r="P13" s="61" t="str">
        <f t="shared" si="2"/>
        <v/>
      </c>
      <c r="Q13" s="61" t="str">
        <f t="shared" si="0"/>
        <v/>
      </c>
    </row>
    <row r="14" spans="2:17" ht="16.5" customHeight="1">
      <c r="B14" s="57" t="s">
        <v>60</v>
      </c>
      <c r="C14" s="40" t="s">
        <v>0</v>
      </c>
      <c r="D14" s="55">
        <f>J32*J21*J19</f>
        <v>2190</v>
      </c>
      <c r="E14" s="58">
        <f t="shared" si="3"/>
        <v>0.42</v>
      </c>
      <c r="F14" s="56">
        <f t="shared" si="4"/>
        <v>919.8</v>
      </c>
      <c r="G14" s="59">
        <f t="shared" si="5"/>
        <v>25.2</v>
      </c>
      <c r="L14" s="25" t="s">
        <v>3</v>
      </c>
      <c r="M14" s="55">
        <f>SUM(M6:M13)</f>
        <v>4384</v>
      </c>
      <c r="N14" s="55"/>
      <c r="O14" s="55"/>
      <c r="P14" s="56">
        <f>SUM(P6:P13)</f>
        <v>367.4666666666667</v>
      </c>
      <c r="Q14" s="56">
        <f>SUM(Q6:Q13)</f>
        <v>186.32</v>
      </c>
    </row>
    <row r="15" spans="2:17" ht="16.5" customHeight="1">
      <c r="B15" s="57" t="s">
        <v>7</v>
      </c>
      <c r="C15" s="62" t="s">
        <v>8</v>
      </c>
      <c r="D15" s="102">
        <v>0.15</v>
      </c>
      <c r="E15" s="58"/>
      <c r="F15" s="56">
        <f>F4*D15</f>
        <v>1314</v>
      </c>
      <c r="G15" s="59">
        <f t="shared" si="5"/>
        <v>36</v>
      </c>
      <c r="I15" s="63" t="s">
        <v>70</v>
      </c>
      <c r="K15" s="107">
        <v>0.25</v>
      </c>
      <c r="L15" s="55"/>
      <c r="M15" s="55"/>
      <c r="N15" s="2"/>
      <c r="O15" s="2"/>
    </row>
    <row r="16" spans="2:17" ht="16.5" customHeight="1">
      <c r="B16" s="57" t="s">
        <v>31</v>
      </c>
      <c r="C16" s="62" t="s">
        <v>32</v>
      </c>
      <c r="D16" s="5">
        <v>0.01</v>
      </c>
      <c r="E16" s="58"/>
      <c r="F16" s="56">
        <f>M14*D16</f>
        <v>43.84</v>
      </c>
      <c r="G16" s="59">
        <f t="shared" si="5"/>
        <v>1.201095890410959</v>
      </c>
      <c r="I16" s="2"/>
      <c r="J16" s="2"/>
      <c r="K16" s="2"/>
      <c r="L16" s="2"/>
      <c r="M16" s="2"/>
      <c r="N16" s="2"/>
      <c r="O16" s="2"/>
    </row>
    <row r="17" spans="2:19" ht="16.5" customHeight="1">
      <c r="B17" s="57" t="s">
        <v>9</v>
      </c>
      <c r="C17" s="62"/>
      <c r="D17" s="64"/>
      <c r="E17" s="58"/>
      <c r="F17" s="103">
        <v>0</v>
      </c>
      <c r="G17" s="59">
        <f t="shared" si="5"/>
        <v>0</v>
      </c>
      <c r="I17" s="31" t="s">
        <v>56</v>
      </c>
      <c r="J17" s="32"/>
      <c r="K17" s="32"/>
      <c r="L17" s="2"/>
    </row>
    <row r="18" spans="2:19" ht="16.5" customHeight="1">
      <c r="B18" s="57" t="s">
        <v>11</v>
      </c>
      <c r="C18" s="62" t="s">
        <v>10</v>
      </c>
      <c r="D18" s="5">
        <v>8.5000000000000006E-2</v>
      </c>
      <c r="E18" s="58"/>
      <c r="F18" s="61">
        <f>SUM(F8:F17)*D18*(6/12)</f>
        <v>233.65718000000001</v>
      </c>
      <c r="G18" s="65">
        <f t="shared" si="5"/>
        <v>6.401566575342466</v>
      </c>
      <c r="I18" s="66" t="s">
        <v>34</v>
      </c>
      <c r="J18" s="67" t="s">
        <v>5</v>
      </c>
      <c r="K18" s="68" t="s">
        <v>33</v>
      </c>
    </row>
    <row r="19" spans="2:19" ht="16.5" customHeight="1">
      <c r="B19" s="69"/>
      <c r="C19" s="62"/>
      <c r="D19" s="2"/>
      <c r="E19" s="70" t="s">
        <v>12</v>
      </c>
      <c r="F19" s="48">
        <f>SUM(F8:F18)</f>
        <v>5731.47318</v>
      </c>
      <c r="G19" s="49">
        <f>SUM(G8:G18)</f>
        <v>157.02666246575339</v>
      </c>
      <c r="I19" s="40" t="s">
        <v>46</v>
      </c>
      <c r="J19" s="105">
        <v>4</v>
      </c>
      <c r="K19" s="40" t="s">
        <v>47</v>
      </c>
    </row>
    <row r="20" spans="2:19" ht="16.5" customHeight="1">
      <c r="B20" s="69"/>
      <c r="C20" s="62"/>
      <c r="D20" s="2"/>
      <c r="E20" s="70"/>
      <c r="F20" s="48"/>
      <c r="G20" s="71"/>
      <c r="I20" s="40" t="s">
        <v>48</v>
      </c>
      <c r="J20" s="105">
        <v>10</v>
      </c>
      <c r="K20" s="40" t="s">
        <v>36</v>
      </c>
      <c r="S20" s="72"/>
    </row>
    <row r="21" spans="2:19" ht="16.5" customHeight="1">
      <c r="B21" s="73" t="s">
        <v>13</v>
      </c>
      <c r="C21" s="74" t="s">
        <v>33</v>
      </c>
      <c r="D21" s="75" t="s">
        <v>5</v>
      </c>
      <c r="E21" s="35" t="s">
        <v>38</v>
      </c>
      <c r="F21" s="35" t="s">
        <v>45</v>
      </c>
      <c r="G21" s="36" t="s">
        <v>44</v>
      </c>
      <c r="I21" s="40" t="s">
        <v>40</v>
      </c>
      <c r="J21" s="55">
        <f>365/J20</f>
        <v>36.5</v>
      </c>
      <c r="K21" s="40" t="s">
        <v>41</v>
      </c>
    </row>
    <row r="22" spans="2:19" ht="16.5" customHeight="1">
      <c r="B22" s="76" t="s">
        <v>19</v>
      </c>
      <c r="C22" s="62"/>
      <c r="D22" s="77"/>
      <c r="E22" s="78"/>
      <c r="F22" s="56">
        <f>P14*K15</f>
        <v>91.866666666666674</v>
      </c>
      <c r="G22" s="59">
        <f>F22/$J$21</f>
        <v>2.5168949771689499</v>
      </c>
      <c r="I22" s="40" t="s">
        <v>63</v>
      </c>
      <c r="J22" s="105">
        <v>15</v>
      </c>
      <c r="K22" s="40" t="s">
        <v>39</v>
      </c>
    </row>
    <row r="23" spans="2:19" ht="16.5" customHeight="1">
      <c r="B23" s="76" t="s">
        <v>20</v>
      </c>
      <c r="C23" s="62" t="s">
        <v>10</v>
      </c>
      <c r="D23" s="5">
        <v>8.5000000000000006E-2</v>
      </c>
      <c r="E23" s="78"/>
      <c r="F23" s="56">
        <f>Q14*K15</f>
        <v>46.58</v>
      </c>
      <c r="G23" s="59">
        <f>F23/$J$21</f>
        <v>1.2761643835616439</v>
      </c>
      <c r="L23" s="2"/>
    </row>
    <row r="24" spans="2:19" ht="16.5" customHeight="1">
      <c r="B24" s="76" t="s">
        <v>14</v>
      </c>
      <c r="C24" s="62"/>
      <c r="D24" s="77"/>
      <c r="E24" s="78"/>
      <c r="F24" s="6">
        <v>50</v>
      </c>
      <c r="G24" s="65">
        <f>F24/$J$21</f>
        <v>1.3698630136986301</v>
      </c>
      <c r="I24" s="31" t="s">
        <v>51</v>
      </c>
      <c r="J24" s="32"/>
      <c r="K24" s="32"/>
      <c r="L24" s="32"/>
      <c r="M24" s="32"/>
    </row>
    <row r="25" spans="2:19" ht="16.5" customHeight="1">
      <c r="B25" s="79"/>
      <c r="C25" s="80"/>
      <c r="D25" s="2"/>
      <c r="E25" s="47" t="s">
        <v>15</v>
      </c>
      <c r="F25" s="48">
        <f>SUM(F22:F24)</f>
        <v>188.44666666666666</v>
      </c>
      <c r="G25" s="49">
        <f>SUM(G22:G24)</f>
        <v>5.1629223744292236</v>
      </c>
      <c r="I25" s="66" t="s">
        <v>34</v>
      </c>
      <c r="J25" s="67" t="s">
        <v>5</v>
      </c>
      <c r="K25" s="68" t="s">
        <v>33</v>
      </c>
      <c r="L25" s="68" t="s">
        <v>52</v>
      </c>
      <c r="M25" s="68" t="s">
        <v>53</v>
      </c>
    </row>
    <row r="26" spans="2:19" ht="16.5" customHeight="1">
      <c r="B26" s="79"/>
      <c r="C26" s="80"/>
      <c r="D26" s="2"/>
      <c r="E26" s="47"/>
      <c r="F26" s="48"/>
      <c r="G26" s="81"/>
      <c r="I26" s="40" t="s">
        <v>35</v>
      </c>
      <c r="J26" s="108">
        <v>0.5</v>
      </c>
      <c r="K26" s="40" t="s">
        <v>39</v>
      </c>
      <c r="L26" s="109">
        <v>8</v>
      </c>
      <c r="M26" s="4">
        <f>J26*L26</f>
        <v>4</v>
      </c>
    </row>
    <row r="27" spans="2:19" ht="16.5" customHeight="1">
      <c r="B27" s="79"/>
      <c r="C27" s="80"/>
      <c r="D27" s="2"/>
      <c r="E27" s="47" t="s">
        <v>16</v>
      </c>
      <c r="F27" s="48">
        <f>F19+F25</f>
        <v>5919.9198466666667</v>
      </c>
      <c r="G27" s="49">
        <f>G19+G25</f>
        <v>162.18958484018262</v>
      </c>
      <c r="I27" s="40" t="s">
        <v>42</v>
      </c>
      <c r="J27" s="105">
        <v>3</v>
      </c>
      <c r="K27" s="40" t="s">
        <v>57</v>
      </c>
      <c r="L27" s="109">
        <v>1</v>
      </c>
      <c r="M27" s="4">
        <f>J27*L27</f>
        <v>3</v>
      </c>
    </row>
    <row r="28" spans="2:19" ht="16.5" customHeight="1">
      <c r="B28" s="82"/>
      <c r="C28" s="83"/>
      <c r="D28" s="31"/>
      <c r="E28" s="84"/>
      <c r="F28" s="85"/>
      <c r="G28" s="86"/>
      <c r="I28" s="40" t="s">
        <v>62</v>
      </c>
      <c r="J28" s="103">
        <v>0.36</v>
      </c>
      <c r="K28" s="40" t="s">
        <v>39</v>
      </c>
      <c r="L28" s="109">
        <v>0.2</v>
      </c>
      <c r="M28" s="4">
        <f>J28*L28</f>
        <v>7.1999999999999995E-2</v>
      </c>
      <c r="S28" s="72"/>
    </row>
    <row r="29" spans="2:19" ht="16.5" customHeight="1">
      <c r="B29" s="79"/>
      <c r="C29" s="80"/>
      <c r="D29"/>
      <c r="E29" s="47" t="s">
        <v>17</v>
      </c>
      <c r="F29" s="48">
        <f>F5-F19</f>
        <v>3028.52682</v>
      </c>
      <c r="G29" s="49">
        <f>G5-G19</f>
        <v>82.97333753424661</v>
      </c>
      <c r="I29" s="87" t="s">
        <v>76</v>
      </c>
      <c r="J29" s="103">
        <f>1.44+0.35+6.41</f>
        <v>8.1999999999999993</v>
      </c>
      <c r="K29" s="40" t="s">
        <v>65</v>
      </c>
      <c r="L29" s="109">
        <v>0.12</v>
      </c>
      <c r="M29" s="4">
        <f>J29*L29</f>
        <v>0.98399999999999987</v>
      </c>
    </row>
    <row r="30" spans="2:19" ht="16.5" customHeight="1" thickBot="1">
      <c r="B30" s="88"/>
      <c r="C30" s="89"/>
      <c r="D30" s="90"/>
      <c r="E30" s="91" t="s">
        <v>18</v>
      </c>
      <c r="F30" s="92">
        <f>F5-F27</f>
        <v>2840.0801533333333</v>
      </c>
      <c r="G30" s="93">
        <f>G5-G27</f>
        <v>77.810415159817381</v>
      </c>
      <c r="I30" s="40" t="s">
        <v>54</v>
      </c>
      <c r="J30" s="105">
        <v>15</v>
      </c>
      <c r="K30" s="40" t="s">
        <v>61</v>
      </c>
      <c r="L30" s="109">
        <f>20/60</f>
        <v>0.33333333333333331</v>
      </c>
      <c r="M30" s="4">
        <f>J30*L30</f>
        <v>5</v>
      </c>
    </row>
    <row r="31" spans="2:19" ht="16.5" customHeight="1">
      <c r="B31" s="3"/>
      <c r="C31" s="80"/>
      <c r="D31" s="2"/>
      <c r="E31" s="47"/>
      <c r="F31" s="48"/>
      <c r="G31" s="48"/>
      <c r="H31" s="94"/>
      <c r="I31" s="40" t="s">
        <v>37</v>
      </c>
      <c r="J31" s="105">
        <v>15</v>
      </c>
      <c r="K31" s="40" t="s">
        <v>0</v>
      </c>
      <c r="L31" s="109">
        <v>0.6</v>
      </c>
      <c r="M31" s="4">
        <f t="shared" ref="M31:M32" si="6">J31*L31</f>
        <v>9</v>
      </c>
      <c r="N31" s="95"/>
      <c r="O31" s="95"/>
      <c r="P31" s="95"/>
    </row>
    <row r="32" spans="2:19" ht="16.5" customHeight="1">
      <c r="I32" s="40" t="s">
        <v>58</v>
      </c>
      <c r="J32" s="105">
        <v>15</v>
      </c>
      <c r="K32" s="40" t="s">
        <v>0</v>
      </c>
      <c r="L32" s="109">
        <v>0.42</v>
      </c>
      <c r="M32" s="4">
        <f t="shared" si="6"/>
        <v>6.3</v>
      </c>
    </row>
    <row r="33" spans="2:15" ht="16.5" hidden="1" customHeight="1">
      <c r="B33" s="1"/>
      <c r="C33" s="1"/>
      <c r="D33" s="1"/>
      <c r="E33" s="96"/>
      <c r="F33" s="96"/>
      <c r="G33" s="96"/>
      <c r="O33" s="97"/>
    </row>
    <row r="34" spans="2:15" ht="16.5" hidden="1" customHeight="1">
      <c r="J34" s="98"/>
    </row>
    <row r="35" spans="2:15" ht="16.5" hidden="1" customHeight="1">
      <c r="L35" s="97"/>
    </row>
    <row r="36" spans="2:15" ht="16.5" hidden="1" customHeight="1">
      <c r="J36" s="99"/>
      <c r="K36" s="99"/>
    </row>
    <row r="37" spans="2:15" ht="16.5" hidden="1" customHeight="1">
      <c r="O37" s="97"/>
    </row>
    <row r="38" spans="2:15" ht="16.5" hidden="1" customHeight="1">
      <c r="L38" s="97"/>
    </row>
    <row r="39" spans="2:15" hidden="1">
      <c r="L39" s="56"/>
    </row>
    <row r="40" spans="2:15" ht="16.5" hidden="1" customHeight="1">
      <c r="L40" s="56"/>
    </row>
    <row r="49" spans="9:15" hidden="1">
      <c r="O49" s="100"/>
    </row>
    <row r="50" spans="9:15" hidden="1">
      <c r="O50" s="100"/>
    </row>
    <row r="51" spans="9:15" hidden="1">
      <c r="I51" s="100"/>
      <c r="J51" s="100"/>
      <c r="K51" s="100"/>
      <c r="M51" s="100"/>
      <c r="O51" s="100"/>
    </row>
    <row r="52" spans="9:15" hidden="1">
      <c r="I52" s="100"/>
      <c r="J52" s="100"/>
      <c r="K52" s="100"/>
      <c r="M52" s="100"/>
      <c r="N52" s="100"/>
    </row>
    <row r="53" spans="9:15" hidden="1">
      <c r="N53" s="100"/>
    </row>
    <row r="54" spans="9:15" hidden="1">
      <c r="N54" s="100"/>
    </row>
    <row r="63" spans="9:15" hidden="1">
      <c r="L63" s="100"/>
    </row>
    <row r="64" spans="9:15" hidden="1">
      <c r="L64" s="100"/>
    </row>
  </sheetData>
  <sheetProtection sheet="1" objects="1" scenarios="1"/>
  <mergeCells count="1">
    <mergeCell ref="B1:F1"/>
  </mergeCells>
  <pageMargins left="0.7" right="0.7" top="0.75" bottom="0.75" header="0.3" footer="0.3"/>
  <pageSetup orientation="portrait" r:id="rId1"/>
  <ignoredErrors>
    <ignoredError sqref="D9:D10" formula="1"/>
    <ignoredError sqref="J29 L30"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B1A7C-1B8F-4706-B2A7-040A07AE34AB}">
  <dimension ref="B2:X37"/>
  <sheetViews>
    <sheetView topLeftCell="A9" workbookViewId="0">
      <selection activeCell="E38" sqref="E38"/>
    </sheetView>
  </sheetViews>
  <sheetFormatPr defaultColWidth="9.1796875" defaultRowHeight="16.5"/>
  <cols>
    <col min="1" max="16384" width="9.1796875" style="2"/>
  </cols>
  <sheetData>
    <row r="2" spans="2:24" ht="17.5">
      <c r="B2" s="12" t="s">
        <v>64</v>
      </c>
    </row>
    <row r="3" spans="2:24" ht="17.5">
      <c r="B3" s="7" t="s">
        <v>99</v>
      </c>
    </row>
    <row r="4" spans="2:24" ht="17.5">
      <c r="B4" s="7" t="s">
        <v>79</v>
      </c>
    </row>
    <row r="5" spans="2:24" ht="17.5">
      <c r="B5" s="7"/>
    </row>
    <row r="6" spans="2:24" ht="17.5">
      <c r="B6" s="8" t="s">
        <v>77</v>
      </c>
    </row>
    <row r="7" spans="2:24" ht="17.5">
      <c r="B7" s="9" t="s">
        <v>78</v>
      </c>
      <c r="J7" s="2" t="s">
        <v>85</v>
      </c>
    </row>
    <row r="8" spans="2:24" ht="17.5">
      <c r="B8" s="1"/>
      <c r="P8" s="2" t="s">
        <v>86</v>
      </c>
      <c r="Q8" s="2">
        <v>949</v>
      </c>
      <c r="R8" s="2" t="s">
        <v>65</v>
      </c>
      <c r="S8" s="2">
        <v>4</v>
      </c>
      <c r="T8" s="2" t="s">
        <v>89</v>
      </c>
      <c r="U8" s="2">
        <v>37</v>
      </c>
      <c r="V8" s="2" t="s">
        <v>90</v>
      </c>
      <c r="X8" s="4">
        <f>Q8/S8/U8</f>
        <v>6.4121621621621623</v>
      </c>
    </row>
    <row r="9" spans="2:24" ht="17.5">
      <c r="B9" s="12" t="s">
        <v>91</v>
      </c>
      <c r="C9" s="1"/>
      <c r="D9" s="1"/>
      <c r="E9" s="1"/>
      <c r="F9" s="1"/>
      <c r="G9" s="1"/>
      <c r="H9" s="1"/>
      <c r="I9" s="1"/>
      <c r="J9" s="1"/>
      <c r="P9" s="2" t="s">
        <v>87</v>
      </c>
      <c r="Q9" s="2">
        <v>949</v>
      </c>
      <c r="R9" s="2" t="s">
        <v>65</v>
      </c>
      <c r="S9" s="2">
        <v>4</v>
      </c>
      <c r="T9" s="2" t="s">
        <v>89</v>
      </c>
      <c r="U9" s="2">
        <v>46</v>
      </c>
      <c r="V9" s="2" t="s">
        <v>90</v>
      </c>
      <c r="X9" s="4">
        <f t="shared" ref="X9:X10" si="0">Q9/S9/U9</f>
        <v>5.1576086956521738</v>
      </c>
    </row>
    <row r="10" spans="2:24" ht="17.5">
      <c r="B10" s="1" t="s">
        <v>80</v>
      </c>
      <c r="C10" s="1"/>
      <c r="D10" s="11" t="s">
        <v>81</v>
      </c>
      <c r="E10" s="1"/>
      <c r="F10" s="1"/>
      <c r="G10" s="1"/>
      <c r="H10" s="1"/>
      <c r="I10" s="1"/>
      <c r="J10" s="1"/>
      <c r="P10" s="2" t="s">
        <v>88</v>
      </c>
      <c r="Q10" s="2">
        <v>949</v>
      </c>
      <c r="R10" s="2" t="s">
        <v>65</v>
      </c>
      <c r="S10" s="2">
        <v>4</v>
      </c>
      <c r="T10" s="2" t="s">
        <v>89</v>
      </c>
      <c r="U10" s="2">
        <v>29</v>
      </c>
      <c r="V10" s="2" t="s">
        <v>90</v>
      </c>
      <c r="X10" s="4">
        <f t="shared" si="0"/>
        <v>8.181034482758621</v>
      </c>
    </row>
    <row r="11" spans="2:24" ht="17.5">
      <c r="B11" s="1" t="s">
        <v>101</v>
      </c>
      <c r="F11" s="10" t="s">
        <v>95</v>
      </c>
    </row>
    <row r="12" spans="2:24" ht="17.5">
      <c r="B12" s="1"/>
      <c r="G12" s="10"/>
    </row>
    <row r="13" spans="2:24" ht="17.5">
      <c r="B13" s="12" t="s">
        <v>68</v>
      </c>
    </row>
    <row r="14" spans="2:24">
      <c r="B14" s="11" t="s">
        <v>82</v>
      </c>
    </row>
    <row r="15" spans="2:24" ht="17.5">
      <c r="B15" s="1"/>
    </row>
    <row r="16" spans="2:24" ht="17.5">
      <c r="B16" s="12" t="s">
        <v>83</v>
      </c>
    </row>
    <row r="17" spans="2:12">
      <c r="B17" s="11" t="s">
        <v>84</v>
      </c>
    </row>
    <row r="18" spans="2:12" ht="17.5">
      <c r="B18" s="1"/>
    </row>
    <row r="19" spans="2:12" ht="17.5">
      <c r="B19" s="12" t="s">
        <v>97</v>
      </c>
    </row>
    <row r="20" spans="2:12">
      <c r="B20" s="13" t="s">
        <v>100</v>
      </c>
      <c r="L20" s="2" t="s">
        <v>98</v>
      </c>
    </row>
    <row r="22" spans="2:12" ht="17.5">
      <c r="B22" s="12" t="s">
        <v>119</v>
      </c>
    </row>
    <row r="23" spans="2:12">
      <c r="B23" s="22" t="s">
        <v>112</v>
      </c>
    </row>
    <row r="24" spans="2:12">
      <c r="B24" s="23" t="s">
        <v>113</v>
      </c>
    </row>
    <row r="25" spans="2:12">
      <c r="B25" s="23" t="s">
        <v>114</v>
      </c>
    </row>
    <row r="26" spans="2:12">
      <c r="B26" s="24" t="s">
        <v>115</v>
      </c>
    </row>
    <row r="27" spans="2:12">
      <c r="B27" s="24" t="s">
        <v>116</v>
      </c>
    </row>
    <row r="28" spans="2:12">
      <c r="B28" s="24"/>
    </row>
    <row r="29" spans="2:12">
      <c r="B29" s="22" t="s">
        <v>117</v>
      </c>
    </row>
    <row r="30" spans="2:12">
      <c r="B30" s="23" t="s">
        <v>118</v>
      </c>
    </row>
    <row r="32" spans="2:12" ht="17.5">
      <c r="B32" s="12" t="s">
        <v>120</v>
      </c>
    </row>
    <row r="34" spans="2:6">
      <c r="B34" s="2" t="s">
        <v>121</v>
      </c>
    </row>
    <row r="35" spans="2:6">
      <c r="B35" s="2" t="s">
        <v>122</v>
      </c>
      <c r="E35" s="2">
        <f>19.97/35</f>
        <v>0.57057142857142851</v>
      </c>
      <c r="F35" s="2" t="s">
        <v>123</v>
      </c>
    </row>
    <row r="37" spans="2:6">
      <c r="B37" s="2" t="s">
        <v>124</v>
      </c>
    </row>
  </sheetData>
  <hyperlinks>
    <hyperlink ref="D10" r:id="rId1" xr:uid="{7E11773C-F44E-4AA2-A30E-1B6BEBAA430B}"/>
    <hyperlink ref="B14" r:id="rId2" display="https://nam02.safelinks.protection.outlook.com/?url=https%3A%2F%2Fwww.amazon.com%2FInfinity-CLOUDRAY-Weatherproof-Oscillation-Hydroponics%2Fdp%2FB0B179135B%2Fref%3Dsxin_15_sbv_search_btf%3Fcontent-id%3Damzn1.sym.c44d9f79-d706-4fe9-a72f-cc7d2fe3208f%253Aamzn1.sym.c44d9f79-d706-4fe9-a72f-cc7d2fe3208f%26crid%3D2H0CA44P8KKD2%26cv_ct_cx%3Dac%2Binfinity%2Bcloudray%2Bs6%26dib%3DeyJ2IjoiMSJ9.ZkNiQoj7_2F4VDD_UZ6CJQ.ZL-w_C6qQ3o2VFjaVQLBKtQ-lgutoBWvsIBfhBfmbSc%26dib_tag%3Dse%26keywords%3Dac%2Binfinity%2Bcloudray%2Bs6%26pd_rd_i%3DB0B179135B%26pd_rd_r%3D2f496dfd-03d0-4376-9af1-06dc2ba6c31d%26pd_rd_w%3DbOZdM%26pd_rd_wg%3Dn9Rdj%26pf_rd_p%3Dc44d9f79-d706-4fe9-a72f-cc7d2fe3208f%26pf_rd_r%3DQQZ30DJ8PDDHMG90Q0EK%26qid%3D1712613177%26s%3Dindustrial%26sbo%3DRZvfv%252F%252FHxDF%252BO5021pAnSA%253D%253D%26sprefix%3Dacinfinity%2Bcloudray%2Bs6%252Cindustrial%252C502%26sr%3D1-1-5190daf0-67e3-427c-bea6-c72c1df98776&amp;data=05%7C02%7Cryan.milhollin%40missouri.edu%7C87cb6ebd9e574ec8eeec08dc5f09d482%7Ce3fefdbef7e9401ba51a355e01b05a89%7C0%7C0%7C638489743027937335%7CUnknown%7CTWFpbGZsb3d8eyJWIjoiMC4wLjAwMDAiLCJQIjoiV2luMzIiLCJBTiI6Ik1haWwiLCJXVCI6Mn0%3D%7C0%7C%7C%7C&amp;sdata=m46NIRj3Asp52Ms2qXQauI6XgIhAy7Sl8SS86lL5m%2BY%3D&amp;reserved=0" xr:uid="{9646FC0F-7D1F-4073-8414-06F2F8B22779}"/>
    <hyperlink ref="B17" r:id="rId3" display="https://www.katom.com/842-CSD2DRBAL54G.html?utm_source=google&amp;utm_medium=cpc&amp;utm_campaign=%5BROI%5D%20Shopping%20-%20Commercial%20Refrigeration%20-%20General&amp;utm_id=249331835&amp;utm_content=20200586795&amp;utm_term=&amp;gad_source=1&amp;gclid=Cj0KCQjwq86wBhDiARIsAJhuphmJzeXoXH-CAwbWepqkB2Xw0pRChI4tzEsqtV5d8sp8npnwRe-4pzUaAqyYEALw_wcB" xr:uid="{222ABD6D-60DE-45EC-A330-22970627D981}"/>
    <hyperlink ref="F11" r:id="rId4" xr:uid="{FB92BDFD-F7E1-44DF-BD87-4F5DFA557C8E}"/>
    <hyperlink ref="B26" r:id="rId5" display="https://nam02.safelinks.protection.outlook.com/?url=https%3A%2F%2Fifarm.fi%2Fblog%2Fvertical-farming-costs&amp;data=05%7C02%7Cryan.milhollin%40missouri.edu%7Cf53f3f4c8b68434923e108dc60921ade%7Ce3fefdbef7e9401ba51a355e01b05a89%7C0%7C0%7C638491427853852072%7CUnknown%7CTWFpbGZsb3d8eyJWIjoiMC4wLjAwMDAiLCJQIjoiV2luMzIiLCJBTiI6Ik1haWwiLCJXVCI6Mn0%3D%7C0%7C%7C%7C&amp;sdata=CfQNSwwVknfDqaApgt2KYih6VNh3YOYIc%2FCBY1jTp1Y%3D&amp;reserved=0" xr:uid="{AF6F66FF-0073-46C8-9943-47E0545E0560}"/>
    <hyperlink ref="B27" r:id="rId6" display="https://nam02.safelinks.protection.outlook.com/?url=https%3A%2F%2Fwww.discovercontainers.com%2Fshipping-container-farms%2F&amp;data=05%7C02%7Cryan.milhollin%40missouri.edu%7Cf53f3f4c8b68434923e108dc60921ade%7Ce3fefdbef7e9401ba51a355e01b05a89%7C0%7C0%7C638491427853863325%7CUnknown%7CTWFpbGZsb3d8eyJWIjoiMC4wLjAwMDAiLCJQIjoiV2luMzIiLCJBTiI6Ik1haWwiLCJXVCI6Mn0%3D%7C0%7C%7C%7C&amp;sdata=iSlBcjUZ4WPmkqtGRseN%2FoUAq0x9S%2FqqrqmZuTRoaJU%3D&amp;reserved=0" xr:uid="{EE8A9199-167B-4FC0-A9DC-1C53038BE3B4}"/>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272BA2EC307A4F840456AFB3F4BF30" ma:contentTypeVersion="14" ma:contentTypeDescription="Create a new document." ma:contentTypeScope="" ma:versionID="971d982661a3229b4f5b06bad9bd83ce">
  <xsd:schema xmlns:xsd="http://www.w3.org/2001/XMLSchema" xmlns:xs="http://www.w3.org/2001/XMLSchema" xmlns:p="http://schemas.microsoft.com/office/2006/metadata/properties" xmlns:ns2="afeaba0f-363c-487a-9eab-504fb0ae0068" xmlns:ns3="3cf54786-5cbe-4eed-9d82-be7bae57988e" targetNamespace="http://schemas.microsoft.com/office/2006/metadata/properties" ma:root="true" ma:fieldsID="76061db5591fa8807d06033b64eab8eb" ns2:_="" ns3:_="">
    <xsd:import namespace="afeaba0f-363c-487a-9eab-504fb0ae0068"/>
    <xsd:import namespace="3cf54786-5cbe-4eed-9d82-be7bae57988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eaba0f-363c-487a-9eab-504fb0ae00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cf54786-5cbe-4eed-9d82-be7bae57988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22560828-92f4-433d-b2dd-f0bd0e5db71c}" ma:internalName="TaxCatchAll" ma:showField="CatchAllData" ma:web="3cf54786-5cbe-4eed-9d82-be7bae5798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feaba0f-363c-487a-9eab-504fb0ae0068">
      <Terms xmlns="http://schemas.microsoft.com/office/infopath/2007/PartnerControls"/>
    </lcf76f155ced4ddcb4097134ff3c332f>
    <TaxCatchAll xmlns="3cf54786-5cbe-4eed-9d82-be7bae57988e" xsi:nil="true"/>
  </documentManagement>
</p:properties>
</file>

<file path=customXml/itemProps1.xml><?xml version="1.0" encoding="utf-8"?>
<ds:datastoreItem xmlns:ds="http://schemas.openxmlformats.org/officeDocument/2006/customXml" ds:itemID="{254D072A-FF27-449D-A74B-48C1525B7F70}"/>
</file>

<file path=customXml/itemProps2.xml><?xml version="1.0" encoding="utf-8"?>
<ds:datastoreItem xmlns:ds="http://schemas.openxmlformats.org/officeDocument/2006/customXml" ds:itemID="{DC237E36-C371-4BE0-AC7D-C0B491C3E929}"/>
</file>

<file path=customXml/itemProps3.xml><?xml version="1.0" encoding="utf-8"?>
<ds:datastoreItem xmlns:ds="http://schemas.openxmlformats.org/officeDocument/2006/customXml" ds:itemID="{044F965F-7A4D-493C-BB94-15856EC5790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vt:lpstr>
      <vt:lpstr>Mix</vt:lpstr>
      <vt:lpstr>Pea</vt:lpstr>
      <vt:lpstr>Broccoli</vt:lpstr>
      <vt:lpstr>Radish</vt:lpstr>
      <vt:lpstr>Cabbage</vt:lpstr>
      <vt:lpstr>Sources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Milhollin, Ryan</dc:creator>
  <cp:lastModifiedBy>Washburn, TaylorAnn</cp:lastModifiedBy>
  <dcterms:created xsi:type="dcterms:W3CDTF">2021-01-29T03:55:43Z</dcterms:created>
  <dcterms:modified xsi:type="dcterms:W3CDTF">2024-06-27T13:26:19Z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0x010100CE272BA2EC307A4F840456AFB3F4BF30</vt:lpwstr>
  </property>
</Properties>
</file>