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https://mailmissouri.sharepoint.com/sites/MissouriAgFoodandForestryInnovationCenterTeam-Ogrp/Shared Documents/FSA Urban and Innovative Ag/Specialty Crop Budgets and Resources/Budget Spreadsheets Updated with Grant Acknowledgement/"/>
    </mc:Choice>
  </mc:AlternateContent>
  <xr:revisionPtr revIDLastSave="0" documentId="8_{BD0559BA-C722-48D9-94E2-BA8E6679326D}" xr6:coauthVersionLast="47" xr6:coauthVersionMax="47" xr10:uidLastSave="{00000000-0000-0000-0000-000000000000}"/>
  <bookViews>
    <workbookView xWindow="28680" yWindow="-120" windowWidth="57840" windowHeight="23520" xr2:uid="{DACF3113-47F7-4258-9CAF-4D99F7E5D3E3}"/>
  </bookViews>
  <sheets>
    <sheet name="Introduction" sheetId="5" r:id="rId1"/>
    <sheet name="Budget" sheetId="1" r:id="rId2"/>
    <sheet name="Data source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1" l="1"/>
  <c r="E50" i="3"/>
  <c r="E53" i="3"/>
  <c r="E52" i="3"/>
  <c r="G42" i="3"/>
  <c r="E44" i="3"/>
  <c r="I47" i="3"/>
  <c r="F35" i="1"/>
  <c r="F15" i="1"/>
  <c r="C54" i="1"/>
  <c r="C55" i="1" s="1"/>
  <c r="F16" i="1"/>
  <c r="F11" i="1"/>
  <c r="F10" i="1"/>
  <c r="F9" i="1"/>
  <c r="H50" i="1"/>
  <c r="G50" i="1"/>
  <c r="E50" i="1"/>
  <c r="D50" i="1"/>
  <c r="D5" i="1"/>
  <c r="F5" i="1" s="1"/>
  <c r="C52" i="1" l="1"/>
  <c r="C51" i="1"/>
  <c r="D12" i="1"/>
  <c r="D17" i="1"/>
  <c r="F17" i="1" s="1"/>
  <c r="D13" i="1" l="1"/>
  <c r="F13" i="1" s="1"/>
  <c r="F12" i="1"/>
  <c r="G43" i="3"/>
  <c r="D42" i="3"/>
  <c r="E42" i="3" s="1"/>
  <c r="D43" i="3"/>
  <c r="E43" i="3" s="1"/>
  <c r="I43" i="3" s="1"/>
  <c r="I42" i="3" l="1"/>
  <c r="I44" i="3" s="1"/>
  <c r="G47" i="3" s="1"/>
  <c r="G16" i="1"/>
  <c r="F14" i="1"/>
  <c r="G37" i="1" l="1"/>
  <c r="D34" i="3"/>
  <c r="D35" i="3" s="1"/>
  <c r="D4" i="1" l="1"/>
  <c r="F4" i="1" l="1"/>
  <c r="G5" i="1"/>
  <c r="K16" i="3"/>
  <c r="I16" i="3"/>
  <c r="N7" i="1"/>
  <c r="N8" i="1"/>
  <c r="N9" i="1"/>
  <c r="N6" i="1"/>
  <c r="F36" i="1" s="1"/>
  <c r="M7" i="1" l="1"/>
  <c r="M9" i="1"/>
  <c r="M8" i="1"/>
  <c r="M6" i="1"/>
  <c r="J10" i="1"/>
  <c r="F38" i="1" l="1"/>
  <c r="F29" i="1"/>
  <c r="G29" i="1" s="1"/>
  <c r="G36" i="1"/>
  <c r="G38" i="1" l="1"/>
  <c r="G35" i="1"/>
  <c r="G30" i="1"/>
  <c r="G39" i="1" l="1"/>
  <c r="F39" i="1"/>
  <c r="G17" i="1" l="1"/>
  <c r="F27" i="1"/>
  <c r="G27" i="1" s="1"/>
  <c r="F26" i="1"/>
  <c r="G26" i="1" s="1"/>
  <c r="F25" i="1"/>
  <c r="G25" i="1" s="1"/>
  <c r="G15" i="1"/>
  <c r="F24" i="1"/>
  <c r="G24" i="1" s="1"/>
  <c r="F23" i="1"/>
  <c r="G23" i="1" s="1"/>
  <c r="F22" i="1"/>
  <c r="G22" i="1" s="1"/>
  <c r="F21" i="1"/>
  <c r="G21" i="1" s="1"/>
  <c r="G13" i="1"/>
  <c r="F20" i="1"/>
  <c r="G20" i="1" s="1"/>
  <c r="G12" i="1"/>
  <c r="G11" i="1"/>
  <c r="G10" i="1"/>
  <c r="F19" i="1"/>
  <c r="G19" i="1" s="1"/>
  <c r="G4" i="1" l="1"/>
  <c r="F6" i="1"/>
  <c r="F28" i="1" s="1"/>
  <c r="F31" i="1" s="1"/>
  <c r="G9" i="1"/>
  <c r="G14" i="1"/>
  <c r="G6" i="1" l="1"/>
  <c r="G28" i="1"/>
  <c r="G31" i="1" l="1"/>
  <c r="F32" i="1"/>
  <c r="F43" i="1" l="1"/>
  <c r="G32" i="1"/>
  <c r="F41" i="1"/>
  <c r="F44" i="1" l="1"/>
  <c r="C50" i="1" s="1"/>
  <c r="G41" i="1"/>
  <c r="G44" i="1" s="1"/>
  <c r="G43" i="1"/>
</calcChain>
</file>

<file path=xl/sharedStrings.xml><?xml version="1.0" encoding="utf-8"?>
<sst xmlns="http://schemas.openxmlformats.org/spreadsheetml/2006/main" count="264" uniqueCount="187">
  <si>
    <t>each</t>
  </si>
  <si>
    <t>hours</t>
  </si>
  <si>
    <t>Plastic mulch</t>
  </si>
  <si>
    <t>feet</t>
  </si>
  <si>
    <t xml:space="preserve">Drip tape </t>
  </si>
  <si>
    <t>Transplants</t>
  </si>
  <si>
    <t>ounces</t>
  </si>
  <si>
    <t>months</t>
  </si>
  <si>
    <t>https://www.hummert.com/mulch-film-black-1-mil-26311600</t>
  </si>
  <si>
    <t>https://www.dripworks.com/aqua-traxx-azul-8-mil-drip-tape-rolls</t>
  </si>
  <si>
    <t>https://www.amazon.com/Tingyuan-Garden-Stakes-Inches-Steel/dp/B07V5V6W2S/ref=sr_1_4?crid=2I9QN75HVH0SJ&amp;keywords=72%2Binch%2Bhigh%2Btunnel%2Bstakes&amp;qid=1707776163&amp;sprefix=72%2Binch%2Bhigh%2Btunnel%2Bstakes%2Caps%2C306&amp;sr=8-4&amp;th=1</t>
  </si>
  <si>
    <t>https://www.dripworks.com/grow-more-20-20-20</t>
  </si>
  <si>
    <t>https://www.keystonepestsolutions.com/index.php?main_page=product_info&amp;products_id=1128</t>
  </si>
  <si>
    <t>https://tgfarmersmarket.com/2024-application-preview/</t>
  </si>
  <si>
    <t>https://extension.missouri.edu/programs/soil-and-plant-testing-laboratory/spl-submit-samples/spl-tests-fees</t>
  </si>
  <si>
    <t>https://usda.library.cornell.edu/concern/publications/x920fw89s?locale=en</t>
  </si>
  <si>
    <t>Data Sources</t>
  </si>
  <si>
    <t>MU Soil Test</t>
  </si>
  <si>
    <t>USDA Farm Labor Survey</t>
  </si>
  <si>
    <t>Drip tape</t>
  </si>
  <si>
    <t>Stakes</t>
  </si>
  <si>
    <t>Soluble 20-20-20</t>
  </si>
  <si>
    <t>Brigade 2EC Insecticide</t>
  </si>
  <si>
    <t>Farm Manager wage</t>
  </si>
  <si>
    <t>https://www.salary.com/tools/salary-calculator/agricultural-manager-hourly/saint-louis-mo?type=bonus</t>
  </si>
  <si>
    <t>St Louis farmers market stand costs</t>
  </si>
  <si>
    <t>USDA AMS - Market News - Run Custom Report - Retail</t>
  </si>
  <si>
    <t>MU Extension Publication</t>
  </si>
  <si>
    <t>High tunnel tomato</t>
  </si>
  <si>
    <t>https://extension.missouri.edu/publications/m170</t>
  </si>
  <si>
    <t>Specialty crops retail prices (supermarket outlets)</t>
  </si>
  <si>
    <t>Missouri Department of Ag farmers market prices</t>
  </si>
  <si>
    <t>https://mdafmr.mo.gov/</t>
  </si>
  <si>
    <t>High Tunnel Tomato Enterprise Budget</t>
  </si>
  <si>
    <t>Labor</t>
  </si>
  <si>
    <t>Total income</t>
  </si>
  <si>
    <t>Units</t>
  </si>
  <si>
    <t>Total</t>
  </si>
  <si>
    <t>Income</t>
  </si>
  <si>
    <t>Per sq. ft.</t>
  </si>
  <si>
    <t>Price/unit</t>
  </si>
  <si>
    <t>Quantity</t>
  </si>
  <si>
    <t>Operating costs</t>
  </si>
  <si>
    <t>Soil test</t>
  </si>
  <si>
    <r>
      <t xml:space="preserve">Fertigation </t>
    </r>
    <r>
      <rPr>
        <i/>
        <sz val="11"/>
        <color theme="1"/>
        <rFont val="Segoe UI"/>
        <family val="2"/>
      </rPr>
      <t>(soluble 20-20-20)</t>
    </r>
  </si>
  <si>
    <t xml:space="preserve">   Planting transplants </t>
  </si>
  <si>
    <t xml:space="preserve">   Staking</t>
  </si>
  <si>
    <t xml:space="preserve">   Pruning and clipping</t>
  </si>
  <si>
    <t xml:space="preserve">   Weeding</t>
  </si>
  <si>
    <t>Boxes and other supplies</t>
  </si>
  <si>
    <r>
      <t xml:space="preserve">   Irrigation and fertigation </t>
    </r>
    <r>
      <rPr>
        <i/>
        <sz val="11"/>
        <color theme="1"/>
        <rFont val="Segoe UI"/>
        <family val="2"/>
      </rPr>
      <t xml:space="preserve">(setup and maint) </t>
    </r>
  </si>
  <si>
    <t xml:space="preserve">   Tilling, lay beds, install mulch &amp; drip tape</t>
  </si>
  <si>
    <r>
      <t xml:space="preserve">   Harvesting </t>
    </r>
    <r>
      <rPr>
        <i/>
        <sz val="11"/>
        <color theme="1"/>
        <rFont val="Segoe UI"/>
        <family val="2"/>
      </rPr>
      <t>(12 weeks)</t>
    </r>
  </si>
  <si>
    <r>
      <t xml:space="preserve">   Washing/grading/packing </t>
    </r>
    <r>
      <rPr>
        <i/>
        <sz val="11"/>
        <color theme="1"/>
        <rFont val="Segoe UI"/>
        <family val="2"/>
      </rPr>
      <t>(12 weeks)</t>
    </r>
  </si>
  <si>
    <t>Marketing</t>
  </si>
  <si>
    <t>% of sales</t>
  </si>
  <si>
    <t xml:space="preserve">Miscellaneous </t>
  </si>
  <si>
    <t>percent</t>
  </si>
  <si>
    <t>Interest on operating capital</t>
  </si>
  <si>
    <t xml:space="preserve">Total operating costs </t>
  </si>
  <si>
    <t>Ownership costs</t>
  </si>
  <si>
    <t xml:space="preserve">  Real estate charge</t>
  </si>
  <si>
    <t xml:space="preserve">  Overhead, taxes and insurance</t>
  </si>
  <si>
    <t>Total ownership costs</t>
  </si>
  <si>
    <t xml:space="preserve">Total costs </t>
  </si>
  <si>
    <t xml:space="preserve">Income over operating costs </t>
  </si>
  <si>
    <t xml:space="preserve">Income over total costs </t>
  </si>
  <si>
    <t xml:space="preserve">   Scouting/application </t>
  </si>
  <si>
    <t>Square feet in production</t>
  </si>
  <si>
    <t>Growing/storage/other equipment</t>
  </si>
  <si>
    <t xml:space="preserve">Table 1. High tunnel and equipment capital investment </t>
  </si>
  <si>
    <t xml:space="preserve">  Depreciation on capital investments</t>
  </si>
  <si>
    <t xml:space="preserve">  Interest on capital investments</t>
  </si>
  <si>
    <t>Item</t>
  </si>
  <si>
    <t>Lifespan</t>
  </si>
  <si>
    <t xml:space="preserve">Salvage </t>
  </si>
  <si>
    <t>Depreciation</t>
  </si>
  <si>
    <t>Interest</t>
  </si>
  <si>
    <t>dollars</t>
  </si>
  <si>
    <t>value</t>
  </si>
  <si>
    <t>Dollars</t>
  </si>
  <si>
    <t>Years</t>
  </si>
  <si>
    <t>Percent</t>
  </si>
  <si>
    <t>High tunnel covering</t>
  </si>
  <si>
    <t>Repairs</t>
  </si>
  <si>
    <t>% of capital</t>
  </si>
  <si>
    <t>https://www.morgancountyseeds.com/product/60oak-tomato-stakes/</t>
  </si>
  <si>
    <t>https://www.morgancountyseeds.com/product/9-45-15-25/</t>
  </si>
  <si>
    <t>25 lb bag</t>
  </si>
  <si>
    <t>Per ounce</t>
  </si>
  <si>
    <t>4 lb bag</t>
  </si>
  <si>
    <t>Field worker, Corn Belt II</t>
  </si>
  <si>
    <r>
      <t xml:space="preserve">  Tomatoes </t>
    </r>
    <r>
      <rPr>
        <i/>
        <sz val="11"/>
        <color theme="1"/>
        <rFont val="Segoe UI"/>
        <family val="2"/>
      </rPr>
      <t>(wholesale market)</t>
    </r>
  </si>
  <si>
    <r>
      <t xml:space="preserve">  Tomatoes </t>
    </r>
    <r>
      <rPr>
        <i/>
        <sz val="11"/>
        <color theme="1"/>
        <rFont val="Segoe UI"/>
        <family val="2"/>
      </rPr>
      <t>(retail market)</t>
    </r>
  </si>
  <si>
    <t>pounds</t>
  </si>
  <si>
    <t>Unit</t>
  </si>
  <si>
    <t>High tunnel usage</t>
  </si>
  <si>
    <t>Tomato plants</t>
  </si>
  <si>
    <t>plants</t>
  </si>
  <si>
    <t>Tomato production/plant</t>
  </si>
  <si>
    <t>Assumption</t>
  </si>
  <si>
    <t>percent of production</t>
  </si>
  <si>
    <t>Marketing channel - wholesale</t>
  </si>
  <si>
    <t>Marketing channel - retail</t>
  </si>
  <si>
    <t>Table 2. Tomato production and sales assumptions</t>
  </si>
  <si>
    <t>High tunnel structure/ventilation/installation</t>
  </si>
  <si>
    <t>Land/site preparation (machinery + labor)</t>
  </si>
  <si>
    <t>Boxes and supplies</t>
  </si>
  <si>
    <t>https://glaciervalleyenterprise.com/product/25-pound-tomato-peach-produce-carton-150-pack/</t>
  </si>
  <si>
    <t>Land value</t>
  </si>
  <si>
    <t>capitalization rate</t>
  </si>
  <si>
    <t>St Louis County 2022 Census of Ag land value</t>
  </si>
  <si>
    <t>2000 square feet</t>
  </si>
  <si>
    <t>boxes</t>
  </si>
  <si>
    <t>Capital investment</t>
  </si>
  <si>
    <t xml:space="preserve"> </t>
  </si>
  <si>
    <t>walk-in coolers</t>
  </si>
  <si>
    <t>https://www.storeitcold.com/coolbot-walk-in-cooler/</t>
  </si>
  <si>
    <t>walk behind tiller</t>
  </si>
  <si>
    <t>growing/storage/other equipment inlcude cooler and tiller</t>
  </si>
  <si>
    <t>Insecticide</t>
  </si>
  <si>
    <t xml:space="preserve">Fungicide </t>
  </si>
  <si>
    <t>Developed by:</t>
  </si>
  <si>
    <t>University of Missouri Extension</t>
  </si>
  <si>
    <t>Created: 4/2024</t>
  </si>
  <si>
    <t>Missouri High Tunnel Tomato Enterprise Budget</t>
  </si>
  <si>
    <t>Develop a customized high tunnel tomato enterprise budget by changing assumptions to fit your farming situation. Use the shaded boxes in various worksheets to change inputs or prices.</t>
  </si>
  <si>
    <t>Fungicide</t>
  </si>
  <si>
    <t>Red Eagle</t>
  </si>
  <si>
    <t>Company</t>
  </si>
  <si>
    <t>Type</t>
  </si>
  <si>
    <t>price/gallon</t>
  </si>
  <si>
    <t>suggested from company label</t>
  </si>
  <si>
    <t>Azoxystrobin</t>
  </si>
  <si>
    <t>6 .2 fl oz per acre</t>
  </si>
  <si>
    <t>conversion from fl oz per acre to fl oz per 2000 square feet</t>
  </si>
  <si>
    <t>Drexel</t>
  </si>
  <si>
    <t>Chlorothalonil 720</t>
  </si>
  <si>
    <t>2.5 pt per acre = 5 fl oz per acre</t>
  </si>
  <si>
    <t>14 day interval application</t>
  </si>
  <si>
    <t>assume 6 months growing season</t>
  </si>
  <si>
    <t>if using rotation of two types of fungicide, each fungicide needs 6 times per growing season</t>
  </si>
  <si>
    <t>price/fl oz</t>
  </si>
  <si>
    <t>Juo-Han Tsay and Ryan Milhollin</t>
  </si>
  <si>
    <t>pounds/box</t>
  </si>
  <si>
    <t>Packing box capacity</t>
  </si>
  <si>
    <r>
      <t>Vertical supports</t>
    </r>
    <r>
      <rPr>
        <i/>
        <sz val="11"/>
        <color theme="1"/>
        <rFont val="Segoe UI"/>
        <family val="2"/>
      </rPr>
      <t xml:space="preserve"> (stake, string, clip, etc.)</t>
    </r>
  </si>
  <si>
    <r>
      <t>The Establishment</t>
    </r>
    <r>
      <rPr>
        <b/>
        <sz val="11"/>
        <rFont val="Segoe UI"/>
        <family val="2"/>
      </rPr>
      <t xml:space="preserve"> </t>
    </r>
    <r>
      <rPr>
        <sz val="11"/>
        <rFont val="Segoe UI"/>
        <family val="2"/>
      </rPr>
      <t xml:space="preserve">worksheet reflects Missouri estimated costs and returns for high tunnel tomato in 2024. Tunnel size is set as 2000 square feet with 226 tomato plants. The market channels are assumed to be 50% in wholesale and 50% in farmers market. Labor cost is based on a $20 hourly rate.  </t>
    </r>
  </si>
  <si>
    <t>Code</t>
  </si>
  <si>
    <t>Region Name</t>
  </si>
  <si>
    <t>Commodity Name</t>
  </si>
  <si>
    <t>Family Name</t>
  </si>
  <si>
    <t>Variety Name</t>
  </si>
  <si>
    <t>Unit Name</t>
  </si>
  <si>
    <t>Specialty</t>
  </si>
  <si>
    <t>Average</t>
  </si>
  <si>
    <t>Low Average</t>
  </si>
  <si>
    <t>High Average</t>
  </si>
  <si>
    <t>Reporting Week</t>
  </si>
  <si>
    <t>Session Date</t>
  </si>
  <si>
    <t>2.43.156.5.0</t>
  </si>
  <si>
    <t>Central Area</t>
  </si>
  <si>
    <t>Vegetable</t>
  </si>
  <si>
    <t>Tomato</t>
  </si>
  <si>
    <t>Slicing, Red</t>
  </si>
  <si>
    <t>Pound</t>
  </si>
  <si>
    <t>Columbia Area</t>
  </si>
  <si>
    <t>East Central</t>
  </si>
  <si>
    <t>Kansas City</t>
  </si>
  <si>
    <t>North East</t>
  </si>
  <si>
    <t>North West</t>
  </si>
  <si>
    <t>South East</t>
  </si>
  <si>
    <t>South West</t>
  </si>
  <si>
    <t>West Central</t>
  </si>
  <si>
    <t>2024 Farmers market prices data</t>
  </si>
  <si>
    <t>Farmers market prices - 2023 price trends (Download excel, filter tomato)</t>
  </si>
  <si>
    <t>Kentucky Price Reports</t>
  </si>
  <si>
    <t>https://www.uky.edu/ccd/pricereports</t>
  </si>
  <si>
    <t>Sensitivity Analysis (Income over total costs)</t>
  </si>
  <si>
    <t>Insecticide (3x)</t>
  </si>
  <si>
    <t>smaller scale fungicide</t>
  </si>
  <si>
    <t>price/pint</t>
  </si>
  <si>
    <t>Azoxystrobin (https://thelawncarenut.com/products/azoxystrobin-azoxy-2sc-fungicide-liquid-alternative-to-scotts-diseaseex)</t>
  </si>
  <si>
    <t>Chlorothalonil 720 (https://www.domyown.com/agrisel-chlorosel-pro-720-fungicide-p-14008.html?utm_source=google&amp;utm_medium=organic&amp;utm_campaign=surfaces-across-google&amp;utm_term=14008&amp;srsltid=AfmBOoruZBhi-KfTauIYz5h-m4QI_m5t0VrsGzhL1T7mpj0C2zbCaFpBbLM)</t>
  </si>
  <si>
    <t>Retail prices ($/pound)</t>
  </si>
  <si>
    <t>Production per plant (pound)</t>
  </si>
  <si>
    <r>
      <t xml:space="preserve">This worksheet is for educational purposes only and the user assumes all risks associated with its use.
</t>
    </r>
    <r>
      <rPr>
        <b/>
        <i/>
        <sz val="8"/>
        <color rgb="FF3F3F3F"/>
        <rFont val="Segoe UI"/>
        <family val="2"/>
      </rPr>
      <t>This work is supported by the U.S. Department of Agriculture’s (USDA) Farm Service Agency through project award number FSA23CPT0012862. Its contents are solely the responsibility of the authors and do not necessarily represent the official views of the USDA.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</si>
</sst>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0.0%"/>
    <numFmt numFmtId="165" formatCode="&quot;$&quot;#,##0.00"/>
    <numFmt numFmtId="166" formatCode="_(&quot;$&quot;* #,##0_);_(&quot;$&quot;* \(#,##0\);_(&quot;$&quot;* &quot;-&quot;??_);_(@_)"/>
  </numFmts>
  <fonts count="22" x14ac:knownFonts="1">
    <font>
      <sz val="11"/>
      <color theme="1"/>
      <name val="Calibri"/>
      <family val="2"/>
      <scheme val="minor"/>
    </font>
    <font>
      <sz val="12"/>
      <color theme="1"/>
      <name val="Palatino Linotype"/>
      <family val="1"/>
    </font>
    <font>
      <sz val="9"/>
      <color theme="1"/>
      <name val="Calibri"/>
      <family val="2"/>
      <scheme val="minor"/>
    </font>
    <font>
      <b/>
      <sz val="11"/>
      <color theme="1"/>
      <name val="Calibri"/>
      <family val="2"/>
      <scheme val="minor"/>
    </font>
    <font>
      <b/>
      <sz val="11"/>
      <name val="Calibri"/>
      <family val="2"/>
      <scheme val="minor"/>
    </font>
    <font>
      <sz val="10"/>
      <color theme="1"/>
      <name val="Segoe UI"/>
      <family val="2"/>
    </font>
    <font>
      <u/>
      <sz val="11"/>
      <color theme="10"/>
      <name val="Calibri"/>
      <family val="2"/>
      <scheme val="minor"/>
    </font>
    <font>
      <b/>
      <sz val="14"/>
      <color rgb="FFF1B82D"/>
      <name val="Segoe UI Black"/>
      <family val="2"/>
    </font>
    <font>
      <sz val="12"/>
      <color theme="1"/>
      <name val="Segoe UI"/>
      <family val="2"/>
    </font>
    <font>
      <sz val="12"/>
      <name val="Segoe UI"/>
      <family val="2"/>
    </font>
    <font>
      <sz val="9"/>
      <color theme="1"/>
      <name val="Segoe UI"/>
      <family val="2"/>
    </font>
    <font>
      <sz val="11"/>
      <color theme="1"/>
      <name val="Segoe UI"/>
      <family val="2"/>
    </font>
    <font>
      <b/>
      <sz val="11"/>
      <color theme="1"/>
      <name val="Segoe UI"/>
      <family val="2"/>
    </font>
    <font>
      <i/>
      <sz val="11"/>
      <color theme="1"/>
      <name val="Segoe UI"/>
      <family val="2"/>
    </font>
    <font>
      <sz val="11"/>
      <name val="Segoe UI"/>
      <family val="2"/>
    </font>
    <font>
      <b/>
      <sz val="11"/>
      <name val="Segoe UI"/>
      <family val="2"/>
    </font>
    <font>
      <i/>
      <sz val="9"/>
      <name val="Segoe UI"/>
      <family val="2"/>
    </font>
    <font>
      <b/>
      <sz val="11"/>
      <color rgb="FF3F3F3F"/>
      <name val="Calibri"/>
      <family val="2"/>
      <scheme val="minor"/>
    </font>
    <font>
      <b/>
      <sz val="10"/>
      <color rgb="FF3F3F3F"/>
      <name val="Segoe UI"/>
      <family val="2"/>
    </font>
    <font>
      <b/>
      <sz val="14"/>
      <color rgb="FFF1B82D"/>
      <name val="Segoe UI"/>
      <family val="2"/>
    </font>
    <font>
      <sz val="11"/>
      <color rgb="FFFF0000"/>
      <name val="Segoe UI"/>
      <family val="2"/>
    </font>
    <font>
      <b/>
      <i/>
      <sz val="8"/>
      <color rgb="FF3F3F3F"/>
      <name val="Segoe UI"/>
      <family val="2"/>
    </font>
  </fonts>
  <fills count="5">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rgb="FFF2F2F2"/>
      </patternFill>
    </fill>
  </fills>
  <borders count="22">
    <border>
      <left/>
      <right/>
      <top/>
      <bottom/>
      <diagonal/>
    </border>
    <border>
      <left/>
      <right/>
      <top style="thin">
        <color indexed="64"/>
      </top>
      <bottom style="thin">
        <color indexed="64"/>
      </bottom>
      <diagonal/>
    </border>
    <border>
      <left/>
      <right/>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6" fillId="0" borderId="0" applyNumberFormat="0" applyFill="0" applyBorder="0" applyAlignment="0" applyProtection="0"/>
    <xf numFmtId="0" fontId="17" fillId="4" borderId="15" applyNumberFormat="0" applyAlignment="0" applyProtection="0"/>
  </cellStyleXfs>
  <cellXfs count="127">
    <xf numFmtId="0" fontId="0" fillId="0" borderId="0" xfId="0"/>
    <xf numFmtId="0" fontId="3" fillId="0" borderId="0" xfId="0" applyFont="1"/>
    <xf numFmtId="0" fontId="4" fillId="0" borderId="0" xfId="0" applyFont="1"/>
    <xf numFmtId="0" fontId="6" fillId="0" borderId="0" xfId="1"/>
    <xf numFmtId="2" fontId="0" fillId="0" borderId="0" xfId="0" applyNumberFormat="1"/>
    <xf numFmtId="164" fontId="11" fillId="3" borderId="0" xfId="0" applyNumberFormat="1" applyFont="1" applyFill="1" applyProtection="1">
      <protection locked="0"/>
    </xf>
    <xf numFmtId="9" fontId="0" fillId="0" borderId="0" xfId="0" applyNumberFormat="1"/>
    <xf numFmtId="0" fontId="11" fillId="3" borderId="0" xfId="0" applyFont="1" applyFill="1" applyAlignment="1" applyProtection="1">
      <alignment horizontal="right"/>
      <protection locked="0"/>
    </xf>
    <xf numFmtId="40" fontId="14" fillId="3" borderId="0" xfId="0" applyNumberFormat="1" applyFont="1" applyFill="1" applyProtection="1">
      <protection locked="0"/>
    </xf>
    <xf numFmtId="0" fontId="11" fillId="0" borderId="0" xfId="0" applyFont="1"/>
    <xf numFmtId="0" fontId="12" fillId="0" borderId="0" xfId="0" applyFont="1"/>
    <xf numFmtId="40" fontId="11" fillId="3" borderId="0" xfId="0" applyNumberFormat="1" applyFont="1" applyFill="1" applyAlignment="1" applyProtection="1">
      <alignment horizontal="right"/>
      <protection locked="0"/>
    </xf>
    <xf numFmtId="40" fontId="14" fillId="3" borderId="0" xfId="0" applyNumberFormat="1" applyFont="1" applyFill="1" applyAlignment="1" applyProtection="1">
      <alignment horizontal="right"/>
      <protection locked="0"/>
    </xf>
    <xf numFmtId="40" fontId="11" fillId="3" borderId="0" xfId="0" applyNumberFormat="1" applyFont="1" applyFill="1" applyProtection="1">
      <protection locked="0"/>
    </xf>
    <xf numFmtId="9" fontId="11" fillId="3" borderId="0" xfId="0" applyNumberFormat="1" applyFont="1" applyFill="1" applyProtection="1">
      <protection locked="0"/>
    </xf>
    <xf numFmtId="38" fontId="11" fillId="3" borderId="0" xfId="0" applyNumberFormat="1" applyFont="1" applyFill="1" applyProtection="1">
      <protection locked="0"/>
    </xf>
    <xf numFmtId="0" fontId="11" fillId="3" borderId="0" xfId="0" applyFont="1" applyFill="1" applyProtection="1">
      <protection locked="0"/>
    </xf>
    <xf numFmtId="0" fontId="11" fillId="2" borderId="16" xfId="0" applyFont="1" applyFill="1" applyBorder="1"/>
    <xf numFmtId="0" fontId="11" fillId="2" borderId="17" xfId="0" applyFont="1" applyFill="1" applyBorder="1"/>
    <xf numFmtId="0" fontId="12" fillId="0" borderId="0" xfId="0" applyFont="1" applyAlignment="1">
      <alignment horizontal="left" indent="4"/>
    </xf>
    <xf numFmtId="0" fontId="11" fillId="0" borderId="0" xfId="0" applyFont="1" applyAlignment="1">
      <alignment horizontal="right"/>
    </xf>
    <xf numFmtId="0" fontId="1" fillId="2" borderId="6" xfId="0" applyFont="1" applyFill="1" applyBorder="1"/>
    <xf numFmtId="0" fontId="1" fillId="0" borderId="0" xfId="0" applyFont="1"/>
    <xf numFmtId="0" fontId="7" fillId="0" borderId="7" xfId="0" applyFont="1" applyBorder="1" applyAlignment="1">
      <alignment horizontal="center"/>
    </xf>
    <xf numFmtId="0" fontId="7" fillId="0" borderId="0" xfId="0" applyFont="1" applyAlignment="1">
      <alignment horizontal="center"/>
    </xf>
    <xf numFmtId="0" fontId="1" fillId="0" borderId="8" xfId="0" applyFont="1" applyBorder="1"/>
    <xf numFmtId="0" fontId="11" fillId="0" borderId="3" xfId="0" applyFont="1" applyBorder="1"/>
    <xf numFmtId="0" fontId="12" fillId="0" borderId="9" xfId="0" applyFont="1" applyBorder="1" applyAlignment="1">
      <alignment horizontal="lef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0"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wrapText="1"/>
    </xf>
    <xf numFmtId="0" fontId="11" fillId="0" borderId="7" xfId="0" applyFont="1" applyBorder="1" applyAlignment="1">
      <alignment vertical="center" wrapText="1"/>
    </xf>
    <xf numFmtId="0" fontId="10" fillId="0" borderId="0" xfId="0" applyFont="1" applyAlignment="1">
      <alignment horizontal="left"/>
    </xf>
    <xf numFmtId="3" fontId="11" fillId="0" borderId="0" xfId="0" applyNumberFormat="1" applyFont="1" applyAlignment="1">
      <alignment horizontal="right"/>
    </xf>
    <xf numFmtId="40" fontId="11" fillId="0" borderId="0" xfId="0" applyNumberFormat="1" applyFont="1" applyAlignment="1">
      <alignment horizontal="right"/>
    </xf>
    <xf numFmtId="40" fontId="11" fillId="0" borderId="8" xfId="0" applyNumberFormat="1" applyFont="1" applyBorder="1" applyAlignment="1">
      <alignment horizontal="right"/>
    </xf>
    <xf numFmtId="0" fontId="9" fillId="0" borderId="3" xfId="0" applyFont="1" applyBorder="1" applyAlignment="1">
      <alignment horizontal="left" vertical="center"/>
    </xf>
    <xf numFmtId="0" fontId="9" fillId="0" borderId="3" xfId="0" applyFont="1" applyBorder="1" applyAlignment="1">
      <alignment horizontal="center" wrapText="1"/>
    </xf>
    <xf numFmtId="0" fontId="14" fillId="0" borderId="3" xfId="0" applyFont="1" applyBorder="1"/>
    <xf numFmtId="40" fontId="11" fillId="0" borderId="3" xfId="0" applyNumberFormat="1" applyFont="1" applyBorder="1" applyAlignment="1">
      <alignment horizontal="right"/>
    </xf>
    <xf numFmtId="40" fontId="11" fillId="0" borderId="11" xfId="0" applyNumberFormat="1" applyFont="1" applyBorder="1" applyAlignment="1">
      <alignment horizontal="right"/>
    </xf>
    <xf numFmtId="0" fontId="1" fillId="0" borderId="0" xfId="0" applyFont="1" applyAlignment="1">
      <alignment horizontal="center"/>
    </xf>
    <xf numFmtId="0" fontId="15" fillId="0" borderId="0" xfId="0" applyFont="1" applyAlignment="1">
      <alignment horizontal="left" vertical="center"/>
    </xf>
    <xf numFmtId="0" fontId="16" fillId="0" borderId="0" xfId="0" applyFont="1" applyAlignment="1">
      <alignment horizontal="center" wrapText="1"/>
    </xf>
    <xf numFmtId="0" fontId="8" fillId="0" borderId="0" xfId="0" applyFont="1"/>
    <xf numFmtId="0" fontId="12" fillId="0" borderId="0" xfId="0" applyFont="1" applyAlignment="1">
      <alignment horizontal="right"/>
    </xf>
    <xf numFmtId="40" fontId="12" fillId="0" borderId="0" xfId="0" applyNumberFormat="1" applyFont="1"/>
    <xf numFmtId="40" fontId="12" fillId="0" borderId="8" xfId="0" applyNumberFormat="1" applyFont="1" applyBorder="1" applyAlignment="1">
      <alignment horizontal="right"/>
    </xf>
    <xf numFmtId="8" fontId="1" fillId="0" borderId="0" xfId="0" applyNumberFormat="1" applyFont="1" applyAlignment="1">
      <alignment horizontal="right"/>
    </xf>
    <xf numFmtId="0" fontId="11" fillId="0" borderId="0" xfId="0" applyFont="1" applyAlignment="1">
      <alignment horizontal="left"/>
    </xf>
    <xf numFmtId="40" fontId="11" fillId="0" borderId="0" xfId="0" applyNumberFormat="1" applyFont="1"/>
    <xf numFmtId="0" fontId="5" fillId="0" borderId="13" xfId="0" applyFont="1" applyBorder="1"/>
    <xf numFmtId="0" fontId="8" fillId="0" borderId="3" xfId="0" applyFont="1" applyBorder="1"/>
    <xf numFmtId="8" fontId="8" fillId="0" borderId="11" xfId="0" applyNumberFormat="1" applyFont="1" applyBorder="1" applyAlignment="1">
      <alignment horizontal="right"/>
    </xf>
    <xf numFmtId="0" fontId="11" fillId="0" borderId="7" xfId="0" applyFont="1" applyBorder="1" applyAlignment="1">
      <alignment horizontal="left" indent="1"/>
    </xf>
    <xf numFmtId="40" fontId="11" fillId="0" borderId="8" xfId="0" applyNumberFormat="1" applyFont="1" applyBorder="1"/>
    <xf numFmtId="0" fontId="1" fillId="0" borderId="0" xfId="0" applyFont="1" applyAlignment="1">
      <alignment horizontal="center" wrapText="1"/>
    </xf>
    <xf numFmtId="164" fontId="11" fillId="0" borderId="0" xfId="0" applyNumberFormat="1" applyFont="1"/>
    <xf numFmtId="8" fontId="1" fillId="0" borderId="0" xfId="0" applyNumberFormat="1" applyFont="1"/>
    <xf numFmtId="38" fontId="11" fillId="0" borderId="0" xfId="0" applyNumberFormat="1" applyFont="1"/>
    <xf numFmtId="38" fontId="11" fillId="0" borderId="0" xfId="0" applyNumberFormat="1" applyFont="1" applyAlignment="1">
      <alignment horizontal="right"/>
    </xf>
    <xf numFmtId="0" fontId="0" fillId="0" borderId="3" xfId="0" applyBorder="1"/>
    <xf numFmtId="0" fontId="11" fillId="0" borderId="1" xfId="0" applyFont="1" applyBorder="1"/>
    <xf numFmtId="0" fontId="11" fillId="0" borderId="3" xfId="0" applyFont="1" applyBorder="1" applyAlignment="1">
      <alignment horizontal="center"/>
    </xf>
    <xf numFmtId="40" fontId="14" fillId="0" borderId="0" xfId="0" applyNumberFormat="1" applyFont="1"/>
    <xf numFmtId="0" fontId="10" fillId="0" borderId="0" xfId="0" applyFont="1"/>
    <xf numFmtId="9" fontId="11" fillId="0" borderId="0" xfId="0" applyNumberFormat="1" applyFont="1"/>
    <xf numFmtId="40" fontId="11" fillId="0" borderId="3" xfId="0" applyNumberFormat="1" applyFont="1" applyBorder="1"/>
    <xf numFmtId="40" fontId="11" fillId="0" borderId="11" xfId="0" applyNumberFormat="1" applyFont="1" applyBorder="1"/>
    <xf numFmtId="0" fontId="11" fillId="0" borderId="7" xfId="0" applyFont="1" applyBorder="1" applyAlignment="1">
      <alignment horizontal="left" vertical="center" indent="1"/>
    </xf>
    <xf numFmtId="40" fontId="12" fillId="0" borderId="0" xfId="0" applyNumberFormat="1" applyFont="1" applyAlignment="1">
      <alignment horizontal="right"/>
    </xf>
    <xf numFmtId="40" fontId="12" fillId="0" borderId="8" xfId="0" applyNumberFormat="1" applyFont="1" applyBorder="1"/>
    <xf numFmtId="0" fontId="12" fillId="0" borderId="9" xfId="0" applyFont="1" applyBorder="1"/>
    <xf numFmtId="0" fontId="12" fillId="0" borderId="1" xfId="0" applyFont="1" applyBorder="1" applyAlignment="1">
      <alignment horizontal="left"/>
    </xf>
    <xf numFmtId="0" fontId="12" fillId="0" borderId="1" xfId="0" applyFont="1" applyBorder="1" applyAlignment="1">
      <alignment horizontal="center"/>
    </xf>
    <xf numFmtId="0" fontId="12" fillId="0" borderId="10" xfId="0" applyFont="1" applyBorder="1" applyAlignment="1">
      <alignment horizontal="center"/>
    </xf>
    <xf numFmtId="0" fontId="11" fillId="0" borderId="7" xfId="0" applyFont="1" applyBorder="1"/>
    <xf numFmtId="165" fontId="11" fillId="0" borderId="0" xfId="0" applyNumberFormat="1" applyFont="1"/>
    <xf numFmtId="0" fontId="12" fillId="0" borderId="7" xfId="0" applyFont="1" applyBorder="1"/>
    <xf numFmtId="0" fontId="12" fillId="0" borderId="0" xfId="0" applyFont="1" applyAlignment="1">
      <alignment horizontal="left"/>
    </xf>
    <xf numFmtId="0" fontId="12" fillId="0" borderId="13" xfId="0" applyFont="1" applyBorder="1"/>
    <xf numFmtId="0" fontId="12" fillId="0" borderId="3" xfId="0" applyFont="1" applyBorder="1" applyAlignment="1">
      <alignment horizontal="left"/>
    </xf>
    <xf numFmtId="0" fontId="12" fillId="0" borderId="3" xfId="0" applyFont="1" applyBorder="1" applyAlignment="1">
      <alignment horizontal="right"/>
    </xf>
    <xf numFmtId="40" fontId="12" fillId="0" borderId="3" xfId="0" applyNumberFormat="1" applyFont="1" applyBorder="1"/>
    <xf numFmtId="40" fontId="12" fillId="0" borderId="11" xfId="0" applyNumberFormat="1" applyFont="1" applyBorder="1"/>
    <xf numFmtId="0" fontId="12" fillId="0" borderId="14" xfId="0" applyFont="1" applyBorder="1"/>
    <xf numFmtId="0" fontId="12" fillId="0" borderId="2" xfId="0" applyFont="1" applyBorder="1" applyAlignment="1">
      <alignment horizontal="left"/>
    </xf>
    <xf numFmtId="0" fontId="0" fillId="0" borderId="2" xfId="0" applyBorder="1"/>
    <xf numFmtId="0" fontId="12" fillId="0" borderId="2" xfId="0" applyFont="1" applyBorder="1" applyAlignment="1">
      <alignment horizontal="right"/>
    </xf>
    <xf numFmtId="40" fontId="12" fillId="0" borderId="2" xfId="0" applyNumberFormat="1" applyFont="1" applyBorder="1"/>
    <xf numFmtId="40" fontId="12" fillId="0" borderId="12" xfId="0" applyNumberFormat="1" applyFont="1" applyBorder="1"/>
    <xf numFmtId="40" fontId="8" fillId="0" borderId="0" xfId="0" applyNumberFormat="1" applyFont="1"/>
    <xf numFmtId="0" fontId="2" fillId="0" borderId="0" xfId="0" applyFont="1"/>
    <xf numFmtId="164" fontId="11" fillId="0" borderId="0" xfId="0" applyNumberFormat="1" applyFont="1" applyProtection="1">
      <protection locked="0"/>
    </xf>
    <xf numFmtId="14" fontId="0" fillId="0" borderId="0" xfId="0" applyNumberFormat="1"/>
    <xf numFmtId="2" fontId="11" fillId="0" borderId="0" xfId="0" applyNumberFormat="1" applyFont="1"/>
    <xf numFmtId="166" fontId="20" fillId="0" borderId="0" xfId="0" applyNumberFormat="1" applyFont="1"/>
    <xf numFmtId="166" fontId="11" fillId="0" borderId="0" xfId="0" applyNumberFormat="1" applyFont="1"/>
    <xf numFmtId="166" fontId="11" fillId="0" borderId="18" xfId="0" applyNumberFormat="1" applyFont="1" applyBorder="1"/>
    <xf numFmtId="166" fontId="11" fillId="0" borderId="3" xfId="0" applyNumberFormat="1" applyFont="1" applyBorder="1"/>
    <xf numFmtId="166" fontId="11" fillId="0" borderId="19" xfId="0" applyNumberFormat="1" applyFont="1" applyBorder="1"/>
    <xf numFmtId="2" fontId="12" fillId="0" borderId="0" xfId="0" applyNumberFormat="1" applyFont="1" applyAlignment="1">
      <alignment horizontal="right" wrapText="1"/>
    </xf>
    <xf numFmtId="2" fontId="12" fillId="0" borderId="0" xfId="0" applyNumberFormat="1" applyFont="1" applyAlignment="1">
      <alignment horizontal="right" indent="1"/>
    </xf>
    <xf numFmtId="0" fontId="12" fillId="0" borderId="3" xfId="0" applyFont="1" applyBorder="1"/>
    <xf numFmtId="40" fontId="11" fillId="0" borderId="21" xfId="0" applyNumberFormat="1" applyFont="1" applyBorder="1" applyProtection="1">
      <protection locked="0"/>
    </xf>
    <xf numFmtId="2" fontId="12" fillId="0" borderId="20" xfId="0" applyNumberFormat="1" applyFont="1" applyBorder="1" applyProtection="1">
      <protection locked="0"/>
    </xf>
    <xf numFmtId="2" fontId="12" fillId="0" borderId="21" xfId="0" applyNumberFormat="1" applyFont="1" applyBorder="1" applyProtection="1">
      <protection locked="0"/>
    </xf>
    <xf numFmtId="1" fontId="12" fillId="0" borderId="16" xfId="0" applyNumberFormat="1" applyFont="1" applyBorder="1" applyProtection="1">
      <protection locked="0"/>
    </xf>
    <xf numFmtId="1" fontId="12" fillId="0" borderId="1" xfId="0" applyNumberFormat="1" applyFont="1" applyBorder="1" applyProtection="1">
      <protection locked="0"/>
    </xf>
    <xf numFmtId="1" fontId="12" fillId="0" borderId="17" xfId="0" applyNumberFormat="1" applyFont="1" applyBorder="1" applyProtection="1">
      <protection locked="0"/>
    </xf>
    <xf numFmtId="0" fontId="18" fillId="3" borderId="1" xfId="2" applyFont="1" applyFill="1" applyBorder="1" applyAlignment="1">
      <alignment horizontal="center"/>
    </xf>
    <xf numFmtId="0" fontId="18" fillId="3" borderId="17" xfId="2" applyFont="1" applyFill="1" applyBorder="1" applyAlignment="1">
      <alignment horizontal="center"/>
    </xf>
    <xf numFmtId="0" fontId="19" fillId="2" borderId="9" xfId="0" applyFont="1" applyFill="1" applyBorder="1"/>
    <xf numFmtId="0" fontId="19" fillId="2" borderId="1" xfId="0" applyFont="1" applyFill="1" applyBorder="1"/>
    <xf numFmtId="0" fontId="19" fillId="2" borderId="10" xfId="0" applyFont="1" applyFill="1" applyBorder="1"/>
    <xf numFmtId="0" fontId="7" fillId="2" borderId="9" xfId="0" applyFont="1" applyFill="1" applyBorder="1" applyAlignment="1">
      <alignment horizontal="center"/>
    </xf>
    <xf numFmtId="0" fontId="7" fillId="2" borderId="1" xfId="0" applyFont="1" applyFill="1" applyBorder="1" applyAlignment="1">
      <alignment horizontal="center"/>
    </xf>
    <xf numFmtId="0" fontId="7" fillId="2" borderId="10" xfId="0" applyFont="1" applyFill="1" applyBorder="1" applyAlignment="1">
      <alignment horizontal="center"/>
    </xf>
    <xf numFmtId="0" fontId="11" fillId="0" borderId="0" xfId="0" applyFont="1" applyAlignment="1">
      <alignment horizontal="right"/>
    </xf>
    <xf numFmtId="0" fontId="11" fillId="0" borderId="0" xfId="0" applyFont="1"/>
    <xf numFmtId="0" fontId="14" fillId="0" borderId="0" xfId="0" applyFont="1" applyAlignment="1">
      <alignment horizontal="left" vertical="top" wrapText="1"/>
    </xf>
    <xf numFmtId="0" fontId="14" fillId="0" borderId="0" xfId="0" applyFont="1" applyAlignment="1">
      <alignment horizontal="left" vertical="center" wrapText="1"/>
    </xf>
    <xf numFmtId="0" fontId="7" fillId="2" borderId="4" xfId="0" applyFont="1" applyFill="1" applyBorder="1" applyAlignment="1">
      <alignment horizontal="center"/>
    </xf>
    <xf numFmtId="0" fontId="7" fillId="2" borderId="5" xfId="0" applyFont="1" applyFill="1" applyBorder="1" applyAlignment="1">
      <alignment horizontal="center"/>
    </xf>
    <xf numFmtId="0" fontId="18" fillId="3" borderId="16" xfId="2" applyFont="1" applyFill="1" applyBorder="1" applyAlignment="1">
      <alignment horizontal="center" wrapText="1"/>
    </xf>
  </cellXfs>
  <cellStyles count="3">
    <cellStyle name="Hyperlink" xfId="1" builtinId="8"/>
    <cellStyle name="Normal" xfId="0" builtinId="0"/>
    <cellStyle name="Output" xfId="2"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4267200</xdr:colOff>
      <xdr:row>3</xdr:row>
      <xdr:rowOff>187675</xdr:rowOff>
    </xdr:from>
    <xdr:to>
      <xdr:col>4</xdr:col>
      <xdr:colOff>904875</xdr:colOff>
      <xdr:row>7</xdr:row>
      <xdr:rowOff>64075</xdr:rowOff>
    </xdr:to>
    <xdr:pic>
      <xdr:nvPicPr>
        <xdr:cNvPr id="2" name="Picture 1">
          <a:extLst>
            <a:ext uri="{FF2B5EF4-FFF2-40B4-BE49-F238E27FC236}">
              <a16:creationId xmlns:a16="http://schemas.microsoft.com/office/drawing/2014/main" id="{1ECDC0A5-67C4-44A2-AA18-4B1643FF33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4575" y="873475"/>
          <a:ext cx="2295525" cy="714600"/>
        </a:xfrm>
        <a:prstGeom prst="rect">
          <a:avLst/>
        </a:prstGeom>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glaciervalleyenterprise.com/product/25-pound-tomato-peach-produce-carton-150-pack/" TargetMode="External"/><Relationship Id="rId3" Type="http://schemas.openxmlformats.org/officeDocument/2006/relationships/hyperlink" Target="https://www.morgancountyseeds.com/product/60oak-tomato-stakes/" TargetMode="External"/><Relationship Id="rId7" Type="http://schemas.openxmlformats.org/officeDocument/2006/relationships/hyperlink" Target="https://www.morgancountyseeds.com/product/9-45-15-25/" TargetMode="External"/><Relationship Id="rId2" Type="http://schemas.openxmlformats.org/officeDocument/2006/relationships/hyperlink" Target="https://www.salary.com/tools/salary-calculator/agricultural-manager-hourly/saint-louis-mo?type=bonus" TargetMode="External"/><Relationship Id="rId1" Type="http://schemas.openxmlformats.org/officeDocument/2006/relationships/hyperlink" Target="https://usda.library.cornell.edu/concern/publications/x920fw89s?locale=en" TargetMode="External"/><Relationship Id="rId6" Type="http://schemas.openxmlformats.org/officeDocument/2006/relationships/hyperlink" Target="https://www.dripworks.com/grow-more-20-20-20" TargetMode="External"/><Relationship Id="rId5" Type="http://schemas.openxmlformats.org/officeDocument/2006/relationships/hyperlink" Target="https://extension.missouri.edu/programs/soil-and-plant-testing-laboratory/spl-submit-samples/spl-tests-fees" TargetMode="External"/><Relationship Id="rId4" Type="http://schemas.openxmlformats.org/officeDocument/2006/relationships/hyperlink" Target="https://www.hummert.com/mulch-film-black-1-mil-263116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D80F0-D131-4104-886E-DA69F3AD386A}">
  <dimension ref="A1:G16"/>
  <sheetViews>
    <sheetView showGridLines="0" tabSelected="1" zoomScaleNormal="100" workbookViewId="0">
      <selection activeCell="C9" sqref="C9:E9"/>
    </sheetView>
  </sheetViews>
  <sheetFormatPr defaultColWidth="0" defaultRowHeight="16.5" customHeight="1" zeroHeight="1" x14ac:dyDescent="0.45"/>
  <cols>
    <col min="1" max="1" width="4.453125" style="9" customWidth="1"/>
    <col min="2" max="2" width="5" style="9" customWidth="1"/>
    <col min="3" max="3" width="17" style="9" customWidth="1"/>
    <col min="4" max="4" width="81" style="9" customWidth="1"/>
    <col min="5" max="5" width="17" style="9" customWidth="1"/>
    <col min="6" max="6" width="5" style="9" customWidth="1"/>
    <col min="7" max="7" width="9.81640625" style="9" customWidth="1"/>
    <col min="8" max="16384" width="9.81640625" style="9" hidden="1"/>
  </cols>
  <sheetData>
    <row r="1" spans="2:6" x14ac:dyDescent="0.45"/>
    <row r="2" spans="2:6" ht="21" x14ac:dyDescent="0.55000000000000004">
      <c r="B2" s="17"/>
      <c r="C2" s="117" t="s">
        <v>125</v>
      </c>
      <c r="D2" s="118"/>
      <c r="E2" s="119"/>
      <c r="F2" s="18"/>
    </row>
    <row r="3" spans="2:6" x14ac:dyDescent="0.45">
      <c r="C3" s="120" t="s">
        <v>124</v>
      </c>
      <c r="D3" s="120"/>
      <c r="E3" s="120"/>
    </row>
    <row r="4" spans="2:6" x14ac:dyDescent="0.45">
      <c r="C4" s="121"/>
      <c r="D4" s="121"/>
      <c r="E4" s="121"/>
    </row>
    <row r="5" spans="2:6" x14ac:dyDescent="0.45">
      <c r="D5" s="10" t="s">
        <v>122</v>
      </c>
    </row>
    <row r="6" spans="2:6" x14ac:dyDescent="0.45">
      <c r="D6" s="10" t="s">
        <v>143</v>
      </c>
    </row>
    <row r="7" spans="2:6" x14ac:dyDescent="0.45">
      <c r="D7" s="10" t="s">
        <v>123</v>
      </c>
    </row>
    <row r="8" spans="2:6" x14ac:dyDescent="0.45">
      <c r="D8" s="19"/>
    </row>
    <row r="9" spans="2:6" ht="44.15" customHeight="1" x14ac:dyDescent="0.45">
      <c r="C9" s="122" t="s">
        <v>126</v>
      </c>
      <c r="D9" s="122"/>
      <c r="E9" s="122"/>
    </row>
    <row r="10" spans="2:6" ht="89.25" customHeight="1" x14ac:dyDescent="0.45">
      <c r="C10" s="123" t="s">
        <v>147</v>
      </c>
      <c r="D10" s="123"/>
      <c r="E10" s="123"/>
    </row>
    <row r="11" spans="2:6" ht="13.5" customHeight="1" x14ac:dyDescent="0.45">
      <c r="C11" s="123"/>
      <c r="D11" s="123"/>
      <c r="E11" s="123"/>
    </row>
    <row r="12" spans="2:6" ht="9.75" customHeight="1" x14ac:dyDescent="0.45"/>
    <row r="13" spans="2:6" ht="57" customHeight="1" x14ac:dyDescent="0.45">
      <c r="C13" s="126" t="s">
        <v>186</v>
      </c>
      <c r="D13" s="112"/>
      <c r="E13" s="113"/>
    </row>
    <row r="14" spans="2:6" x14ac:dyDescent="0.45"/>
    <row r="15" spans="2:6" ht="21" x14ac:dyDescent="0.55000000000000004">
      <c r="B15" s="17"/>
      <c r="C15" s="114"/>
      <c r="D15" s="115"/>
      <c r="E15" s="116"/>
      <c r="F15" s="18"/>
    </row>
    <row r="16" spans="2:6" x14ac:dyDescent="0.45"/>
  </sheetData>
  <sheetProtection sheet="1" selectLockedCells="1" selectUnlockedCells="1"/>
  <mergeCells count="8">
    <mergeCell ref="C13:E13"/>
    <mergeCell ref="C15:E15"/>
    <mergeCell ref="C2:E2"/>
    <mergeCell ref="C3:E3"/>
    <mergeCell ref="C4:E4"/>
    <mergeCell ref="C9:E9"/>
    <mergeCell ref="C10:E10"/>
    <mergeCell ref="C11:E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021ED-9501-493F-BFC2-D147EEB38A18}">
  <dimension ref="B1:O55"/>
  <sheetViews>
    <sheetView zoomScale="104" zoomScaleNormal="104" workbookViewId="0">
      <selection activeCell="I25" sqref="I25"/>
    </sheetView>
  </sheetViews>
  <sheetFormatPr defaultRowHeight="17" x14ac:dyDescent="0.45"/>
  <cols>
    <col min="1" max="1" width="3.1796875" customWidth="1"/>
    <col min="2" max="2" width="45.7265625" style="22" customWidth="1"/>
    <col min="3" max="5" width="11.453125" style="22" customWidth="1"/>
    <col min="6" max="6" width="12.453125" style="22" customWidth="1"/>
    <col min="7" max="7" width="11.453125" style="22" customWidth="1"/>
    <col min="8" max="8" width="8.7265625" style="22"/>
    <col min="9" max="9" width="52.54296875" bestFit="1" customWidth="1"/>
    <col min="11" max="11" width="10.26953125" customWidth="1"/>
    <col min="12" max="12" width="10.7265625" customWidth="1"/>
    <col min="13" max="13" width="15.1796875" customWidth="1"/>
    <col min="14" max="14" width="14" customWidth="1"/>
  </cols>
  <sheetData>
    <row r="1" spans="2:15" ht="21" x14ac:dyDescent="0.55000000000000004">
      <c r="B1" s="124" t="s">
        <v>33</v>
      </c>
      <c r="C1" s="125"/>
      <c r="D1" s="125"/>
      <c r="E1" s="125"/>
      <c r="F1" s="125"/>
      <c r="G1" s="21"/>
    </row>
    <row r="2" spans="2:15" ht="16.5" customHeight="1" x14ac:dyDescent="0.55000000000000004">
      <c r="B2" s="23"/>
      <c r="C2" s="24"/>
      <c r="D2" s="24"/>
      <c r="E2" s="24"/>
      <c r="F2" s="24"/>
      <c r="G2" s="25"/>
      <c r="I2" s="26" t="s">
        <v>70</v>
      </c>
      <c r="J2" s="26"/>
      <c r="K2" s="26"/>
      <c r="L2" s="26"/>
      <c r="M2" s="26"/>
      <c r="N2" s="26"/>
      <c r="O2" s="9"/>
    </row>
    <row r="3" spans="2:15" ht="16.5" customHeight="1" x14ac:dyDescent="0.45">
      <c r="B3" s="27" t="s">
        <v>38</v>
      </c>
      <c r="C3" s="28" t="s">
        <v>36</v>
      </c>
      <c r="D3" s="28" t="s">
        <v>41</v>
      </c>
      <c r="E3" s="29" t="s">
        <v>40</v>
      </c>
      <c r="F3" s="29" t="s">
        <v>37</v>
      </c>
      <c r="G3" s="30" t="s">
        <v>39</v>
      </c>
      <c r="I3" s="31" t="s">
        <v>73</v>
      </c>
      <c r="J3" s="32" t="s">
        <v>37</v>
      </c>
      <c r="K3" s="32" t="s">
        <v>74</v>
      </c>
      <c r="L3" s="32" t="s">
        <v>75</v>
      </c>
      <c r="M3" s="32" t="s">
        <v>76</v>
      </c>
      <c r="N3" s="32" t="s">
        <v>77</v>
      </c>
    </row>
    <row r="4" spans="2:15" ht="16.5" customHeight="1" x14ac:dyDescent="0.45">
      <c r="B4" s="33" t="s">
        <v>92</v>
      </c>
      <c r="C4" s="34" t="s">
        <v>94</v>
      </c>
      <c r="D4" s="35">
        <f>J16*J17*J18</f>
        <v>0</v>
      </c>
      <c r="E4" s="11">
        <v>1.75</v>
      </c>
      <c r="F4" s="36">
        <f>D4*E4</f>
        <v>0</v>
      </c>
      <c r="G4" s="37">
        <f>F4/$J$14</f>
        <v>0</v>
      </c>
      <c r="I4" s="38"/>
      <c r="J4" s="39" t="s">
        <v>78</v>
      </c>
      <c r="K4" s="40"/>
      <c r="L4" s="39" t="s">
        <v>79</v>
      </c>
      <c r="M4" s="39"/>
      <c r="N4" s="39"/>
    </row>
    <row r="5" spans="2:15" ht="16.5" customHeight="1" x14ac:dyDescent="0.45">
      <c r="B5" s="33" t="s">
        <v>93</v>
      </c>
      <c r="C5" s="34" t="s">
        <v>94</v>
      </c>
      <c r="D5" s="35">
        <f>J16*J17*J19</f>
        <v>2486</v>
      </c>
      <c r="E5" s="11">
        <v>2.75</v>
      </c>
      <c r="F5" s="41">
        <f>D5*E5</f>
        <v>6836.5</v>
      </c>
      <c r="G5" s="42">
        <f>F5/$J$14</f>
        <v>3.41825</v>
      </c>
      <c r="H5" s="43"/>
      <c r="I5" s="44"/>
      <c r="J5" s="45" t="s">
        <v>80</v>
      </c>
      <c r="K5" s="45" t="s">
        <v>81</v>
      </c>
      <c r="L5" s="45" t="s">
        <v>82</v>
      </c>
      <c r="M5" s="45" t="s">
        <v>80</v>
      </c>
      <c r="N5" s="45" t="s">
        <v>80</v>
      </c>
    </row>
    <row r="6" spans="2:15" ht="16.5" customHeight="1" x14ac:dyDescent="0.45">
      <c r="B6" s="33"/>
      <c r="C6" s="46"/>
      <c r="D6" s="9"/>
      <c r="E6" s="47" t="s">
        <v>35</v>
      </c>
      <c r="F6" s="48">
        <f>SUM(F4:F5)</f>
        <v>6836.5</v>
      </c>
      <c r="G6" s="49">
        <f>F6/J14</f>
        <v>3.41825</v>
      </c>
      <c r="H6" s="50"/>
      <c r="I6" s="51" t="s">
        <v>105</v>
      </c>
      <c r="J6" s="15">
        <v>14000</v>
      </c>
      <c r="K6" s="16">
        <v>20</v>
      </c>
      <c r="L6" s="5">
        <v>0.1</v>
      </c>
      <c r="M6" s="52">
        <f t="shared" ref="M6:M9" si="0">IF(J6&gt;0,(J6-(J6*L6))/K6,"")</f>
        <v>630</v>
      </c>
      <c r="N6" s="52">
        <f>IF(J6&gt;0,((J6+J6*L6)/2)*$D$36,"")</f>
        <v>654.5</v>
      </c>
    </row>
    <row r="7" spans="2:15" ht="16.5" customHeight="1" x14ac:dyDescent="0.45">
      <c r="B7" s="53"/>
      <c r="C7" s="54"/>
      <c r="D7" s="54"/>
      <c r="E7" s="54"/>
      <c r="F7" s="54"/>
      <c r="G7" s="55"/>
      <c r="H7" s="50"/>
      <c r="I7" s="51" t="s">
        <v>83</v>
      </c>
      <c r="J7" s="15">
        <v>1000</v>
      </c>
      <c r="K7" s="16">
        <v>4</v>
      </c>
      <c r="L7" s="5">
        <v>0</v>
      </c>
      <c r="M7" s="52">
        <f t="shared" si="0"/>
        <v>250</v>
      </c>
      <c r="N7" s="52">
        <f>IF(J7&gt;0,((J7+J7*L7)/2)*$D$36,"")</f>
        <v>42.5</v>
      </c>
    </row>
    <row r="8" spans="2:15" ht="16.5" customHeight="1" x14ac:dyDescent="0.45">
      <c r="B8" s="27" t="s">
        <v>42</v>
      </c>
      <c r="C8" s="28" t="s">
        <v>36</v>
      </c>
      <c r="D8" s="28" t="s">
        <v>41</v>
      </c>
      <c r="E8" s="29" t="s">
        <v>40</v>
      </c>
      <c r="F8" s="29" t="s">
        <v>37</v>
      </c>
      <c r="G8" s="30" t="s">
        <v>39</v>
      </c>
      <c r="H8" s="50"/>
      <c r="I8" s="51" t="s">
        <v>69</v>
      </c>
      <c r="J8" s="15">
        <v>5000</v>
      </c>
      <c r="K8" s="16">
        <v>10</v>
      </c>
      <c r="L8" s="5">
        <v>0.1</v>
      </c>
      <c r="M8" s="52">
        <f t="shared" si="0"/>
        <v>450</v>
      </c>
      <c r="N8" s="52">
        <f>IF(J8&gt;0,((J8+J8*L8)/2)*$D$36,"")</f>
        <v>233.75000000000003</v>
      </c>
    </row>
    <row r="9" spans="2:15" ht="16.5" customHeight="1" x14ac:dyDescent="0.45">
      <c r="B9" s="56" t="s">
        <v>43</v>
      </c>
      <c r="C9" s="34" t="s">
        <v>0</v>
      </c>
      <c r="D9" s="7">
        <v>1</v>
      </c>
      <c r="E9" s="8">
        <v>15</v>
      </c>
      <c r="F9" s="52">
        <f t="shared" ref="F9:F14" si="1">D9*E9</f>
        <v>15</v>
      </c>
      <c r="G9" s="57">
        <f t="shared" ref="G9:G17" si="2">F9/$J$14</f>
        <v>7.4999999999999997E-3</v>
      </c>
      <c r="H9" s="58"/>
      <c r="I9" s="51" t="s">
        <v>106</v>
      </c>
      <c r="J9" s="15">
        <v>500</v>
      </c>
      <c r="K9" s="16">
        <v>20</v>
      </c>
      <c r="L9" s="95"/>
      <c r="M9" s="52">
        <f t="shared" si="0"/>
        <v>25</v>
      </c>
      <c r="N9" s="52">
        <f>IF(J9&gt;0,((J9+J9*L9)/2)*$D$36,"")</f>
        <v>21.25</v>
      </c>
    </row>
    <row r="10" spans="2:15" ht="16.5" customHeight="1" x14ac:dyDescent="0.45">
      <c r="B10" s="56" t="s">
        <v>2</v>
      </c>
      <c r="C10" s="34" t="s">
        <v>3</v>
      </c>
      <c r="D10" s="7">
        <v>400</v>
      </c>
      <c r="E10" s="8">
        <v>6.2399999999999997E-2</v>
      </c>
      <c r="F10" s="52">
        <f t="shared" si="1"/>
        <v>24.959999999999997</v>
      </c>
      <c r="G10" s="57">
        <f t="shared" si="2"/>
        <v>1.2479999999999998E-2</v>
      </c>
      <c r="H10" s="60"/>
      <c r="I10" s="20" t="s">
        <v>37</v>
      </c>
      <c r="J10" s="61">
        <f>SUM(J6:J9)</f>
        <v>20500</v>
      </c>
      <c r="K10" s="9"/>
      <c r="L10" s="9"/>
      <c r="M10" s="9"/>
      <c r="N10" s="9"/>
    </row>
    <row r="11" spans="2:15" ht="16.5" customHeight="1" x14ac:dyDescent="0.45">
      <c r="B11" s="56" t="s">
        <v>4</v>
      </c>
      <c r="C11" s="34" t="s">
        <v>3</v>
      </c>
      <c r="D11" s="7">
        <v>400</v>
      </c>
      <c r="E11" s="8">
        <v>4.5999999999999999E-2</v>
      </c>
      <c r="F11" s="52">
        <f t="shared" si="1"/>
        <v>18.399999999999999</v>
      </c>
      <c r="G11" s="57">
        <f t="shared" si="2"/>
        <v>9.1999999999999998E-3</v>
      </c>
      <c r="H11" s="60"/>
      <c r="I11" s="9"/>
      <c r="J11" s="9"/>
      <c r="K11" s="9"/>
      <c r="L11" s="9"/>
      <c r="M11" s="9"/>
      <c r="N11" s="9"/>
      <c r="O11" s="9"/>
    </row>
    <row r="12" spans="2:15" ht="16.5" customHeight="1" x14ac:dyDescent="0.45">
      <c r="B12" s="56" t="s">
        <v>5</v>
      </c>
      <c r="C12" s="34" t="s">
        <v>0</v>
      </c>
      <c r="D12" s="62">
        <f>J16</f>
        <v>226</v>
      </c>
      <c r="E12" s="8">
        <v>0.44</v>
      </c>
      <c r="F12" s="52">
        <f t="shared" si="1"/>
        <v>99.44</v>
      </c>
      <c r="G12" s="57">
        <f t="shared" si="2"/>
        <v>4.972E-2</v>
      </c>
      <c r="H12" s="60"/>
      <c r="I12" s="26" t="s">
        <v>104</v>
      </c>
      <c r="J12" s="63"/>
      <c r="K12" s="63"/>
      <c r="M12" s="9"/>
      <c r="N12" s="9"/>
      <c r="O12" s="9"/>
    </row>
    <row r="13" spans="2:15" ht="16.5" customHeight="1" x14ac:dyDescent="0.45">
      <c r="B13" s="56" t="s">
        <v>146</v>
      </c>
      <c r="C13" s="34" t="s">
        <v>0</v>
      </c>
      <c r="D13" s="7">
        <f>D12/4</f>
        <v>56.5</v>
      </c>
      <c r="E13" s="8">
        <v>2.1996000000000002</v>
      </c>
      <c r="F13" s="52">
        <f t="shared" si="1"/>
        <v>124.27740000000001</v>
      </c>
      <c r="G13" s="57">
        <f t="shared" si="2"/>
        <v>6.2138700000000005E-2</v>
      </c>
      <c r="H13" s="60"/>
      <c r="I13" s="64" t="s">
        <v>100</v>
      </c>
      <c r="J13" s="26" t="s">
        <v>41</v>
      </c>
      <c r="K13" s="65" t="s">
        <v>95</v>
      </c>
      <c r="L13" s="9"/>
      <c r="M13" s="9"/>
      <c r="N13" s="9"/>
      <c r="O13" s="9"/>
    </row>
    <row r="14" spans="2:15" ht="16.5" customHeight="1" x14ac:dyDescent="0.45">
      <c r="B14" s="56" t="s">
        <v>44</v>
      </c>
      <c r="C14" s="34" t="s">
        <v>6</v>
      </c>
      <c r="D14" s="7">
        <f>15*12/1000*2000</f>
        <v>360</v>
      </c>
      <c r="E14" s="8">
        <v>0.32</v>
      </c>
      <c r="F14" s="52">
        <f t="shared" si="1"/>
        <v>115.2</v>
      </c>
      <c r="G14" s="57">
        <f t="shared" si="2"/>
        <v>5.7599999999999998E-2</v>
      </c>
      <c r="H14" s="60"/>
      <c r="I14" s="51" t="s">
        <v>68</v>
      </c>
      <c r="J14" s="15">
        <v>2000</v>
      </c>
      <c r="K14" s="34" t="s">
        <v>3</v>
      </c>
      <c r="L14" s="9"/>
      <c r="M14" s="9"/>
      <c r="N14" s="9"/>
      <c r="O14" s="9"/>
    </row>
    <row r="15" spans="2:15" ht="16.5" customHeight="1" x14ac:dyDescent="0.45">
      <c r="B15" s="56" t="s">
        <v>179</v>
      </c>
      <c r="C15" s="34" t="s">
        <v>6</v>
      </c>
      <c r="D15" s="7">
        <v>90</v>
      </c>
      <c r="E15" s="12">
        <v>1.0932999999999999</v>
      </c>
      <c r="F15" s="52">
        <f>D15*E15</f>
        <v>98.396999999999991</v>
      </c>
      <c r="G15" s="57">
        <f t="shared" si="2"/>
        <v>4.9198499999999992E-2</v>
      </c>
      <c r="H15" s="60"/>
      <c r="I15" s="51" t="s">
        <v>96</v>
      </c>
      <c r="J15" s="15">
        <v>6</v>
      </c>
      <c r="K15" s="34" t="s">
        <v>7</v>
      </c>
      <c r="L15" s="9"/>
    </row>
    <row r="16" spans="2:15" ht="16.5" customHeight="1" x14ac:dyDescent="0.45">
      <c r="B16" s="56" t="s">
        <v>121</v>
      </c>
      <c r="C16" s="34" t="s">
        <v>6</v>
      </c>
      <c r="D16" s="7">
        <v>4</v>
      </c>
      <c r="E16" s="12">
        <v>2</v>
      </c>
      <c r="F16" s="52">
        <f>D16*E16</f>
        <v>8</v>
      </c>
      <c r="G16" s="57">
        <f>F16/$J$14</f>
        <v>4.0000000000000001E-3</v>
      </c>
      <c r="H16" s="60"/>
      <c r="I16" s="51" t="s">
        <v>97</v>
      </c>
      <c r="J16" s="15">
        <v>226</v>
      </c>
      <c r="K16" s="34" t="s">
        <v>98</v>
      </c>
    </row>
    <row r="17" spans="2:11" ht="16.5" customHeight="1" x14ac:dyDescent="0.45">
      <c r="B17" s="56" t="s">
        <v>49</v>
      </c>
      <c r="C17" s="34" t="s">
        <v>113</v>
      </c>
      <c r="D17" s="20">
        <f>ROUNDUP((J16*J17)/J20,0)</f>
        <v>100</v>
      </c>
      <c r="E17" s="8">
        <v>3.31</v>
      </c>
      <c r="F17" s="52">
        <f>D17*E17</f>
        <v>331</v>
      </c>
      <c r="G17" s="57">
        <f t="shared" si="2"/>
        <v>0.16550000000000001</v>
      </c>
      <c r="H17" s="60"/>
      <c r="I17" s="51" t="s">
        <v>99</v>
      </c>
      <c r="J17" s="15">
        <v>11</v>
      </c>
      <c r="K17" s="34" t="s">
        <v>94</v>
      </c>
    </row>
    <row r="18" spans="2:11" ht="16.5" customHeight="1" x14ac:dyDescent="0.45">
      <c r="B18" s="56" t="s">
        <v>34</v>
      </c>
      <c r="C18" s="34"/>
      <c r="D18" s="20"/>
      <c r="E18" s="66"/>
      <c r="F18" s="52"/>
      <c r="G18" s="57"/>
      <c r="H18" s="60"/>
      <c r="I18" s="51" t="s">
        <v>102</v>
      </c>
      <c r="J18" s="14">
        <v>0</v>
      </c>
      <c r="K18" s="34" t="s">
        <v>101</v>
      </c>
    </row>
    <row r="19" spans="2:11" ht="16.5" customHeight="1" x14ac:dyDescent="0.45">
      <c r="B19" s="56" t="s">
        <v>51</v>
      </c>
      <c r="C19" s="34" t="s">
        <v>1</v>
      </c>
      <c r="D19" s="7">
        <v>5</v>
      </c>
      <c r="E19" s="8">
        <v>20</v>
      </c>
      <c r="F19" s="52">
        <f>D19*E19</f>
        <v>100</v>
      </c>
      <c r="G19" s="57">
        <f t="shared" ref="G19:G32" si="3">F19/$J$14</f>
        <v>0.05</v>
      </c>
      <c r="H19" s="60"/>
      <c r="I19" s="51" t="s">
        <v>103</v>
      </c>
      <c r="J19" s="14">
        <v>1</v>
      </c>
      <c r="K19" s="34" t="s">
        <v>101</v>
      </c>
    </row>
    <row r="20" spans="2:11" ht="16.5" customHeight="1" x14ac:dyDescent="0.45">
      <c r="B20" s="56" t="s">
        <v>45</v>
      </c>
      <c r="C20" s="34" t="s">
        <v>1</v>
      </c>
      <c r="D20" s="7">
        <v>3</v>
      </c>
      <c r="E20" s="8">
        <v>20</v>
      </c>
      <c r="F20" s="52">
        <f>D20*E20</f>
        <v>60</v>
      </c>
      <c r="G20" s="57">
        <f t="shared" si="3"/>
        <v>0.03</v>
      </c>
      <c r="H20" s="60"/>
      <c r="I20" s="51" t="s">
        <v>145</v>
      </c>
      <c r="J20" s="16">
        <v>25</v>
      </c>
      <c r="K20" s="34" t="s">
        <v>144</v>
      </c>
    </row>
    <row r="21" spans="2:11" ht="16.5" customHeight="1" x14ac:dyDescent="0.45">
      <c r="B21" s="56" t="s">
        <v>46</v>
      </c>
      <c r="C21" s="34" t="s">
        <v>1</v>
      </c>
      <c r="D21" s="7">
        <v>10</v>
      </c>
      <c r="E21" s="8">
        <v>20</v>
      </c>
      <c r="F21" s="52">
        <f>D21*E21</f>
        <v>200</v>
      </c>
      <c r="G21" s="57">
        <f t="shared" si="3"/>
        <v>0.1</v>
      </c>
      <c r="H21" s="60"/>
    </row>
    <row r="22" spans="2:11" ht="16.5" customHeight="1" x14ac:dyDescent="0.45">
      <c r="B22" s="56" t="s">
        <v>47</v>
      </c>
      <c r="C22" s="34" t="s">
        <v>1</v>
      </c>
      <c r="D22" s="7">
        <v>23</v>
      </c>
      <c r="E22" s="8">
        <v>20</v>
      </c>
      <c r="F22" s="52">
        <f>D22*E22</f>
        <v>460</v>
      </c>
      <c r="G22" s="57">
        <f t="shared" si="3"/>
        <v>0.23</v>
      </c>
      <c r="H22" s="60"/>
      <c r="I22" s="51"/>
    </row>
    <row r="23" spans="2:11" ht="16.5" customHeight="1" x14ac:dyDescent="0.45">
      <c r="B23" s="56" t="s">
        <v>48</v>
      </c>
      <c r="C23" s="34" t="s">
        <v>1</v>
      </c>
      <c r="D23" s="7">
        <v>2</v>
      </c>
      <c r="E23" s="8">
        <v>20</v>
      </c>
      <c r="F23" s="52">
        <f>D23*E23</f>
        <v>40</v>
      </c>
      <c r="G23" s="57">
        <f t="shared" si="3"/>
        <v>0.02</v>
      </c>
      <c r="H23" s="60"/>
      <c r="I23" s="1"/>
    </row>
    <row r="24" spans="2:11" ht="16.5" customHeight="1" x14ac:dyDescent="0.45">
      <c r="B24" s="56" t="s">
        <v>50</v>
      </c>
      <c r="C24" s="34" t="s">
        <v>1</v>
      </c>
      <c r="D24" s="7">
        <v>5</v>
      </c>
      <c r="E24" s="8">
        <v>20</v>
      </c>
      <c r="F24" s="52">
        <f t="shared" ref="F24" si="4">D24*E24</f>
        <v>100</v>
      </c>
      <c r="G24" s="57">
        <f t="shared" si="3"/>
        <v>0.05</v>
      </c>
      <c r="H24" s="60"/>
    </row>
    <row r="25" spans="2:11" ht="16.5" customHeight="1" x14ac:dyDescent="0.45">
      <c r="B25" s="56" t="s">
        <v>67</v>
      </c>
      <c r="C25" s="34" t="s">
        <v>1</v>
      </c>
      <c r="D25" s="7">
        <v>11</v>
      </c>
      <c r="E25" s="8">
        <v>20</v>
      </c>
      <c r="F25" s="52">
        <f t="shared" ref="F25" si="5">D25*E25</f>
        <v>220</v>
      </c>
      <c r="G25" s="57">
        <f t="shared" si="3"/>
        <v>0.11</v>
      </c>
      <c r="H25" s="60"/>
    </row>
    <row r="26" spans="2:11" ht="16.5" customHeight="1" x14ac:dyDescent="0.45">
      <c r="B26" s="56" t="s">
        <v>52</v>
      </c>
      <c r="C26" s="34" t="s">
        <v>1</v>
      </c>
      <c r="D26" s="7">
        <v>42</v>
      </c>
      <c r="E26" s="8">
        <v>20</v>
      </c>
      <c r="F26" s="52">
        <f>D26*E26</f>
        <v>840</v>
      </c>
      <c r="G26" s="57">
        <f t="shared" si="3"/>
        <v>0.42</v>
      </c>
      <c r="H26" s="60"/>
    </row>
    <row r="27" spans="2:11" ht="16.5" customHeight="1" x14ac:dyDescent="0.45">
      <c r="B27" s="56" t="s">
        <v>53</v>
      </c>
      <c r="C27" s="34" t="s">
        <v>1</v>
      </c>
      <c r="D27" s="7">
        <v>10</v>
      </c>
      <c r="E27" s="8">
        <v>20</v>
      </c>
      <c r="F27" s="52">
        <f>D27*E27</f>
        <v>200</v>
      </c>
      <c r="G27" s="57">
        <f t="shared" si="3"/>
        <v>0.1</v>
      </c>
      <c r="H27" s="60"/>
    </row>
    <row r="28" spans="2:11" ht="16.5" customHeight="1" x14ac:dyDescent="0.45">
      <c r="B28" s="56" t="s">
        <v>54</v>
      </c>
      <c r="C28" s="67" t="s">
        <v>55</v>
      </c>
      <c r="D28" s="14">
        <v>0.1</v>
      </c>
      <c r="E28" s="66"/>
      <c r="F28" s="52">
        <f>D28*F6</f>
        <v>683.65000000000009</v>
      </c>
      <c r="G28" s="57">
        <f t="shared" si="3"/>
        <v>0.34182500000000005</v>
      </c>
      <c r="H28" s="60"/>
    </row>
    <row r="29" spans="2:11" ht="16.5" customHeight="1" x14ac:dyDescent="0.45">
      <c r="B29" s="56" t="s">
        <v>84</v>
      </c>
      <c r="C29" s="67" t="s">
        <v>85</v>
      </c>
      <c r="D29" s="14">
        <v>5.0000000000000001E-3</v>
      </c>
      <c r="E29" s="66"/>
      <c r="F29" s="52">
        <f>J10*D29</f>
        <v>102.5</v>
      </c>
      <c r="G29" s="57">
        <f t="shared" si="3"/>
        <v>5.1249999999999997E-2</v>
      </c>
      <c r="H29" s="60"/>
    </row>
    <row r="30" spans="2:11" ht="16.5" customHeight="1" x14ac:dyDescent="0.45">
      <c r="B30" s="56" t="s">
        <v>56</v>
      </c>
      <c r="C30" s="67"/>
      <c r="D30" s="68"/>
      <c r="E30" s="66"/>
      <c r="F30" s="13">
        <v>0</v>
      </c>
      <c r="G30" s="57">
        <f t="shared" si="3"/>
        <v>0</v>
      </c>
      <c r="H30" s="60"/>
    </row>
    <row r="31" spans="2:11" ht="16.5" customHeight="1" x14ac:dyDescent="0.45">
      <c r="B31" s="56" t="s">
        <v>58</v>
      </c>
      <c r="C31" s="67" t="s">
        <v>57</v>
      </c>
      <c r="D31" s="5">
        <v>8.5000000000000006E-2</v>
      </c>
      <c r="E31" s="66"/>
      <c r="F31" s="69">
        <f>SUM(F9:F30)*D31*(3/12)</f>
        <v>81.617518500000003</v>
      </c>
      <c r="G31" s="70">
        <f t="shared" si="3"/>
        <v>4.080875925E-2</v>
      </c>
      <c r="H31" s="60"/>
    </row>
    <row r="32" spans="2:11" ht="16.5" customHeight="1" x14ac:dyDescent="0.45">
      <c r="B32" s="71"/>
      <c r="C32" s="67"/>
      <c r="D32" s="9"/>
      <c r="E32" s="72" t="s">
        <v>59</v>
      </c>
      <c r="F32" s="48">
        <f>SUM(F9:F31)</f>
        <v>3922.4419185000002</v>
      </c>
      <c r="G32" s="73">
        <f t="shared" si="3"/>
        <v>1.9612209592500001</v>
      </c>
      <c r="H32" s="60"/>
    </row>
    <row r="33" spans="2:15" ht="16.5" customHeight="1" x14ac:dyDescent="0.45">
      <c r="B33" s="71"/>
      <c r="C33" s="67"/>
      <c r="D33" s="9"/>
      <c r="E33" s="72"/>
      <c r="F33" s="48"/>
      <c r="G33" s="73"/>
      <c r="H33" s="60"/>
    </row>
    <row r="34" spans="2:15" ht="16.5" customHeight="1" x14ac:dyDescent="0.45">
      <c r="B34" s="74" t="s">
        <v>60</v>
      </c>
      <c r="C34" s="75" t="s">
        <v>36</v>
      </c>
      <c r="D34" s="76" t="s">
        <v>41</v>
      </c>
      <c r="E34" s="76" t="s">
        <v>40</v>
      </c>
      <c r="F34" s="76" t="s">
        <v>37</v>
      </c>
      <c r="G34" s="77" t="s">
        <v>39</v>
      </c>
      <c r="H34" s="60"/>
    </row>
    <row r="35" spans="2:15" ht="16.5" customHeight="1" x14ac:dyDescent="0.45">
      <c r="B35" s="78" t="s">
        <v>71</v>
      </c>
      <c r="C35" s="67"/>
      <c r="D35" s="59"/>
      <c r="E35" s="79"/>
      <c r="F35" s="52">
        <f>SUM(M6:M9)*J15/12</f>
        <v>677.5</v>
      </c>
      <c r="G35" s="57">
        <f>F35/$J$14</f>
        <v>0.33875</v>
      </c>
      <c r="H35" s="60"/>
    </row>
    <row r="36" spans="2:15" ht="16.5" customHeight="1" x14ac:dyDescent="0.45">
      <c r="B36" s="78" t="s">
        <v>72</v>
      </c>
      <c r="C36" s="67" t="s">
        <v>57</v>
      </c>
      <c r="D36" s="5">
        <v>8.5000000000000006E-2</v>
      </c>
      <c r="E36" s="79"/>
      <c r="F36" s="52">
        <f>SUM(N6:N9)*J15/12</f>
        <v>476</v>
      </c>
      <c r="G36" s="57">
        <f>F36/$J$14</f>
        <v>0.23799999999999999</v>
      </c>
      <c r="H36" s="60"/>
    </row>
    <row r="37" spans="2:15" ht="16.5" customHeight="1" x14ac:dyDescent="0.45">
      <c r="B37" s="78" t="s">
        <v>61</v>
      </c>
      <c r="C37" s="67"/>
      <c r="D37" s="59"/>
      <c r="E37" s="79"/>
      <c r="F37" s="13">
        <v>25</v>
      </c>
      <c r="G37" s="57">
        <f>F37/$J$14</f>
        <v>1.2500000000000001E-2</v>
      </c>
      <c r="H37" s="60"/>
    </row>
    <row r="38" spans="2:15" ht="16.5" customHeight="1" x14ac:dyDescent="0.45">
      <c r="B38" s="78" t="s">
        <v>62</v>
      </c>
      <c r="C38" s="67" t="s">
        <v>85</v>
      </c>
      <c r="D38" s="5">
        <v>0.01</v>
      </c>
      <c r="E38" s="79"/>
      <c r="F38" s="69">
        <f>D38*J10</f>
        <v>205</v>
      </c>
      <c r="G38" s="70">
        <f>F38/$J$14</f>
        <v>0.10249999999999999</v>
      </c>
      <c r="H38" s="60"/>
    </row>
    <row r="39" spans="2:15" ht="16.5" customHeight="1" x14ac:dyDescent="0.45">
      <c r="B39" s="80"/>
      <c r="C39" s="81"/>
      <c r="D39" s="9"/>
      <c r="E39" s="47" t="s">
        <v>63</v>
      </c>
      <c r="F39" s="48">
        <f>SUM(F35:F38)</f>
        <v>1383.5</v>
      </c>
      <c r="G39" s="73">
        <f>SUM(G35:G38)</f>
        <v>0.69174999999999998</v>
      </c>
    </row>
    <row r="40" spans="2:15" ht="16.5" customHeight="1" x14ac:dyDescent="0.45">
      <c r="B40" s="80"/>
      <c r="C40" s="81"/>
      <c r="D40" s="9"/>
      <c r="E40" s="47"/>
      <c r="F40" s="48"/>
      <c r="G40" s="73"/>
    </row>
    <row r="41" spans="2:15" ht="16.5" customHeight="1" x14ac:dyDescent="0.45">
      <c r="B41" s="80"/>
      <c r="C41" s="81"/>
      <c r="D41" s="9"/>
      <c r="E41" s="47" t="s">
        <v>64</v>
      </c>
      <c r="F41" s="48">
        <f>F32+F39</f>
        <v>5305.9419185000006</v>
      </c>
      <c r="G41" s="73">
        <f>G32+G39</f>
        <v>2.6529709592500001</v>
      </c>
    </row>
    <row r="42" spans="2:15" ht="16.5" customHeight="1" x14ac:dyDescent="0.45">
      <c r="B42" s="82"/>
      <c r="C42" s="83"/>
      <c r="D42" s="26"/>
      <c r="E42" s="84"/>
      <c r="F42" s="85"/>
      <c r="G42" s="86"/>
    </row>
    <row r="43" spans="2:15" ht="16.5" customHeight="1" x14ac:dyDescent="0.45">
      <c r="B43" s="80"/>
      <c r="C43" s="81"/>
      <c r="D43"/>
      <c r="E43" s="47" t="s">
        <v>65</v>
      </c>
      <c r="F43" s="48">
        <f>F6-F32</f>
        <v>2914.0580814999998</v>
      </c>
      <c r="G43" s="73">
        <f>G6-G32</f>
        <v>1.4570290407499999</v>
      </c>
    </row>
    <row r="44" spans="2:15" ht="16.5" customHeight="1" thickBot="1" x14ac:dyDescent="0.5">
      <c r="B44" s="87"/>
      <c r="C44" s="88"/>
      <c r="D44" s="89"/>
      <c r="E44" s="90" t="s">
        <v>66</v>
      </c>
      <c r="F44" s="91">
        <f>F6-F41</f>
        <v>1530.5580814999994</v>
      </c>
      <c r="G44" s="92">
        <f>G6-G41</f>
        <v>0.76527904074999986</v>
      </c>
    </row>
    <row r="45" spans="2:15" ht="16.5" customHeight="1" x14ac:dyDescent="0.45">
      <c r="B45" s="10"/>
      <c r="C45" s="81"/>
      <c r="D45" s="9"/>
      <c r="E45" s="47"/>
      <c r="F45" s="48"/>
      <c r="G45" s="48"/>
    </row>
    <row r="47" spans="2:15" ht="16.5" customHeight="1" x14ac:dyDescent="0.45">
      <c r="B47" s="46"/>
      <c r="C47" s="46"/>
      <c r="D47" s="46"/>
      <c r="E47" s="93"/>
      <c r="F47" s="93"/>
      <c r="G47" s="93"/>
      <c r="M47" s="94"/>
      <c r="N47" s="94"/>
      <c r="O47" s="94"/>
    </row>
    <row r="48" spans="2:15" x14ac:dyDescent="0.45">
      <c r="I48" s="94"/>
      <c r="J48" s="94"/>
      <c r="K48" s="94"/>
      <c r="L48" s="94"/>
      <c r="M48" s="94"/>
      <c r="N48" s="94"/>
      <c r="O48" s="94"/>
    </row>
    <row r="49" spans="2:15" ht="17.5" x14ac:dyDescent="0.45">
      <c r="B49" s="10" t="s">
        <v>178</v>
      </c>
      <c r="C49" s="105"/>
      <c r="D49" s="105" t="s">
        <v>185</v>
      </c>
      <c r="E49" s="46"/>
      <c r="F49" s="46"/>
      <c r="G49" s="46"/>
      <c r="H49" s="46"/>
      <c r="I49" s="94"/>
      <c r="J49" s="94"/>
      <c r="K49" s="94"/>
      <c r="L49" s="94"/>
      <c r="N49" s="94"/>
      <c r="O49" s="94"/>
    </row>
    <row r="50" spans="2:15" x14ac:dyDescent="0.45">
      <c r="C50" s="106">
        <f>F44</f>
        <v>1530.5580814999994</v>
      </c>
      <c r="D50" s="109">
        <f>0.8*11</f>
        <v>8.8000000000000007</v>
      </c>
      <c r="E50" s="110">
        <f>0.9*11</f>
        <v>9.9</v>
      </c>
      <c r="F50" s="110">
        <v>11</v>
      </c>
      <c r="G50" s="110">
        <f>1.1*11</f>
        <v>12.100000000000001</v>
      </c>
      <c r="H50" s="111">
        <f>1.2*11</f>
        <v>13.2</v>
      </c>
    </row>
    <row r="51" spans="2:15" ht="16.5" x14ac:dyDescent="0.45">
      <c r="B51" s="103" t="s">
        <v>184</v>
      </c>
      <c r="C51" s="107">
        <f>0.8*C53</f>
        <v>2.2000000000000002</v>
      </c>
      <c r="D51" s="98">
        <f t="dataTable" ref="D51:H55" dt2D="1" dtr="1" r1="J17" r2="E5"/>
        <v>-611.63124599999901</v>
      </c>
      <c r="E51" s="98">
        <v>-154.3688259999999</v>
      </c>
      <c r="F51" s="99">
        <v>302.89359400000103</v>
      </c>
      <c r="G51" s="99">
        <v>760.15601400000105</v>
      </c>
      <c r="H51" s="100">
        <v>1217.4184340000002</v>
      </c>
    </row>
    <row r="52" spans="2:15" ht="16.5" x14ac:dyDescent="0.45">
      <c r="B52" s="104"/>
      <c r="C52" s="107">
        <f>0.9*C53</f>
        <v>2.4750000000000001</v>
      </c>
      <c r="D52" s="98">
        <v>-120.56545099999948</v>
      </c>
      <c r="E52" s="99">
        <v>398.08019337500082</v>
      </c>
      <c r="F52" s="99">
        <v>916.72583775000021</v>
      </c>
      <c r="G52" s="99">
        <v>1435.3714821250005</v>
      </c>
      <c r="H52" s="100">
        <v>1954.0171265000008</v>
      </c>
    </row>
    <row r="53" spans="2:15" ht="16.5" x14ac:dyDescent="0.45">
      <c r="B53" s="97"/>
      <c r="C53" s="107">
        <v>2.75</v>
      </c>
      <c r="D53" s="99">
        <v>370.50034400000004</v>
      </c>
      <c r="E53" s="99">
        <v>950.52921274999972</v>
      </c>
      <c r="F53" s="99">
        <v>1530.5580814999994</v>
      </c>
      <c r="G53" s="99">
        <v>2110.5869502500009</v>
      </c>
      <c r="H53" s="100">
        <v>2690.6158189999996</v>
      </c>
    </row>
    <row r="54" spans="2:15" ht="16.5" x14ac:dyDescent="0.45">
      <c r="B54" s="97"/>
      <c r="C54" s="107">
        <f>1.1*C53</f>
        <v>3.0250000000000004</v>
      </c>
      <c r="D54" s="99">
        <v>861.56613900000139</v>
      </c>
      <c r="E54" s="99">
        <v>1502.9782321250013</v>
      </c>
      <c r="F54" s="99">
        <v>2144.3903252500004</v>
      </c>
      <c r="G54" s="99">
        <v>2785.8024183750022</v>
      </c>
      <c r="H54" s="100">
        <v>3427.2145115000003</v>
      </c>
    </row>
    <row r="55" spans="2:15" ht="16.5" x14ac:dyDescent="0.45">
      <c r="B55" s="97"/>
      <c r="C55" s="108">
        <f>1.2*C54</f>
        <v>3.6300000000000003</v>
      </c>
      <c r="D55" s="101">
        <v>1941.9108880000003</v>
      </c>
      <c r="E55" s="101">
        <v>2718.3660747500007</v>
      </c>
      <c r="F55" s="101">
        <v>3494.8212615000002</v>
      </c>
      <c r="G55" s="101">
        <v>4271.2764482500015</v>
      </c>
      <c r="H55" s="102">
        <v>5047.7316350000001</v>
      </c>
    </row>
  </sheetData>
  <sheetProtection sheet="1" objects="1" scenarios="1"/>
  <mergeCells count="1">
    <mergeCell ref="B1:F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B57A7-98A8-4E33-9342-C62F732CA596}">
  <dimension ref="A2:L68"/>
  <sheetViews>
    <sheetView topLeftCell="A38" zoomScale="104" workbookViewId="0">
      <selection activeCell="E53" sqref="E53"/>
    </sheetView>
  </sheetViews>
  <sheetFormatPr defaultRowHeight="14.5" x14ac:dyDescent="0.35"/>
  <cols>
    <col min="1" max="1" width="22.81640625" bestFit="1" customWidth="1"/>
    <col min="2" max="2" width="80.7265625" bestFit="1" customWidth="1"/>
    <col min="3" max="3" width="17.1796875" customWidth="1"/>
    <col min="4" max="4" width="11.81640625" bestFit="1" customWidth="1"/>
    <col min="5" max="5" width="23.1796875" customWidth="1"/>
    <col min="6" max="6" width="27.26953125" bestFit="1" customWidth="1"/>
  </cols>
  <sheetData>
    <row r="2" spans="1:11" x14ac:dyDescent="0.35">
      <c r="A2" s="2" t="s">
        <v>16</v>
      </c>
      <c r="B2" s="1"/>
      <c r="D2" s="1"/>
    </row>
    <row r="3" spans="1:11" x14ac:dyDescent="0.35">
      <c r="B3" t="s">
        <v>17</v>
      </c>
      <c r="C3" s="3" t="s">
        <v>14</v>
      </c>
      <c r="D3" s="1"/>
    </row>
    <row r="5" spans="1:11" x14ac:dyDescent="0.35">
      <c r="B5" t="s">
        <v>18</v>
      </c>
      <c r="C5" s="3" t="s">
        <v>15</v>
      </c>
      <c r="J5" t="s">
        <v>91</v>
      </c>
    </row>
    <row r="6" spans="1:11" x14ac:dyDescent="0.35">
      <c r="B6" t="s">
        <v>23</v>
      </c>
      <c r="C6" s="3" t="s">
        <v>24</v>
      </c>
    </row>
    <row r="8" spans="1:11" x14ac:dyDescent="0.35">
      <c r="B8" t="s">
        <v>2</v>
      </c>
      <c r="C8" s="3" t="s">
        <v>8</v>
      </c>
    </row>
    <row r="10" spans="1:11" x14ac:dyDescent="0.35">
      <c r="B10" t="s">
        <v>19</v>
      </c>
      <c r="C10" t="s">
        <v>9</v>
      </c>
    </row>
    <row r="12" spans="1:11" x14ac:dyDescent="0.35">
      <c r="B12" t="s">
        <v>20</v>
      </c>
      <c r="C12" t="s">
        <v>10</v>
      </c>
    </row>
    <row r="13" spans="1:11" x14ac:dyDescent="0.35">
      <c r="C13" s="3" t="s">
        <v>86</v>
      </c>
    </row>
    <row r="15" spans="1:11" x14ac:dyDescent="0.35">
      <c r="B15" t="s">
        <v>21</v>
      </c>
      <c r="C15" s="3" t="s">
        <v>11</v>
      </c>
      <c r="H15" t="s">
        <v>88</v>
      </c>
      <c r="I15" t="s">
        <v>89</v>
      </c>
      <c r="K15" t="s">
        <v>90</v>
      </c>
    </row>
    <row r="16" spans="1:11" x14ac:dyDescent="0.35">
      <c r="C16" s="3" t="s">
        <v>87</v>
      </c>
      <c r="H16">
        <v>44.25</v>
      </c>
      <c r="I16" s="4">
        <f>H16/(25*16)</f>
        <v>0.110625</v>
      </c>
      <c r="K16" s="4">
        <f>24.65/(4*16)</f>
        <v>0.38515624999999998</v>
      </c>
    </row>
    <row r="18" spans="1:7" x14ac:dyDescent="0.35">
      <c r="A18" t="s">
        <v>120</v>
      </c>
      <c r="B18" t="s">
        <v>22</v>
      </c>
      <c r="C18" t="s">
        <v>12</v>
      </c>
    </row>
    <row r="20" spans="1:7" x14ac:dyDescent="0.35">
      <c r="B20" t="s">
        <v>25</v>
      </c>
      <c r="C20" t="s">
        <v>13</v>
      </c>
    </row>
    <row r="22" spans="1:7" x14ac:dyDescent="0.35">
      <c r="B22" t="s">
        <v>30</v>
      </c>
      <c r="C22" t="s">
        <v>26</v>
      </c>
    </row>
    <row r="24" spans="1:7" x14ac:dyDescent="0.35">
      <c r="B24" t="s">
        <v>175</v>
      </c>
      <c r="C24" t="s">
        <v>31</v>
      </c>
      <c r="G24" t="s">
        <v>32</v>
      </c>
    </row>
    <row r="26" spans="1:7" x14ac:dyDescent="0.35">
      <c r="B26" t="s">
        <v>107</v>
      </c>
      <c r="C26" s="3" t="s">
        <v>108</v>
      </c>
    </row>
    <row r="28" spans="1:7" x14ac:dyDescent="0.35">
      <c r="A28" t="s">
        <v>27</v>
      </c>
    </row>
    <row r="29" spans="1:7" x14ac:dyDescent="0.35">
      <c r="B29" t="s">
        <v>28</v>
      </c>
      <c r="C29" t="s">
        <v>29</v>
      </c>
    </row>
    <row r="32" spans="1:7" x14ac:dyDescent="0.35">
      <c r="A32" t="s">
        <v>109</v>
      </c>
    </row>
    <row r="33" spans="1:9" x14ac:dyDescent="0.35">
      <c r="B33" t="s">
        <v>110</v>
      </c>
      <c r="C33" s="6">
        <v>0.03</v>
      </c>
    </row>
    <row r="34" spans="1:9" x14ac:dyDescent="0.35">
      <c r="B34" t="s">
        <v>111</v>
      </c>
      <c r="C34">
        <v>10928</v>
      </c>
      <c r="D34">
        <f>C34*C33</f>
        <v>327.84</v>
      </c>
    </row>
    <row r="35" spans="1:9" x14ac:dyDescent="0.35">
      <c r="B35" t="s">
        <v>112</v>
      </c>
      <c r="D35">
        <f>D34*0.04591368</f>
        <v>15.052340851199999</v>
      </c>
    </row>
    <row r="37" spans="1:9" x14ac:dyDescent="0.35">
      <c r="A37" t="s">
        <v>114</v>
      </c>
    </row>
    <row r="38" spans="1:9" x14ac:dyDescent="0.35">
      <c r="A38" t="s">
        <v>115</v>
      </c>
      <c r="B38" t="s">
        <v>119</v>
      </c>
      <c r="C38" t="s">
        <v>116</v>
      </c>
      <c r="D38">
        <v>5000</v>
      </c>
      <c r="E38" t="s">
        <v>117</v>
      </c>
    </row>
    <row r="39" spans="1:9" x14ac:dyDescent="0.35">
      <c r="C39" t="s">
        <v>118</v>
      </c>
      <c r="D39">
        <v>1000</v>
      </c>
    </row>
    <row r="41" spans="1:9" x14ac:dyDescent="0.35">
      <c r="A41" t="s">
        <v>127</v>
      </c>
      <c r="B41" t="s">
        <v>129</v>
      </c>
      <c r="C41" t="s">
        <v>130</v>
      </c>
      <c r="D41" t="s">
        <v>131</v>
      </c>
      <c r="E41" t="s">
        <v>142</v>
      </c>
      <c r="F41" t="s">
        <v>132</v>
      </c>
      <c r="G41" t="s">
        <v>135</v>
      </c>
    </row>
    <row r="42" spans="1:9" x14ac:dyDescent="0.35">
      <c r="B42" t="s">
        <v>128</v>
      </c>
      <c r="C42" t="s">
        <v>133</v>
      </c>
      <c r="D42">
        <f>58/2.5</f>
        <v>23.2</v>
      </c>
      <c r="E42">
        <f>D42/128</f>
        <v>0.18124999999999999</v>
      </c>
      <c r="F42" t="s">
        <v>134</v>
      </c>
      <c r="G42">
        <f>(6.2/43560)*2000</f>
        <v>0.2846648301193756</v>
      </c>
      <c r="I42">
        <f>E42*G42</f>
        <v>5.1595500459136828E-2</v>
      </c>
    </row>
    <row r="43" spans="1:9" x14ac:dyDescent="0.35">
      <c r="B43" t="s">
        <v>136</v>
      </c>
      <c r="C43" t="s">
        <v>137</v>
      </c>
      <c r="D43">
        <f>24/2.5</f>
        <v>9.6</v>
      </c>
      <c r="E43">
        <f>D43/128</f>
        <v>7.4999999999999997E-2</v>
      </c>
      <c r="F43" t="s">
        <v>138</v>
      </c>
      <c r="G43">
        <f>(5/43560)*2000</f>
        <v>0.2295684113865932</v>
      </c>
      <c r="I43">
        <f>E43*G43</f>
        <v>1.7217630853994491E-2</v>
      </c>
    </row>
    <row r="44" spans="1:9" x14ac:dyDescent="0.35">
      <c r="E44">
        <f>AVERAGE(E42,E43)</f>
        <v>0.12812499999999999</v>
      </c>
      <c r="I44">
        <f>I42+I43</f>
        <v>6.8813131313131326E-2</v>
      </c>
    </row>
    <row r="45" spans="1:9" x14ac:dyDescent="0.35">
      <c r="B45" t="s">
        <v>139</v>
      </c>
    </row>
    <row r="46" spans="1:9" x14ac:dyDescent="0.35">
      <c r="B46" t="s">
        <v>140</v>
      </c>
    </row>
    <row r="47" spans="1:9" x14ac:dyDescent="0.35">
      <c r="B47" t="s">
        <v>141</v>
      </c>
      <c r="G47">
        <f>I44*6</f>
        <v>0.41287878787878796</v>
      </c>
      <c r="I47">
        <f>G47/E44</f>
        <v>3.2224685883222479</v>
      </c>
    </row>
    <row r="49" spans="1:12" x14ac:dyDescent="0.35">
      <c r="D49" t="s">
        <v>181</v>
      </c>
      <c r="E49" t="s">
        <v>142</v>
      </c>
    </row>
    <row r="50" spans="1:12" x14ac:dyDescent="0.35">
      <c r="A50" t="s">
        <v>180</v>
      </c>
      <c r="B50" t="s">
        <v>182</v>
      </c>
      <c r="D50">
        <v>114</v>
      </c>
      <c r="E50">
        <f>D50/16</f>
        <v>7.125</v>
      </c>
    </row>
    <row r="51" spans="1:12" x14ac:dyDescent="0.35">
      <c r="D51" t="s">
        <v>131</v>
      </c>
    </row>
    <row r="52" spans="1:12" x14ac:dyDescent="0.35">
      <c r="B52" t="s">
        <v>183</v>
      </c>
      <c r="D52">
        <v>99.98</v>
      </c>
      <c r="E52">
        <f>D52/128</f>
        <v>0.78109375000000003</v>
      </c>
    </row>
    <row r="53" spans="1:12" x14ac:dyDescent="0.35">
      <c r="E53">
        <f>AVERAGE(E50,E52)</f>
        <v>3.9530468750000001</v>
      </c>
    </row>
    <row r="56" spans="1:12" x14ac:dyDescent="0.35">
      <c r="A56" t="s">
        <v>174</v>
      </c>
    </row>
    <row r="57" spans="1:12" x14ac:dyDescent="0.35">
      <c r="A57" t="s">
        <v>148</v>
      </c>
      <c r="B57" t="s">
        <v>149</v>
      </c>
      <c r="C57" t="s">
        <v>150</v>
      </c>
      <c r="D57" t="s">
        <v>151</v>
      </c>
      <c r="E57" t="s">
        <v>152</v>
      </c>
      <c r="F57" t="s">
        <v>153</v>
      </c>
      <c r="G57" t="s">
        <v>154</v>
      </c>
      <c r="H57" t="s">
        <v>155</v>
      </c>
      <c r="I57" t="s">
        <v>156</v>
      </c>
      <c r="J57" t="s">
        <v>157</v>
      </c>
      <c r="K57" t="s">
        <v>158</v>
      </c>
      <c r="L57" t="s">
        <v>159</v>
      </c>
    </row>
    <row r="58" spans="1:12" x14ac:dyDescent="0.35">
      <c r="A58" t="s">
        <v>160</v>
      </c>
      <c r="B58" t="s">
        <v>161</v>
      </c>
      <c r="C58" t="s">
        <v>162</v>
      </c>
      <c r="D58" t="s">
        <v>163</v>
      </c>
      <c r="E58" t="s">
        <v>164</v>
      </c>
      <c r="F58" t="s">
        <v>165</v>
      </c>
      <c r="H58">
        <v>3.04</v>
      </c>
      <c r="I58">
        <v>2.79</v>
      </c>
      <c r="J58">
        <v>3.29</v>
      </c>
      <c r="K58">
        <v>28</v>
      </c>
      <c r="L58" s="96">
        <v>45122</v>
      </c>
    </row>
    <row r="59" spans="1:12" x14ac:dyDescent="0.35">
      <c r="A59" t="s">
        <v>160</v>
      </c>
      <c r="B59" t="s">
        <v>166</v>
      </c>
      <c r="C59" t="s">
        <v>162</v>
      </c>
      <c r="D59" t="s">
        <v>163</v>
      </c>
      <c r="E59" t="s">
        <v>164</v>
      </c>
      <c r="F59" t="s">
        <v>165</v>
      </c>
      <c r="H59">
        <v>3</v>
      </c>
      <c r="I59">
        <v>2.5</v>
      </c>
      <c r="J59">
        <v>3.5</v>
      </c>
      <c r="K59">
        <v>33</v>
      </c>
      <c r="L59" s="96">
        <v>45157</v>
      </c>
    </row>
    <row r="60" spans="1:12" x14ac:dyDescent="0.35">
      <c r="A60" t="s">
        <v>160</v>
      </c>
      <c r="B60" t="s">
        <v>167</v>
      </c>
      <c r="C60" t="s">
        <v>162</v>
      </c>
      <c r="D60" t="s">
        <v>163</v>
      </c>
      <c r="E60" t="s">
        <v>164</v>
      </c>
      <c r="F60" t="s">
        <v>165</v>
      </c>
      <c r="H60">
        <v>2.15</v>
      </c>
      <c r="I60">
        <v>2.0499999999999998</v>
      </c>
      <c r="J60">
        <v>2.25</v>
      </c>
      <c r="K60">
        <v>29</v>
      </c>
      <c r="L60" s="96">
        <v>45129</v>
      </c>
    </row>
    <row r="61" spans="1:12" x14ac:dyDescent="0.35">
      <c r="A61" t="s">
        <v>160</v>
      </c>
      <c r="B61" t="s">
        <v>168</v>
      </c>
      <c r="C61" t="s">
        <v>162</v>
      </c>
      <c r="D61" t="s">
        <v>163</v>
      </c>
      <c r="E61" t="s">
        <v>164</v>
      </c>
      <c r="F61" t="s">
        <v>165</v>
      </c>
      <c r="H61">
        <v>3.8</v>
      </c>
      <c r="I61">
        <v>3.32</v>
      </c>
      <c r="J61">
        <v>4.2699999999999996</v>
      </c>
      <c r="K61">
        <v>30</v>
      </c>
      <c r="L61" s="96">
        <v>45132</v>
      </c>
    </row>
    <row r="62" spans="1:12" x14ac:dyDescent="0.35">
      <c r="A62" t="s">
        <v>160</v>
      </c>
      <c r="B62" t="s">
        <v>169</v>
      </c>
      <c r="C62" t="s">
        <v>162</v>
      </c>
      <c r="D62" t="s">
        <v>163</v>
      </c>
      <c r="E62" t="s">
        <v>164</v>
      </c>
      <c r="F62" t="s">
        <v>165</v>
      </c>
      <c r="H62">
        <v>3.31</v>
      </c>
      <c r="I62">
        <v>3.19</v>
      </c>
      <c r="J62">
        <v>3.44</v>
      </c>
      <c r="K62">
        <v>28</v>
      </c>
      <c r="L62" s="96">
        <v>45120</v>
      </c>
    </row>
    <row r="63" spans="1:12" x14ac:dyDescent="0.35">
      <c r="A63" t="s">
        <v>160</v>
      </c>
      <c r="B63" t="s">
        <v>170</v>
      </c>
      <c r="C63" t="s">
        <v>162</v>
      </c>
      <c r="D63" t="s">
        <v>163</v>
      </c>
      <c r="E63" t="s">
        <v>164</v>
      </c>
      <c r="F63" t="s">
        <v>165</v>
      </c>
      <c r="H63">
        <v>2</v>
      </c>
      <c r="I63">
        <v>2</v>
      </c>
      <c r="J63">
        <v>2</v>
      </c>
      <c r="K63">
        <v>31</v>
      </c>
      <c r="L63" s="96">
        <v>45139</v>
      </c>
    </row>
    <row r="64" spans="1:12" x14ac:dyDescent="0.35">
      <c r="A64" t="s">
        <v>160</v>
      </c>
      <c r="B64" t="s">
        <v>171</v>
      </c>
      <c r="C64" t="s">
        <v>162</v>
      </c>
      <c r="D64" t="s">
        <v>163</v>
      </c>
      <c r="E64" t="s">
        <v>164</v>
      </c>
      <c r="F64" t="s">
        <v>165</v>
      </c>
      <c r="H64">
        <v>2.52</v>
      </c>
      <c r="I64">
        <v>2.38</v>
      </c>
      <c r="J64">
        <v>2.67</v>
      </c>
      <c r="K64">
        <v>22</v>
      </c>
      <c r="L64" s="96">
        <v>45078</v>
      </c>
    </row>
    <row r="65" spans="1:12" x14ac:dyDescent="0.35">
      <c r="A65" t="s">
        <v>160</v>
      </c>
      <c r="B65" t="s">
        <v>172</v>
      </c>
      <c r="C65" t="s">
        <v>162</v>
      </c>
      <c r="D65" t="s">
        <v>163</v>
      </c>
      <c r="E65" t="s">
        <v>164</v>
      </c>
      <c r="F65" t="s">
        <v>165</v>
      </c>
      <c r="H65">
        <v>2.5</v>
      </c>
      <c r="I65">
        <v>2</v>
      </c>
      <c r="J65">
        <v>3</v>
      </c>
      <c r="K65">
        <v>27</v>
      </c>
      <c r="L65" s="96">
        <v>45115</v>
      </c>
    </row>
    <row r="66" spans="1:12" x14ac:dyDescent="0.35">
      <c r="A66" t="s">
        <v>160</v>
      </c>
      <c r="B66" t="s">
        <v>173</v>
      </c>
      <c r="C66" t="s">
        <v>162</v>
      </c>
      <c r="D66" t="s">
        <v>163</v>
      </c>
      <c r="E66" t="s">
        <v>164</v>
      </c>
      <c r="F66" t="s">
        <v>165</v>
      </c>
      <c r="H66">
        <v>2.96</v>
      </c>
      <c r="I66">
        <v>2.68</v>
      </c>
      <c r="J66">
        <v>3.25</v>
      </c>
      <c r="K66">
        <v>25</v>
      </c>
      <c r="L66" s="96">
        <v>45101</v>
      </c>
    </row>
    <row r="68" spans="1:12" x14ac:dyDescent="0.35">
      <c r="B68" t="s">
        <v>176</v>
      </c>
      <c r="C68" t="s">
        <v>177</v>
      </c>
    </row>
  </sheetData>
  <hyperlinks>
    <hyperlink ref="C5" r:id="rId1" xr:uid="{41E74186-DB8B-4FE8-AE15-14958A64028A}"/>
    <hyperlink ref="C6" r:id="rId2" xr:uid="{14004DF8-60E6-4079-9193-AD2AFD27F830}"/>
    <hyperlink ref="C13" r:id="rId3" xr:uid="{2580D6C7-FA26-4A4A-BC73-E70294778B36}"/>
    <hyperlink ref="C8" r:id="rId4" xr:uid="{276F1934-1EAD-408C-9338-16640269F8BF}"/>
    <hyperlink ref="C3" r:id="rId5" xr:uid="{405C0C40-E61E-4DF5-855F-2749AC33E498}"/>
    <hyperlink ref="C15" r:id="rId6" xr:uid="{DBC2D91A-2E72-4C72-B30F-A6724A70A3A4}"/>
    <hyperlink ref="C16" r:id="rId7" xr:uid="{A2A6D5C1-798F-421E-83F0-C14F5FE08557}"/>
    <hyperlink ref="C26" r:id="rId8" xr:uid="{5D3D2AB2-C97C-4F15-877D-58500971F6D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272BA2EC307A4F840456AFB3F4BF30" ma:contentTypeVersion="14" ma:contentTypeDescription="Create a new document." ma:contentTypeScope="" ma:versionID="971d982661a3229b4f5b06bad9bd83ce">
  <xsd:schema xmlns:xsd="http://www.w3.org/2001/XMLSchema" xmlns:xs="http://www.w3.org/2001/XMLSchema" xmlns:p="http://schemas.microsoft.com/office/2006/metadata/properties" xmlns:ns2="afeaba0f-363c-487a-9eab-504fb0ae0068" xmlns:ns3="3cf54786-5cbe-4eed-9d82-be7bae57988e" targetNamespace="http://schemas.microsoft.com/office/2006/metadata/properties" ma:root="true" ma:fieldsID="76061db5591fa8807d06033b64eab8eb" ns2:_="" ns3:_="">
    <xsd:import namespace="afeaba0f-363c-487a-9eab-504fb0ae0068"/>
    <xsd:import namespace="3cf54786-5cbe-4eed-9d82-be7bae57988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eaba0f-363c-487a-9eab-504fb0ae00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e20e570-3a27-4eff-9ea0-d3488a33fb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f54786-5cbe-4eed-9d82-be7bae57988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560828-92f4-433d-b2dd-f0bd0e5db71c}" ma:internalName="TaxCatchAll" ma:showField="CatchAllData" ma:web="3cf54786-5cbe-4eed-9d82-be7bae5798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feaba0f-363c-487a-9eab-504fb0ae0068">
      <Terms xmlns="http://schemas.microsoft.com/office/infopath/2007/PartnerControls"/>
    </lcf76f155ced4ddcb4097134ff3c332f>
    <TaxCatchAll xmlns="3cf54786-5cbe-4eed-9d82-be7bae57988e" xsi:nil="true"/>
  </documentManagement>
</p:properties>
</file>

<file path=customXml/itemProps1.xml><?xml version="1.0" encoding="utf-8"?>
<ds:datastoreItem xmlns:ds="http://schemas.openxmlformats.org/officeDocument/2006/customXml" ds:itemID="{02822ED5-4670-4A9F-816A-C232636AA1D3}"/>
</file>

<file path=customXml/itemProps2.xml><?xml version="1.0" encoding="utf-8"?>
<ds:datastoreItem xmlns:ds="http://schemas.openxmlformats.org/officeDocument/2006/customXml" ds:itemID="{2D05CFDE-5B73-4C1A-8F6C-169C976A9FCC}"/>
</file>

<file path=customXml/itemProps3.xml><?xml version="1.0" encoding="utf-8"?>
<ds:datastoreItem xmlns:ds="http://schemas.openxmlformats.org/officeDocument/2006/customXml" ds:itemID="{67BB1A3E-068D-421D-A048-9BDA50EE6B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Budget</vt:lpstr>
      <vt:lpstr>Data sources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Washburn, TaylorAnn</cp:lastModifiedBy>
  <dcterms:created xsi:type="dcterms:W3CDTF">2021-01-29T03:55:43Z</dcterms:created>
  <dcterms:modified xsi:type="dcterms:W3CDTF">2024-06-27T13:20:20Z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0x010100CE272BA2EC307A4F840456AFB3F4BF30</vt:lpwstr>
  </property>
</Properties>
</file>