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mc:AlternateContent xmlns:mc="http://schemas.openxmlformats.org/markup-compatibility/2006">
    <mc:Choice Requires="x15">
      <x15ac:absPath xmlns:x15ac="http://schemas.microsoft.com/office/spreadsheetml/2010/11/ac" url="https://mailmissouri.sharepoint.com/sites/MissouriAgFoodandForestryInnovationCenterTeam-Ogrp/Shared Documents/FSA Urban and Innovative Ag/Specialty Crop Budgets and Resources/Budget Spreadsheets Updated with Grant Acknowledgement/"/>
    </mc:Choice>
  </mc:AlternateContent>
  <xr:revisionPtr revIDLastSave="9" documentId="8_{B8953F63-ED5B-4FFC-BE65-28E6DF305F5B}" xr6:coauthVersionLast="47" xr6:coauthVersionMax="47" xr10:uidLastSave="{E701CEA8-80DC-4D31-BC18-2CB7D0E4AAB9}"/>
  <bookViews>
    <workbookView xWindow="28680" yWindow="-120" windowWidth="57840" windowHeight="23520" tabRatio="634" xr2:uid="{00000000-000D-0000-FFFF-FFFF00000000}"/>
  </bookViews>
  <sheets>
    <sheet name="Introduction" sheetId="7" r:id="rId1"/>
    <sheet name="Operating Inputs" sheetId="11" r:id="rId2"/>
    <sheet name="Capital Inputs" sheetId="14" r:id="rId3"/>
    <sheet name="RAS Talapia" sheetId="8" r:id="rId4"/>
    <sheet name="RAS Bass" sheetId="18" r:id="rId5"/>
    <sheet name="RAS Catfish" sheetId="19" r:id="rId6"/>
    <sheet name="RAS Shrimp" sheetId="17" r:id="rId7"/>
    <sheet name="Catfish Utilities" sheetId="22" state="hidden" r:id="rId8"/>
    <sheet name="Tilapia Utilities" sheetId="20" state="hidden" r:id="rId9"/>
    <sheet name="LMB Utilities" sheetId="21" state="hidden" r:id="rId10"/>
    <sheet name="Shrimp Utilities" sheetId="23" state="hidden" r:id="rId11"/>
  </sheets>
  <externalReferences>
    <externalReference r:id="rId12"/>
  </externalReferences>
  <definedNames>
    <definedName name="BudgetActivities">#REF!</definedName>
    <definedName name="CustomActivities">'[1]Activity list'!$W$4:$AA$14</definedName>
    <definedName name="CustomImps">[1]!Table4[Implement]</definedName>
    <definedName name="solver_eng" localSheetId="7" hidden="1">1</definedName>
    <definedName name="solver_eng" localSheetId="9" hidden="1">1</definedName>
    <definedName name="solver_eng" localSheetId="10" hidden="1">1</definedName>
    <definedName name="solver_eng" localSheetId="8" hidden="1">1</definedName>
    <definedName name="solver_neg" localSheetId="7" hidden="1">1</definedName>
    <definedName name="solver_neg" localSheetId="9" hidden="1">1</definedName>
    <definedName name="solver_neg" localSheetId="10" hidden="1">1</definedName>
    <definedName name="solver_neg" localSheetId="8" hidden="1">1</definedName>
    <definedName name="solver_num" localSheetId="7" hidden="1">0</definedName>
    <definedName name="solver_num" localSheetId="9" hidden="1">0</definedName>
    <definedName name="solver_num" localSheetId="10" hidden="1">0</definedName>
    <definedName name="solver_num" localSheetId="8" hidden="1">0</definedName>
    <definedName name="solver_opt" localSheetId="7" hidden="1">'Catfish Utilities'!$N$9</definedName>
    <definedName name="solver_opt" localSheetId="9" hidden="1">'LMB Utilities'!$N$9</definedName>
    <definedName name="solver_opt" localSheetId="10" hidden="1">'Shrimp Utilities'!$N$9</definedName>
    <definedName name="solver_opt" localSheetId="8" hidden="1">'Tilapia Utilities'!$N$9</definedName>
    <definedName name="solver_typ" localSheetId="7" hidden="1">1</definedName>
    <definedName name="solver_typ" localSheetId="9" hidden="1">1</definedName>
    <definedName name="solver_typ" localSheetId="10" hidden="1">1</definedName>
    <definedName name="solver_typ" localSheetId="8" hidden="1">1</definedName>
    <definedName name="solver_val" localSheetId="7" hidden="1">0</definedName>
    <definedName name="solver_val" localSheetId="9" hidden="1">0</definedName>
    <definedName name="solver_val" localSheetId="10" hidden="1">0</definedName>
    <definedName name="solver_val" localSheetId="8" hidden="1">0</definedName>
    <definedName name="solver_ver" localSheetId="7" hidden="1">3</definedName>
    <definedName name="solver_ver" localSheetId="9" hidden="1">3</definedName>
    <definedName name="solver_ver" localSheetId="10" hidden="1">3</definedName>
    <definedName name="solver_ver" localSheetId="8" hidden="1">3</definedName>
    <definedName name="ss">#REF!</definedName>
    <definedName name="ww">[1]!Table4[Implement]</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7" l="1"/>
  <c r="F25" i="19"/>
  <c r="F25" i="18"/>
  <c r="F25" i="8"/>
  <c r="C5" i="23" l="1"/>
  <c r="F11" i="8"/>
  <c r="C5" i="22"/>
  <c r="C5" i="21"/>
  <c r="C5" i="20"/>
  <c r="M24" i="23"/>
  <c r="L24" i="23"/>
  <c r="B22" i="23"/>
  <c r="Q21" i="23"/>
  <c r="P21" i="23"/>
  <c r="O21" i="23"/>
  <c r="N21" i="23"/>
  <c r="M21" i="23"/>
  <c r="L21" i="23"/>
  <c r="K21" i="23"/>
  <c r="J21" i="23"/>
  <c r="I21" i="23"/>
  <c r="H21" i="23"/>
  <c r="G21" i="23"/>
  <c r="F21" i="23"/>
  <c r="C12" i="23"/>
  <c r="F9" i="23" s="1"/>
  <c r="F11" i="23"/>
  <c r="K9" i="23"/>
  <c r="K7" i="23"/>
  <c r="K6" i="23"/>
  <c r="C6" i="23"/>
  <c r="K4" i="23"/>
  <c r="G11" i="23" s="1"/>
  <c r="C4" i="23"/>
  <c r="K3" i="23"/>
  <c r="M24" i="22"/>
  <c r="L24" i="22"/>
  <c r="B22" i="22"/>
  <c r="Q21" i="22"/>
  <c r="P21" i="22"/>
  <c r="O21" i="22"/>
  <c r="N21" i="22"/>
  <c r="M21" i="22"/>
  <c r="L21" i="22"/>
  <c r="K21" i="22"/>
  <c r="J21" i="22"/>
  <c r="I21" i="22"/>
  <c r="H21" i="22"/>
  <c r="G21" i="22"/>
  <c r="F21" i="22"/>
  <c r="C12" i="22"/>
  <c r="F9" i="22" s="1"/>
  <c r="F11" i="22"/>
  <c r="K9" i="22"/>
  <c r="K7" i="22"/>
  <c r="K6" i="22"/>
  <c r="C6" i="22"/>
  <c r="K4" i="22"/>
  <c r="G11" i="22" s="1"/>
  <c r="C4" i="22"/>
  <c r="K3" i="22"/>
  <c r="M24" i="21"/>
  <c r="L24" i="21"/>
  <c r="B22" i="21"/>
  <c r="Q21" i="21"/>
  <c r="P21" i="21"/>
  <c r="O21" i="21"/>
  <c r="N21" i="21"/>
  <c r="M21" i="21"/>
  <c r="L21" i="21"/>
  <c r="K21" i="21"/>
  <c r="J21" i="21"/>
  <c r="I21" i="21"/>
  <c r="H21" i="21"/>
  <c r="G21" i="21"/>
  <c r="F21" i="21"/>
  <c r="C12" i="21"/>
  <c r="F9" i="21" s="1"/>
  <c r="F11" i="21"/>
  <c r="K9" i="21"/>
  <c r="K7" i="21"/>
  <c r="K6" i="21"/>
  <c r="C6" i="21"/>
  <c r="K4" i="21"/>
  <c r="G11" i="21" s="1"/>
  <c r="C4" i="21"/>
  <c r="K3" i="21"/>
  <c r="F11" i="17"/>
  <c r="F11" i="19"/>
  <c r="F11" i="18"/>
  <c r="F24" i="17" l="1"/>
  <c r="C4" i="20" l="1"/>
  <c r="F10" i="14"/>
  <c r="F11" i="14"/>
  <c r="F12" i="14"/>
  <c r="F13" i="14"/>
  <c r="F14" i="14"/>
  <c r="F15" i="14"/>
  <c r="L24" i="20"/>
  <c r="M24" i="20"/>
  <c r="L16" i="8"/>
  <c r="F16" i="17"/>
  <c r="F16" i="19"/>
  <c r="F16" i="18"/>
  <c r="F16" i="8"/>
  <c r="F23" i="17"/>
  <c r="F22" i="17"/>
  <c r="F23" i="19"/>
  <c r="F24" i="19"/>
  <c r="F22" i="19"/>
  <c r="F23" i="18"/>
  <c r="F24" i="18"/>
  <c r="F22" i="18"/>
  <c r="F23" i="8"/>
  <c r="F24" i="8"/>
  <c r="F22" i="8"/>
  <c r="I10" i="14" l="1"/>
  <c r="I11" i="14"/>
  <c r="I12" i="14"/>
  <c r="I13" i="14"/>
  <c r="I14" i="14"/>
  <c r="I15" i="14"/>
  <c r="E4" i="17" l="1"/>
  <c r="E5" i="17" l="1"/>
  <c r="E5" i="19"/>
  <c r="E5" i="18"/>
  <c r="E5" i="8"/>
  <c r="E9" i="18"/>
  <c r="E25" i="17"/>
  <c r="E18" i="17"/>
  <c r="F13" i="17"/>
  <c r="E10" i="17"/>
  <c r="E9" i="17"/>
  <c r="E25" i="19"/>
  <c r="E18" i="19"/>
  <c r="E10" i="19"/>
  <c r="E9" i="19"/>
  <c r="F13" i="19"/>
  <c r="E25" i="8"/>
  <c r="E25" i="18"/>
  <c r="E18" i="8"/>
  <c r="E18" i="18"/>
  <c r="E10" i="18"/>
  <c r="L16" i="17"/>
  <c r="L16" i="19"/>
  <c r="L16" i="18"/>
  <c r="E4" i="19" l="1"/>
  <c r="E4" i="18"/>
  <c r="F13" i="18"/>
  <c r="F13" i="8"/>
  <c r="E10" i="8"/>
  <c r="E9" i="8"/>
  <c r="E4" i="8"/>
  <c r="F21" i="20"/>
  <c r="G21" i="20"/>
  <c r="H21" i="20"/>
  <c r="I21" i="20"/>
  <c r="J21" i="20"/>
  <c r="K21" i="20"/>
  <c r="L21" i="20"/>
  <c r="M21" i="20"/>
  <c r="N21" i="20"/>
  <c r="O21" i="20"/>
  <c r="P21" i="20"/>
  <c r="Q21" i="20"/>
  <c r="B22" i="20"/>
  <c r="C12" i="20" l="1"/>
  <c r="K9" i="20"/>
  <c r="K7" i="20"/>
  <c r="K6" i="20"/>
  <c r="K4" i="20"/>
  <c r="K3" i="20"/>
  <c r="C6" i="20"/>
  <c r="L4" i="14"/>
  <c r="D7" i="14" s="1"/>
  <c r="L5" i="14"/>
  <c r="F11" i="20"/>
  <c r="G4" i="19"/>
  <c r="G4" i="17"/>
  <c r="G11" i="20" l="1"/>
  <c r="D5" i="14"/>
  <c r="D6" i="14"/>
  <c r="F9" i="20"/>
  <c r="G4" i="18"/>
  <c r="C3" i="20" l="1"/>
  <c r="B19" i="20" s="1"/>
  <c r="B20" i="20" s="1"/>
  <c r="H24" i="20" s="1"/>
  <c r="C3" i="22"/>
  <c r="C3" i="21"/>
  <c r="C3" i="23"/>
  <c r="I24" i="20"/>
  <c r="G4" i="8"/>
  <c r="Q24" i="20" l="1"/>
  <c r="F24" i="20"/>
  <c r="O24" i="20"/>
  <c r="N24" i="20"/>
  <c r="P24" i="20"/>
  <c r="G24" i="20"/>
  <c r="K24" i="20"/>
  <c r="B21" i="20"/>
  <c r="G10" i="20" s="1"/>
  <c r="G9" i="20"/>
  <c r="J24" i="20"/>
  <c r="G9" i="23"/>
  <c r="B19" i="23"/>
  <c r="B20" i="23" s="1"/>
  <c r="B19" i="21"/>
  <c r="B20" i="21" s="1"/>
  <c r="G9" i="21"/>
  <c r="B19" i="22"/>
  <c r="B20" i="22" s="1"/>
  <c r="G9" i="22"/>
  <c r="F10" i="20" l="1"/>
  <c r="B23" i="20"/>
  <c r="B24" i="20" s="1"/>
  <c r="F4" i="20"/>
  <c r="G4" i="20" s="1"/>
  <c r="F5" i="20"/>
  <c r="G5" i="20" s="1"/>
  <c r="F3" i="20"/>
  <c r="G3" i="20" s="1"/>
  <c r="B21" i="22"/>
  <c r="K24" i="22"/>
  <c r="O24" i="22"/>
  <c r="G24" i="22"/>
  <c r="Q24" i="22"/>
  <c r="I24" i="22"/>
  <c r="H24" i="22"/>
  <c r="J24" i="22"/>
  <c r="P24" i="22"/>
  <c r="N24" i="22"/>
  <c r="F24" i="22"/>
  <c r="Q24" i="23"/>
  <c r="I24" i="23"/>
  <c r="P24" i="23"/>
  <c r="F24" i="23"/>
  <c r="H24" i="23"/>
  <c r="G24" i="23"/>
  <c r="B21" i="23"/>
  <c r="J24" i="23"/>
  <c r="K24" i="23"/>
  <c r="N24" i="23"/>
  <c r="O24" i="23"/>
  <c r="Q24" i="21"/>
  <c r="G24" i="21"/>
  <c r="O24" i="21"/>
  <c r="P24" i="21"/>
  <c r="F24" i="21"/>
  <c r="K24" i="21"/>
  <c r="B21" i="21"/>
  <c r="H24" i="21"/>
  <c r="I24" i="21"/>
  <c r="J24" i="21"/>
  <c r="N24" i="21"/>
  <c r="F34" i="14"/>
  <c r="I34" i="14" s="1"/>
  <c r="F33" i="14"/>
  <c r="I33" i="14" s="1"/>
  <c r="F32" i="14"/>
  <c r="I32" i="14" s="1"/>
  <c r="F31" i="14"/>
  <c r="I31" i="14" s="1"/>
  <c r="F30" i="14"/>
  <c r="I30" i="14" s="1"/>
  <c r="F29" i="14"/>
  <c r="I29" i="14" s="1"/>
  <c r="F28" i="14"/>
  <c r="I28" i="14" s="1"/>
  <c r="F27" i="14"/>
  <c r="I27" i="14" s="1"/>
  <c r="F26" i="14"/>
  <c r="I26" i="14" s="1"/>
  <c r="F25" i="14"/>
  <c r="I25" i="14" s="1"/>
  <c r="F24" i="14"/>
  <c r="I24" i="14" s="1"/>
  <c r="F23" i="14"/>
  <c r="I23" i="14" s="1"/>
  <c r="F22" i="14"/>
  <c r="I22" i="14" s="1"/>
  <c r="F21" i="14"/>
  <c r="I21" i="14" s="1"/>
  <c r="F20" i="14"/>
  <c r="I20" i="14" s="1"/>
  <c r="F19" i="14"/>
  <c r="I19" i="14" s="1"/>
  <c r="F18" i="14"/>
  <c r="I18" i="14" s="1"/>
  <c r="F17" i="14"/>
  <c r="I17" i="14" s="1"/>
  <c r="F8" i="14"/>
  <c r="I8" i="14" s="1"/>
  <c r="F4" i="14"/>
  <c r="L6" i="14"/>
  <c r="F6" i="14"/>
  <c r="F7" i="14"/>
  <c r="F5" i="14"/>
  <c r="I7" i="14" l="1"/>
  <c r="I5" i="14"/>
  <c r="I6" i="14"/>
  <c r="F10" i="23"/>
  <c r="G10" i="23"/>
  <c r="F3" i="22"/>
  <c r="G3" i="22" s="1"/>
  <c r="F4" i="22"/>
  <c r="G4" i="22" s="1"/>
  <c r="B23" i="22"/>
  <c r="B24" i="22" s="1"/>
  <c r="F5" i="22"/>
  <c r="G5" i="22" s="1"/>
  <c r="F4" i="21"/>
  <c r="G4" i="21" s="1"/>
  <c r="F5" i="21"/>
  <c r="G5" i="21" s="1"/>
  <c r="F3" i="21"/>
  <c r="G3" i="21" s="1"/>
  <c r="B23" i="21"/>
  <c r="B24" i="21" s="1"/>
  <c r="B23" i="23"/>
  <c r="B24" i="23" s="1"/>
  <c r="F4" i="23"/>
  <c r="G4" i="23" s="1"/>
  <c r="F3" i="23"/>
  <c r="G3" i="23" s="1"/>
  <c r="F5" i="23"/>
  <c r="G5" i="23" s="1"/>
  <c r="G10" i="21"/>
  <c r="F10" i="21"/>
  <c r="F10" i="22"/>
  <c r="G10" i="22"/>
  <c r="L8" i="14"/>
  <c r="L9" i="14" s="1"/>
  <c r="L10" i="14" s="1"/>
  <c r="B26" i="20" l="1"/>
  <c r="B25" i="20" s="1"/>
  <c r="F8" i="20" s="1"/>
  <c r="B26" i="21"/>
  <c r="B25" i="21" s="1"/>
  <c r="B26" i="23"/>
  <c r="B25" i="23" s="1"/>
  <c r="B26" i="22"/>
  <c r="B25" i="22" s="1"/>
  <c r="D9" i="14"/>
  <c r="F9" i="14" s="1"/>
  <c r="G8" i="20" l="1"/>
  <c r="G8" i="22"/>
  <c r="G17" i="22" s="1"/>
  <c r="F8" i="22"/>
  <c r="G8" i="21"/>
  <c r="G17" i="21" s="1"/>
  <c r="F8" i="21"/>
  <c r="F8" i="23"/>
  <c r="G8" i="23"/>
  <c r="G17" i="23" s="1"/>
  <c r="D4" i="17"/>
  <c r="N3" i="23" s="1"/>
  <c r="O3" i="23" s="1"/>
  <c r="L11" i="14"/>
  <c r="I9" i="14"/>
  <c r="I35" i="14" s="1"/>
  <c r="F35" i="14"/>
  <c r="D4" i="19"/>
  <c r="N3" i="22" s="1"/>
  <c r="O3" i="22" s="1"/>
  <c r="D4" i="18"/>
  <c r="N3" i="21" s="1"/>
  <c r="O3" i="21" s="1"/>
  <c r="D4" i="8"/>
  <c r="F12" i="18" l="1"/>
  <c r="F12" i="17"/>
  <c r="F12" i="19"/>
  <c r="D5" i="8"/>
  <c r="N3" i="20"/>
  <c r="O3" i="20" s="1"/>
  <c r="D5" i="17"/>
  <c r="F5" i="17" s="1"/>
  <c r="G5" i="17" s="1"/>
  <c r="G6" i="17" s="1"/>
  <c r="D5" i="18"/>
  <c r="F5" i="18" s="1"/>
  <c r="G5" i="18" s="1"/>
  <c r="G6" i="18" s="1"/>
  <c r="D5" i="19"/>
  <c r="F5" i="19" s="1"/>
  <c r="G5" i="19" s="1"/>
  <c r="G6" i="19" s="1"/>
  <c r="G17" i="20"/>
  <c r="D10" i="17"/>
  <c r="F10" i="17" s="1"/>
  <c r="G25" i="18"/>
  <c r="G25" i="19"/>
  <c r="G25" i="8"/>
  <c r="G25" i="17"/>
  <c r="G11" i="17"/>
  <c r="G11" i="18"/>
  <c r="G11" i="19"/>
  <c r="F14" i="17"/>
  <c r="F26" i="19"/>
  <c r="G26" i="19" s="1"/>
  <c r="F26" i="17"/>
  <c r="G26" i="17" s="1"/>
  <c r="F26" i="18"/>
  <c r="G26" i="18" s="1"/>
  <c r="F26" i="8"/>
  <c r="G26" i="8" s="1"/>
  <c r="G11" i="8"/>
  <c r="D9" i="17"/>
  <c r="D9" i="8"/>
  <c r="D10" i="8"/>
  <c r="D10" i="18"/>
  <c r="D9" i="18"/>
  <c r="D9" i="19"/>
  <c r="D10" i="19"/>
  <c r="G23" i="18"/>
  <c r="G22" i="18"/>
  <c r="G24" i="18"/>
  <c r="G17" i="18"/>
  <c r="F4" i="18"/>
  <c r="G13" i="18"/>
  <c r="G16" i="18"/>
  <c r="G24" i="8"/>
  <c r="G23" i="8"/>
  <c r="G22" i="8"/>
  <c r="F5" i="8"/>
  <c r="G5" i="8" s="1"/>
  <c r="G6" i="8" s="1"/>
  <c r="G24" i="19"/>
  <c r="G13" i="19"/>
  <c r="G22" i="19"/>
  <c r="G17" i="19"/>
  <c r="F4" i="19"/>
  <c r="G23" i="19"/>
  <c r="G16" i="19"/>
  <c r="G24" i="17"/>
  <c r="G23" i="17"/>
  <c r="G22" i="17"/>
  <c r="G17" i="17"/>
  <c r="F4" i="17"/>
  <c r="F15" i="17" s="1"/>
  <c r="G13" i="17"/>
  <c r="G16" i="17"/>
  <c r="F12" i="8" l="1"/>
  <c r="F15" i="18"/>
  <c r="G15" i="18" s="1"/>
  <c r="H11" i="18"/>
  <c r="F15" i="19"/>
  <c r="G15" i="19" s="1"/>
  <c r="H11" i="19"/>
  <c r="H11" i="17"/>
  <c r="F27" i="18"/>
  <c r="G27" i="18" s="1"/>
  <c r="F27" i="17"/>
  <c r="G27" i="17" s="1"/>
  <c r="G14" i="17"/>
  <c r="F14" i="19"/>
  <c r="G14" i="19" s="1"/>
  <c r="F27" i="19"/>
  <c r="F14" i="8"/>
  <c r="F14" i="18"/>
  <c r="G14" i="18" s="1"/>
  <c r="F10" i="18"/>
  <c r="H10" i="18" s="1"/>
  <c r="F9" i="17"/>
  <c r="H5" i="17"/>
  <c r="H5" i="18"/>
  <c r="H15" i="17"/>
  <c r="G15" i="17"/>
  <c r="H17" i="17"/>
  <c r="H4" i="17"/>
  <c r="G37" i="17"/>
  <c r="I34" i="17"/>
  <c r="H16" i="17"/>
  <c r="H13" i="17"/>
  <c r="H23" i="17"/>
  <c r="H24" i="17"/>
  <c r="F6" i="17"/>
  <c r="H22" i="17"/>
  <c r="H25" i="17"/>
  <c r="H26" i="17"/>
  <c r="F9" i="18"/>
  <c r="H5" i="19"/>
  <c r="H25" i="19"/>
  <c r="H17" i="19"/>
  <c r="H13" i="19"/>
  <c r="H24" i="19"/>
  <c r="H23" i="19"/>
  <c r="H22" i="19"/>
  <c r="H16" i="19"/>
  <c r="H26" i="19"/>
  <c r="I37" i="19"/>
  <c r="F6" i="19"/>
  <c r="H4" i="19"/>
  <c r="G37" i="19"/>
  <c r="H10" i="17"/>
  <c r="G10" i="17"/>
  <c r="F9" i="19"/>
  <c r="F10" i="19"/>
  <c r="I34" i="18"/>
  <c r="H23" i="18"/>
  <c r="H16" i="18"/>
  <c r="H22" i="18"/>
  <c r="H24" i="18"/>
  <c r="H4" i="18"/>
  <c r="H13" i="18"/>
  <c r="H17" i="18"/>
  <c r="G37" i="18"/>
  <c r="F6" i="18"/>
  <c r="H26" i="18"/>
  <c r="H25" i="18"/>
  <c r="F18" i="18" l="1"/>
  <c r="F19" i="18" s="1"/>
  <c r="E33" i="18" s="1"/>
  <c r="F18" i="17"/>
  <c r="F19" i="17" s="1"/>
  <c r="F29" i="17" s="1"/>
  <c r="G12" i="19"/>
  <c r="F18" i="19"/>
  <c r="F19" i="19" s="1"/>
  <c r="H12" i="19"/>
  <c r="H15" i="18"/>
  <c r="G12" i="17"/>
  <c r="G12" i="18"/>
  <c r="H15" i="19"/>
  <c r="H39" i="18"/>
  <c r="H27" i="18"/>
  <c r="G39" i="18"/>
  <c r="I36" i="18"/>
  <c r="H12" i="18"/>
  <c r="G39" i="17"/>
  <c r="H39" i="17"/>
  <c r="I36" i="17"/>
  <c r="H27" i="17"/>
  <c r="H14" i="19"/>
  <c r="H14" i="17"/>
  <c r="I39" i="19"/>
  <c r="H39" i="19"/>
  <c r="G39" i="19"/>
  <c r="G27" i="19"/>
  <c r="H27" i="19"/>
  <c r="H12" i="17"/>
  <c r="G9" i="17"/>
  <c r="H14" i="18"/>
  <c r="G10" i="18"/>
  <c r="H9" i="17"/>
  <c r="H9" i="18"/>
  <c r="G9" i="18"/>
  <c r="G10" i="19"/>
  <c r="H10" i="19"/>
  <c r="G9" i="19"/>
  <c r="H9" i="19"/>
  <c r="H37" i="17"/>
  <c r="H6" i="17"/>
  <c r="H6" i="18"/>
  <c r="H37" i="18"/>
  <c r="H37" i="19"/>
  <c r="H6" i="19"/>
  <c r="E33" i="19" l="1"/>
  <c r="C33" i="19"/>
  <c r="F30" i="17"/>
  <c r="G30" i="17" s="1"/>
  <c r="C34" i="17"/>
  <c r="E34" i="17"/>
  <c r="H38" i="17"/>
  <c r="D41" i="17" s="1"/>
  <c r="C33" i="17"/>
  <c r="E33" i="17"/>
  <c r="G19" i="17"/>
  <c r="H19" i="17"/>
  <c r="G18" i="17"/>
  <c r="H18" i="17"/>
  <c r="I35" i="17"/>
  <c r="E41" i="17" s="1"/>
  <c r="G38" i="17"/>
  <c r="C41" i="17" s="1"/>
  <c r="H38" i="18"/>
  <c r="D41" i="18" s="1"/>
  <c r="F29" i="18"/>
  <c r="E34" i="18" s="1"/>
  <c r="C33" i="18"/>
  <c r="G19" i="18"/>
  <c r="H19" i="18"/>
  <c r="G38" i="18"/>
  <c r="C38" i="18" s="1"/>
  <c r="I35" i="18"/>
  <c r="E38" i="18" s="1"/>
  <c r="H19" i="19"/>
  <c r="G19" i="19"/>
  <c r="F29" i="19"/>
  <c r="H38" i="19"/>
  <c r="D41" i="19" s="1"/>
  <c r="G38" i="19"/>
  <c r="C38" i="19" s="1"/>
  <c r="H18" i="19"/>
  <c r="G18" i="19"/>
  <c r="G18" i="18"/>
  <c r="H18" i="18"/>
  <c r="I38" i="19"/>
  <c r="E38" i="19" s="1"/>
  <c r="G29" i="17"/>
  <c r="H29" i="17"/>
  <c r="G17" i="8"/>
  <c r="D38" i="18" l="1"/>
  <c r="E38" i="17"/>
  <c r="D38" i="17"/>
  <c r="C38" i="17"/>
  <c r="D38" i="19"/>
  <c r="H30" i="17"/>
  <c r="D40" i="17"/>
  <c r="C34" i="19"/>
  <c r="E34" i="19"/>
  <c r="D39" i="17"/>
  <c r="E40" i="17"/>
  <c r="E39" i="17"/>
  <c r="C40" i="17"/>
  <c r="C39" i="17"/>
  <c r="D40" i="19"/>
  <c r="D39" i="19"/>
  <c r="D40" i="18"/>
  <c r="D39" i="18"/>
  <c r="E41" i="18"/>
  <c r="E40" i="18"/>
  <c r="E39" i="18"/>
  <c r="E41" i="19"/>
  <c r="E40" i="19"/>
  <c r="E39" i="19"/>
  <c r="C41" i="18"/>
  <c r="C40" i="18"/>
  <c r="C39" i="18"/>
  <c r="C41" i="19"/>
  <c r="C40" i="19"/>
  <c r="C39" i="19"/>
  <c r="C34" i="18"/>
  <c r="H29" i="18"/>
  <c r="G29" i="18"/>
  <c r="F30" i="18"/>
  <c r="G29" i="19"/>
  <c r="H29" i="19"/>
  <c r="F30" i="19"/>
  <c r="G16" i="8"/>
  <c r="G14" i="8"/>
  <c r="G13" i="8"/>
  <c r="G30" i="18" l="1"/>
  <c r="H30" i="18"/>
  <c r="H30" i="19"/>
  <c r="G30" i="19"/>
  <c r="G12" i="8"/>
  <c r="F10" i="8"/>
  <c r="F4" i="8"/>
  <c r="H11" i="8" s="1"/>
  <c r="F9" i="8"/>
  <c r="F15" i="8" l="1"/>
  <c r="F18" i="8" s="1"/>
  <c r="G10" i="8"/>
  <c r="H10" i="8"/>
  <c r="H9" i="8"/>
  <c r="G9" i="8"/>
  <c r="F6" i="8"/>
  <c r="I34" i="8"/>
  <c r="H22" i="8"/>
  <c r="H26" i="8"/>
  <c r="H4" i="8"/>
  <c r="H24" i="8"/>
  <c r="G37" i="8"/>
  <c r="H23" i="8"/>
  <c r="H5" i="8"/>
  <c r="H25" i="8"/>
  <c r="H17" i="8"/>
  <c r="H13" i="8"/>
  <c r="H16" i="8"/>
  <c r="H14" i="8"/>
  <c r="H12" i="8"/>
  <c r="F27" i="8"/>
  <c r="H15" i="8" l="1"/>
  <c r="G15" i="8"/>
  <c r="H6" i="8"/>
  <c r="H37" i="8"/>
  <c r="I36" i="8"/>
  <c r="H27" i="8"/>
  <c r="G39" i="8"/>
  <c r="H39" i="8"/>
  <c r="G27" i="8"/>
  <c r="F19" i="8"/>
  <c r="E33" i="8" s="1"/>
  <c r="H18" i="8"/>
  <c r="G18" i="8"/>
  <c r="F29" i="8" l="1"/>
  <c r="E34" i="8" s="1"/>
  <c r="H19" i="8"/>
  <c r="H38" i="8"/>
  <c r="D41" i="8" s="1"/>
  <c r="G19" i="8"/>
  <c r="G38" i="8"/>
  <c r="C38" i="8" s="1"/>
  <c r="I35" i="8"/>
  <c r="E38" i="8" s="1"/>
  <c r="C33" i="8"/>
  <c r="C34" i="8" l="1"/>
  <c r="G29" i="8"/>
  <c r="H29" i="8"/>
  <c r="F30" i="8"/>
  <c r="H30" i="8" s="1"/>
  <c r="D38" i="8"/>
  <c r="D40" i="8"/>
  <c r="D39" i="8"/>
  <c r="E39" i="8"/>
  <c r="E41" i="8"/>
  <c r="E40" i="8"/>
  <c r="C41" i="8"/>
  <c r="C40" i="8"/>
  <c r="C39" i="8"/>
  <c r="G30" i="8" l="1"/>
</calcChain>
</file>

<file path=xl/sharedStrings.xml><?xml version="1.0" encoding="utf-8"?>
<sst xmlns="http://schemas.openxmlformats.org/spreadsheetml/2006/main" count="1076" uniqueCount="302">
  <si>
    <t>Total</t>
  </si>
  <si>
    <t>Labor</t>
  </si>
  <si>
    <t>Developed by:</t>
  </si>
  <si>
    <t>Total cost</t>
  </si>
  <si>
    <t>Total fixed costs</t>
  </si>
  <si>
    <t>Legal/accounting</t>
  </si>
  <si>
    <t>Farm insurance</t>
  </si>
  <si>
    <t>miles</t>
  </si>
  <si>
    <t>Repairs and maintenance</t>
  </si>
  <si>
    <t>Fingerlings</t>
  </si>
  <si>
    <t>Variable costs</t>
  </si>
  <si>
    <t>Unit</t>
  </si>
  <si>
    <t>Item</t>
  </si>
  <si>
    <t>Quantity</t>
  </si>
  <si>
    <t>Feed</t>
  </si>
  <si>
    <t>Electricity</t>
  </si>
  <si>
    <t>Total variable costs</t>
  </si>
  <si>
    <t>Interest on operating capital</t>
  </si>
  <si>
    <t>Fixed costs</t>
  </si>
  <si>
    <t>Interest on real estate and equipment</t>
  </si>
  <si>
    <t>Depreciation on real estate and equipment</t>
  </si>
  <si>
    <t>Net return to operation</t>
  </si>
  <si>
    <t>Delivery to buyers/market</t>
  </si>
  <si>
    <t>Other operating expenses</t>
  </si>
  <si>
    <t>Shop tools</t>
  </si>
  <si>
    <t>DO meter</t>
  </si>
  <si>
    <t>Computer</t>
  </si>
  <si>
    <t>Digital scales</t>
  </si>
  <si>
    <t>Forklift</t>
  </si>
  <si>
    <t>Waders</t>
  </si>
  <si>
    <t>Pressure washer</t>
  </si>
  <si>
    <t>Dipnets</t>
  </si>
  <si>
    <t>To cover variable costs</t>
  </si>
  <si>
    <t>To cover total costs</t>
  </si>
  <si>
    <t>Land</t>
  </si>
  <si>
    <t>Regulator, flow meters, diffusers</t>
  </si>
  <si>
    <t>Feed system/bins</t>
  </si>
  <si>
    <t>Water test kit</t>
  </si>
  <si>
    <t>Office furnishings</t>
  </si>
  <si>
    <t>Electric panel</t>
  </si>
  <si>
    <t>Item/Description</t>
  </si>
  <si>
    <t>Shipping/storage container</t>
  </si>
  <si>
    <t>Hanging scale</t>
  </si>
  <si>
    <t>Break-even price</t>
  </si>
  <si>
    <t>Break-even yield (qty.)</t>
  </si>
  <si>
    <t>$/month</t>
  </si>
  <si>
    <t>Operating Inputs</t>
  </si>
  <si>
    <t>Value</t>
  </si>
  <si>
    <t>Talipia carrying capacity</t>
  </si>
  <si>
    <t>Building size</t>
  </si>
  <si>
    <t>Tank size</t>
  </si>
  <si>
    <t>Water area</t>
  </si>
  <si>
    <t>Total Cost</t>
  </si>
  <si>
    <t>Steel frame building materials</t>
  </si>
  <si>
    <t>Well installation</t>
  </si>
  <si>
    <t>Tank materials</t>
  </si>
  <si>
    <t>Filtration system</t>
  </si>
  <si>
    <t>Septic/wastewater system</t>
  </si>
  <si>
    <t>Price/Unit</t>
  </si>
  <si>
    <t>Water treatments</t>
  </si>
  <si>
    <t>Natural gas</t>
  </si>
  <si>
    <t>Repair and maintenance</t>
  </si>
  <si>
    <t>Veterinary and medicine</t>
  </si>
  <si>
    <t>Net Sales</t>
  </si>
  <si>
    <t>Fingerling weight</t>
  </si>
  <si>
    <t>BTU</t>
  </si>
  <si>
    <t>Bass sales</t>
  </si>
  <si>
    <t>Shrimp larvae</t>
  </si>
  <si>
    <t>Shrimp carrying capacity</t>
  </si>
  <si>
    <t>Turns per year</t>
  </si>
  <si>
    <t>Larvae</t>
  </si>
  <si>
    <t>Jumbo shrimp sales</t>
  </si>
  <si>
    <t>Catfish sales</t>
  </si>
  <si>
    <t>2lb stockers</t>
  </si>
  <si>
    <t>stocking density</t>
  </si>
  <si>
    <t>turns</t>
  </si>
  <si>
    <t>Operating costs</t>
  </si>
  <si>
    <t>Ownership Costs</t>
  </si>
  <si>
    <t>Desired temperature</t>
  </si>
  <si>
    <t>Fuel source</t>
  </si>
  <si>
    <t>Ventilation</t>
  </si>
  <si>
    <t>Ventilation rate</t>
  </si>
  <si>
    <t>  ⁰F</t>
  </si>
  <si>
    <t>January</t>
  </si>
  <si>
    <t>February</t>
  </si>
  <si>
    <t>March</t>
  </si>
  <si>
    <t>April</t>
  </si>
  <si>
    <t>May</t>
  </si>
  <si>
    <t>June</t>
  </si>
  <si>
    <t>July</t>
  </si>
  <si>
    <t>August</t>
  </si>
  <si>
    <t>September</t>
  </si>
  <si>
    <t>October</t>
  </si>
  <si>
    <t>November</t>
  </si>
  <si>
    <t>December</t>
  </si>
  <si>
    <t>Average monthly temperature</t>
  </si>
  <si>
    <t>CF in building</t>
  </si>
  <si>
    <t>CF heated daily</t>
  </si>
  <si>
    <t>Average temp</t>
  </si>
  <si>
    <t>Air density</t>
  </si>
  <si>
    <t>BTU/lb of air/⁰</t>
  </si>
  <si>
    <t>Monthly BTU required</t>
  </si>
  <si>
    <t>Days in month</t>
  </si>
  <si>
    <t>kWh</t>
  </si>
  <si>
    <t>gal.</t>
  </si>
  <si>
    <t>Service fee</t>
  </si>
  <si>
    <t>Monthly</t>
  </si>
  <si>
    <t>Ccf</t>
  </si>
  <si>
    <t>BTU/hr average</t>
  </si>
  <si>
    <t>Building height</t>
  </si>
  <si>
    <t>CFM exchange</t>
  </si>
  <si>
    <t>Emergency heat surplus</t>
  </si>
  <si>
    <t>BTU/hr, winter peak</t>
  </si>
  <si>
    <t>Fuel</t>
  </si>
  <si>
    <t>Propane</t>
  </si>
  <si>
    <t>Electric</t>
  </si>
  <si>
    <t>Liquid propane</t>
  </si>
  <si>
    <t>Costs of gas</t>
  </si>
  <si>
    <t>Water management</t>
  </si>
  <si>
    <t>Lighting</t>
  </si>
  <si>
    <t>Miscellaneous</t>
  </si>
  <si>
    <t>Variable factor</t>
  </si>
  <si>
    <t>hours/day</t>
  </si>
  <si>
    <t>Energy density</t>
  </si>
  <si>
    <t>Costs of power</t>
  </si>
  <si>
    <t>Light power</t>
  </si>
  <si>
    <t>Miscellaneous electricity</t>
  </si>
  <si>
    <t>kWh/year</t>
  </si>
  <si>
    <t>Ventilation efficiency</t>
  </si>
  <si>
    <t>CFM/kWh</t>
  </si>
  <si>
    <t>Total energy costs</t>
  </si>
  <si>
    <t>Heat fuel source</t>
  </si>
  <si>
    <t>Utilities</t>
  </si>
  <si>
    <t>Heat waste</t>
  </si>
  <si>
    <t>% lost via building</t>
  </si>
  <si>
    <t>Electricity price</t>
  </si>
  <si>
    <t>Electric service fee</t>
  </si>
  <si>
    <t>Natural gas price</t>
  </si>
  <si>
    <t>Natural gas service fee</t>
  </si>
  <si>
    <t>Propane price</t>
  </si>
  <si>
    <t>Heating source</t>
  </si>
  <si>
    <t>System capacity</t>
  </si>
  <si>
    <t>Tank capacity</t>
  </si>
  <si>
    <t>Water volume</t>
  </si>
  <si>
    <t>$/kWh</t>
  </si>
  <si>
    <t>$/kcf</t>
  </si>
  <si>
    <t>$/gallon</t>
  </si>
  <si>
    <t>Building and Utilities</t>
  </si>
  <si>
    <t>Sidewall height</t>
  </si>
  <si>
    <t>Water depth</t>
  </si>
  <si>
    <t>ft.</t>
  </si>
  <si>
    <t xml:space="preserve">ft. </t>
  </si>
  <si>
    <t>Water filtration rate</t>
  </si>
  <si>
    <t>turns/hour</t>
  </si>
  <si>
    <t>Tank area</t>
  </si>
  <si>
    <t>Floor utilization</t>
  </si>
  <si>
    <t>Month</t>
  </si>
  <si>
    <t>Typical</t>
  </si>
  <si>
    <t>Inputs</t>
  </si>
  <si>
    <t>Tilapia sales price</t>
  </si>
  <si>
    <t>32% floating food</t>
  </si>
  <si>
    <t>Tilapia fingerlings</t>
  </si>
  <si>
    <t>45% floating food</t>
  </si>
  <si>
    <t>Veterinary health</t>
  </si>
  <si>
    <t>% of sales</t>
  </si>
  <si>
    <t>% APR</t>
  </si>
  <si>
    <t>46% floating food</t>
  </si>
  <si>
    <t>LMB fingerlings</t>
  </si>
  <si>
    <t>LMB sales price</t>
  </si>
  <si>
    <t>LMB carrying capacity</t>
  </si>
  <si>
    <t>Catfish sales price</t>
  </si>
  <si>
    <t>Shrimp sales price</t>
  </si>
  <si>
    <t>Shrimp feed</t>
  </si>
  <si>
    <t>$/mile</t>
  </si>
  <si>
    <t>grams</t>
  </si>
  <si>
    <t>Total capital investment</t>
  </si>
  <si>
    <t>Interior space</t>
  </si>
  <si>
    <t>Supplies</t>
  </si>
  <si>
    <t>Owner labor and management</t>
  </si>
  <si>
    <t>Professional fees</t>
  </si>
  <si>
    <t>Annual cost</t>
  </si>
  <si>
    <t>Average operating debt outstanding</t>
  </si>
  <si>
    <t>Supplemental heat required?</t>
  </si>
  <si>
    <t>Yes</t>
  </si>
  <si>
    <t>No</t>
  </si>
  <si>
    <t>% of operating debt</t>
  </si>
  <si>
    <t>Drew Kientzy, Ryan Milhollin, Joe Horner</t>
  </si>
  <si>
    <t>$/hour</t>
  </si>
  <si>
    <r>
      <rPr>
        <sz val="10"/>
        <rFont val="Segoe UI"/>
        <family val="2"/>
      </rPr>
      <t>ft.</t>
    </r>
    <r>
      <rPr>
        <vertAlign val="superscript"/>
        <sz val="10"/>
        <rFont val="Segoe UI"/>
        <family val="2"/>
      </rPr>
      <t>2</t>
    </r>
  </si>
  <si>
    <t>Lighting usage</t>
  </si>
  <si>
    <t>square feet</t>
  </si>
  <si>
    <t>cubic feet</t>
  </si>
  <si>
    <t>gallons</t>
  </si>
  <si>
    <t>gallons/tank</t>
  </si>
  <si>
    <t>percent</t>
  </si>
  <si>
    <t>Building and Tanks</t>
  </si>
  <si>
    <t>Fixed Costs</t>
  </si>
  <si>
    <t>Other Operating Costs</t>
  </si>
  <si>
    <t>Land and Buildings</t>
  </si>
  <si>
    <t>Concrete pad (installed)</t>
  </si>
  <si>
    <t>Example RAS building layout</t>
  </si>
  <si>
    <t>Average Daily Temp</t>
  </si>
  <si>
    <t>Insulation, electrical, plumbing</t>
  </si>
  <si>
    <t>each</t>
  </si>
  <si>
    <t>total</t>
  </si>
  <si>
    <t>annual cost</t>
  </si>
  <si>
    <t>Standby generator</t>
  </si>
  <si>
    <t>Aeration compressor</t>
  </si>
  <si>
    <t>sidewall, in feet</t>
  </si>
  <si>
    <t>% over peak avg.</t>
  </si>
  <si>
    <t>Note: Data in the table is based on Columbia, Missouri</t>
  </si>
  <si>
    <t>watts/square foot</t>
  </si>
  <si>
    <t>monthly</t>
  </si>
  <si>
    <t>Cost of Heat</t>
  </si>
  <si>
    <t>Other Electrical Usage</t>
  </si>
  <si>
    <t>Energy Prices</t>
  </si>
  <si>
    <t>Heater Efficiency</t>
  </si>
  <si>
    <t xml:space="preserve">Units used </t>
  </si>
  <si>
    <t xml:space="preserve"> per gallon</t>
  </si>
  <si>
    <t xml:space="preserve"> per kcf</t>
  </si>
  <si>
    <t xml:space="preserve"> per kWh</t>
  </si>
  <si>
    <t xml:space="preserve">Electric </t>
  </si>
  <si>
    <t xml:space="preserve">Natural gas </t>
  </si>
  <si>
    <t>$ per ton</t>
  </si>
  <si>
    <t>$ per pound</t>
  </si>
  <si>
    <t>$ per fish</t>
  </si>
  <si>
    <t>Tilapia finish weight</t>
  </si>
  <si>
    <t>pounds</t>
  </si>
  <si>
    <t>Feed conversion ratio</t>
  </si>
  <si>
    <t>feed per lb gain</t>
  </si>
  <si>
    <t>pound</t>
  </si>
  <si>
    <t>turn</t>
  </si>
  <si>
    <t>miles (round trip)</t>
  </si>
  <si>
    <t>Average delivery distance</t>
  </si>
  <si>
    <t>lbs. per gallon</t>
  </si>
  <si>
    <t>tons</t>
  </si>
  <si>
    <t>fish</t>
  </si>
  <si>
    <t>hours</t>
  </si>
  <si>
    <t>Return on investment</t>
  </si>
  <si>
    <t>Operating profit margin</t>
  </si>
  <si>
    <t>Cost of production per pound</t>
  </si>
  <si>
    <t>$ per larvae</t>
  </si>
  <si>
    <t>LMB finish weight</t>
  </si>
  <si>
    <t>Sensitivity Analysis</t>
  </si>
  <si>
    <t>Energy Use Factors</t>
  </si>
  <si>
    <t>BTU/Unit of Source</t>
  </si>
  <si>
    <t>Useful Life (yrs.)</t>
  </si>
  <si>
    <t>$/Lb. Sold</t>
  </si>
  <si>
    <t>Larvae weight</t>
  </si>
  <si>
    <t>Salvage Value (%)</t>
  </si>
  <si>
    <t>Annual Cost</t>
  </si>
  <si>
    <t>Tilapia sales</t>
  </si>
  <si>
    <t>Revenue</t>
  </si>
  <si>
    <t>Net revenue</t>
  </si>
  <si>
    <t xml:space="preserve">Owner labor and management </t>
  </si>
  <si>
    <t>Fingerling price</t>
  </si>
  <si>
    <t>Carrying capacity</t>
  </si>
  <si>
    <t>Catfish finish weight</t>
  </si>
  <si>
    <t>Shrimp finish weight</t>
  </si>
  <si>
    <t>Survival rate</t>
  </si>
  <si>
    <t>Office, shop, storage, and machinery space</t>
  </si>
  <si>
    <t>Average delivery weight</t>
  </si>
  <si>
    <t>fish lbs. per delivery</t>
  </si>
  <si>
    <t>shrimp lbs. per delivery</t>
  </si>
  <si>
    <t>Tilapia</t>
  </si>
  <si>
    <t>Bass</t>
  </si>
  <si>
    <t>Catfish</t>
  </si>
  <si>
    <t>Shrimp</t>
  </si>
  <si>
    <t>Watts per gpm, 4' head</t>
  </si>
  <si>
    <t>System pressure</t>
  </si>
  <si>
    <t>feet of head</t>
  </si>
  <si>
    <t>Pumping rate, gallons per minute</t>
  </si>
  <si>
    <t xml:space="preserve">To utilize this tool, insert any costs, prices or values known in the grey filled cells. If you are beginning operations, there are estimates provided for you. These budgets are indicative of an operation that serves as a full-time occupation for the owner, and hired labor does not include 2,000 hours of owner labor.  </t>
  </si>
  <si>
    <t>Hired labor</t>
  </si>
  <si>
    <t>Aeration blower hp/pound of fish</t>
  </si>
  <si>
    <t>Aeration energy</t>
  </si>
  <si>
    <t>Species</t>
  </si>
  <si>
    <t>Hp/hr</t>
  </si>
  <si>
    <t>Filtration pump</t>
  </si>
  <si>
    <t>Truck</t>
  </si>
  <si>
    <t>Fish hauling tank</t>
  </si>
  <si>
    <t>number</t>
  </si>
  <si>
    <t>Weighted average cost of capital</t>
  </si>
  <si>
    <t>% of Sales</t>
  </si>
  <si>
    <t>Table 1. Inputs to Tilapia RAS Production</t>
  </si>
  <si>
    <t>Tilapia RAS Production Budget (Annual)</t>
  </si>
  <si>
    <t>Table 1. Inputs to Largemouth Bass Production</t>
  </si>
  <si>
    <t>Table 1. Inputs to Catfish Production</t>
  </si>
  <si>
    <t>Table 1. Inputs to Shrimp Production</t>
  </si>
  <si>
    <t>Largemouth Bass RAS Budget (Annual)</t>
  </si>
  <si>
    <t>Catfish RAS Budget (Annual)</t>
  </si>
  <si>
    <t>Shrimp RAS Budget (Annual)</t>
  </si>
  <si>
    <t xml:space="preserve">Farmers can develop custom enterprise budgets for an aquaculture RAS operation by using this spreadsheet. </t>
  </si>
  <si>
    <t>select one</t>
  </si>
  <si>
    <t>Ideal Temperature</t>
  </si>
  <si>
    <t>acre</t>
  </si>
  <si>
    <t>Fish delivery cost</t>
  </si>
  <si>
    <t>Climate control system</t>
  </si>
  <si>
    <t>Updated: 5/2024</t>
  </si>
  <si>
    <t>Missouri Recirculating Aquaculture System (RAS) Budgets</t>
  </si>
  <si>
    <r>
      <t xml:space="preserve">The </t>
    </r>
    <r>
      <rPr>
        <b/>
        <sz val="10"/>
        <color theme="1"/>
        <rFont val="Segoe UI"/>
        <family val="2"/>
      </rPr>
      <t>"Operating Inputs"</t>
    </r>
    <r>
      <rPr>
        <sz val="10"/>
        <color theme="1"/>
        <rFont val="Segoe UI"/>
        <family val="2"/>
      </rPr>
      <t xml:space="preserve"> worksheet contains values tied to the operating requirements of each budget. The "</t>
    </r>
    <r>
      <rPr>
        <b/>
        <sz val="10"/>
        <color theme="1"/>
        <rFont val="Segoe UI"/>
        <family val="2"/>
      </rPr>
      <t>Capital Inputs"</t>
    </r>
    <r>
      <rPr>
        <sz val="10"/>
        <color theme="1"/>
        <rFont val="Segoe UI"/>
        <family val="2"/>
      </rPr>
      <t xml:space="preserve"> worksheet outlines the long-term assets, equipment and tools used in the operation. Only limited customization is allowed on this sheet in order to preserve the functionality of this model. Select </t>
    </r>
    <r>
      <rPr>
        <b/>
        <sz val="10"/>
        <color theme="1"/>
        <rFont val="Segoe UI"/>
        <family val="2"/>
      </rPr>
      <t>RAS Talapia, RAS Bass, RAS Catfish or RAS Shrimp</t>
    </r>
    <r>
      <rPr>
        <sz val="10"/>
        <color theme="1"/>
        <rFont val="Segoe UI"/>
        <family val="2"/>
      </rPr>
      <t xml:space="preserve"> to find the estimated costs and returns for each respective species and further customize each individual budget. The "</t>
    </r>
    <r>
      <rPr>
        <b/>
        <sz val="10"/>
        <color theme="1"/>
        <rFont val="Segoe UI"/>
        <family val="2"/>
      </rPr>
      <t>Utilities</t>
    </r>
    <r>
      <rPr>
        <sz val="10"/>
        <color theme="1"/>
        <rFont val="Segoe UI"/>
        <family val="2"/>
      </rPr>
      <t xml:space="preserve">" worksheets for each species are hidden for the user's convenience, but can be unhidden if a user feels comfortable making in-depth changes (common changes can be made on the </t>
    </r>
    <r>
      <rPr>
        <b/>
        <sz val="10"/>
        <color theme="1"/>
        <rFont val="Segoe UI"/>
        <family val="2"/>
      </rPr>
      <t xml:space="preserve">Operating Inputs </t>
    </r>
    <r>
      <rPr>
        <sz val="10"/>
        <color theme="1"/>
        <rFont val="Segoe UI"/>
        <family val="2"/>
      </rPr>
      <t>sheet).</t>
    </r>
  </si>
  <si>
    <r>
      <t xml:space="preserve">This worksheet is for educational purposes only and the user assumes all risks associated with its use.
</t>
    </r>
    <r>
      <rPr>
        <b/>
        <i/>
        <sz val="8"/>
        <color rgb="FF3F3F3F"/>
        <rFont val="Segoe UI"/>
        <family val="2"/>
      </rPr>
      <t>This work is supported by the U.S. Department of Agriculture’s (USDA) Farm Service Agency through project award number FSA23CPT0012862. Its contents are solely the responsibility of the authors and do not necessarily represent the official views of the USDA.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</si>
</sst>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0.00_)"/>
    <numFmt numFmtId="165" formatCode="_(* #,##0_);_(* \(#,##0\);_(* &quot;-&quot;??_);_(@_)"/>
    <numFmt numFmtId="166" formatCode="_(* #,##0.0_);_(* \(#,##0.0\);_(* &quot;-&quot;??_);_(@_)"/>
    <numFmt numFmtId="167" formatCode="0.0%"/>
    <numFmt numFmtId="168" formatCode="_(&quot;$&quot;* #,##0_);_(&quot;$&quot;* \(#,##0\);_(&quot;$&quot;* &quot;-&quot;??_);_(@_)"/>
    <numFmt numFmtId="169" formatCode="#,##0.0_);\(#,##0.0\)"/>
    <numFmt numFmtId="170" formatCode="_(* #,##0.000_);_(* \(#,##0.000\);_(* &quot;-&quot;??_);_(@_)"/>
  </numFmts>
  <fonts count="35">
    <font>
      <sz val="12"/>
      <name val="Arial"/>
    </font>
    <font>
      <sz val="11"/>
      <color theme="1"/>
      <name val="Calibri"/>
      <family val="2"/>
      <scheme val="minor"/>
    </font>
    <font>
      <sz val="11"/>
      <color theme="1"/>
      <name val="Calibri"/>
      <family val="2"/>
      <scheme val="minor"/>
    </font>
    <font>
      <sz val="10"/>
      <name val="Arial MT"/>
    </font>
    <font>
      <b/>
      <sz val="11"/>
      <color rgb="FF3F3F3F"/>
      <name val="Calibri"/>
      <family val="2"/>
      <scheme val="minor"/>
    </font>
    <font>
      <sz val="11"/>
      <color theme="1"/>
      <name val="Segoe UI"/>
      <family val="2"/>
    </font>
    <font>
      <b/>
      <sz val="14"/>
      <color rgb="FFF1B82D"/>
      <name val="Segoe UI"/>
      <family val="2"/>
    </font>
    <font>
      <b/>
      <sz val="11"/>
      <color theme="1"/>
      <name val="Segoe UI"/>
      <family val="2"/>
    </font>
    <font>
      <sz val="12"/>
      <color theme="1"/>
      <name val="Segoe UI"/>
      <family val="2"/>
    </font>
    <font>
      <b/>
      <sz val="10"/>
      <color rgb="FF3F3F3F"/>
      <name val="Segoe UI"/>
      <family val="2"/>
    </font>
    <font>
      <sz val="12"/>
      <name val="Segoe UI"/>
      <family val="2"/>
    </font>
    <font>
      <b/>
      <sz val="12"/>
      <color rgb="FFF1B82D"/>
      <name val="Segoe UI"/>
      <family val="2"/>
    </font>
    <font>
      <b/>
      <sz val="12"/>
      <name val="Segoe UI"/>
      <family val="2"/>
    </font>
    <font>
      <sz val="10"/>
      <name val="Segoe UI"/>
      <family val="2"/>
    </font>
    <font>
      <sz val="12"/>
      <name val="Arial"/>
      <family val="2"/>
    </font>
    <font>
      <b/>
      <sz val="10"/>
      <color rgb="FFF1B82D"/>
      <name val="Segoe UI"/>
      <family val="2"/>
    </font>
    <font>
      <sz val="10"/>
      <color theme="1"/>
      <name val="Segoe UI"/>
      <family val="2"/>
    </font>
    <font>
      <b/>
      <sz val="10"/>
      <name val="Segoe UI"/>
      <family val="2"/>
    </font>
    <font>
      <sz val="12"/>
      <color theme="0"/>
      <name val="Segoe UI"/>
      <family val="2"/>
    </font>
    <font>
      <sz val="11"/>
      <color theme="0"/>
      <name val="Segoe UI"/>
      <family val="2"/>
    </font>
    <font>
      <sz val="8"/>
      <name val="Arial"/>
      <family val="2"/>
    </font>
    <font>
      <b/>
      <sz val="12"/>
      <color rgb="FFFFC000"/>
      <name val="Segoe UI"/>
      <family val="2"/>
    </font>
    <font>
      <b/>
      <sz val="11"/>
      <color rgb="FFFFC000"/>
      <name val="Segoe UI"/>
      <family val="2"/>
    </font>
    <font>
      <b/>
      <sz val="12"/>
      <color theme="1"/>
      <name val="Segoe UI"/>
      <family val="2"/>
    </font>
    <font>
      <vertAlign val="superscript"/>
      <sz val="10"/>
      <name val="Segoe UI"/>
      <family val="2"/>
    </font>
    <font>
      <b/>
      <sz val="14"/>
      <color rgb="FFF1B82D"/>
      <name val="Segoe UI Black"/>
      <family val="2"/>
    </font>
    <font>
      <b/>
      <sz val="13"/>
      <color rgb="FFF1B82D"/>
      <name val="Segoe UI Black"/>
      <family val="2"/>
    </font>
    <font>
      <i/>
      <sz val="12"/>
      <color theme="1"/>
      <name val="Segoe UI"/>
      <family val="2"/>
    </font>
    <font>
      <sz val="9"/>
      <name val="Segoe UI"/>
      <family val="2"/>
    </font>
    <font>
      <i/>
      <sz val="12"/>
      <name val="Segoe UI"/>
      <family val="2"/>
    </font>
    <font>
      <b/>
      <sz val="11"/>
      <name val="Segoe UI"/>
      <family val="2"/>
    </font>
    <font>
      <sz val="11"/>
      <name val="Segoe UI"/>
      <family val="2"/>
    </font>
    <font>
      <b/>
      <sz val="10"/>
      <color theme="1"/>
      <name val="Segoe UI"/>
      <family val="2"/>
    </font>
    <font>
      <b/>
      <sz val="12"/>
      <color rgb="FFF1B82D"/>
      <name val="Segoe UI Black"/>
      <family val="2"/>
    </font>
    <font>
      <b/>
      <i/>
      <sz val="8"/>
      <color rgb="FF3F3F3F"/>
      <name val="Segoe UI"/>
      <family val="2"/>
    </font>
  </fonts>
  <fills count="8">
    <fill>
      <patternFill patternType="none"/>
    </fill>
    <fill>
      <patternFill patternType="gray125"/>
    </fill>
    <fill>
      <patternFill patternType="solid">
        <fgColor rgb="FFF2F2F2"/>
      </patternFill>
    </fill>
    <fill>
      <patternFill patternType="solid">
        <fgColor theme="1"/>
        <bgColor indexed="64"/>
      </patternFill>
    </fill>
    <fill>
      <patternFill patternType="solid">
        <fgColor theme="2"/>
        <bgColor indexed="64"/>
      </patternFill>
    </fill>
    <fill>
      <patternFill patternType="solid">
        <fgColor rgb="FFF1B82D"/>
        <bgColor indexed="64"/>
      </patternFill>
    </fill>
    <fill>
      <patternFill patternType="solid">
        <fgColor rgb="FFFFC000"/>
        <bgColor indexed="64"/>
      </patternFill>
    </fill>
    <fill>
      <patternFill patternType="solid">
        <fgColor theme="0"/>
        <bgColor indexed="64"/>
      </patternFill>
    </fill>
  </fills>
  <borders count="23">
    <border>
      <left/>
      <right/>
      <top/>
      <bottom/>
      <diagonal/>
    </border>
    <border>
      <left/>
      <right/>
      <top/>
      <bottom style="thin">
        <color indexed="6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s>
  <cellStyleXfs count="9">
    <xf numFmtId="0" fontId="0" fillId="0" borderId="0"/>
    <xf numFmtId="164" fontId="3" fillId="0" borderId="0"/>
    <xf numFmtId="0" fontId="4" fillId="2" borderId="2" applyNumberFormat="0" applyAlignment="0" applyProtection="0"/>
    <xf numFmtId="0" fontId="2" fillId="0" borderId="0"/>
    <xf numFmtId="0" fontId="1" fillId="0" borderId="0"/>
    <xf numFmtId="43" fontId="1"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44" fontId="14" fillId="0" borderId="0" applyFont="0" applyFill="0" applyBorder="0" applyAlignment="0" applyProtection="0"/>
  </cellStyleXfs>
  <cellXfs count="288">
    <xf numFmtId="0" fontId="0" fillId="0" borderId="0" xfId="0"/>
    <xf numFmtId="0" fontId="5" fillId="0" borderId="0" xfId="3" applyFont="1"/>
    <xf numFmtId="0" fontId="7" fillId="0" borderId="0" xfId="3" applyFont="1"/>
    <xf numFmtId="0" fontId="7" fillId="0" borderId="0" xfId="3" applyFont="1" applyAlignment="1">
      <alignment horizontal="left" indent="4"/>
    </xf>
    <xf numFmtId="165" fontId="10" fillId="0" borderId="0" xfId="5" applyNumberFormat="1" applyFont="1"/>
    <xf numFmtId="0" fontId="5" fillId="0" borderId="0" xfId="4" applyFont="1"/>
    <xf numFmtId="43" fontId="10" fillId="0" borderId="0" xfId="5" applyFont="1"/>
    <xf numFmtId="165" fontId="10" fillId="0" borderId="0" xfId="5" applyNumberFormat="1" applyFont="1" applyFill="1" applyBorder="1"/>
    <xf numFmtId="165" fontId="10" fillId="0" borderId="0" xfId="5" applyNumberFormat="1" applyFont="1" applyFill="1" applyBorder="1" applyAlignment="1">
      <alignment horizontal="center"/>
    </xf>
    <xf numFmtId="165" fontId="10" fillId="0" borderId="0" xfId="5" applyNumberFormat="1" applyFont="1" applyFill="1" applyBorder="1" applyAlignment="1"/>
    <xf numFmtId="165" fontId="13" fillId="0" borderId="0" xfId="5" applyNumberFormat="1" applyFont="1" applyFill="1" applyBorder="1" applyAlignment="1">
      <alignment horizontal="left"/>
    </xf>
    <xf numFmtId="43" fontId="10" fillId="0" borderId="0" xfId="5" applyFont="1" applyFill="1" applyBorder="1"/>
    <xf numFmtId="165" fontId="15" fillId="0" borderId="0" xfId="5" applyNumberFormat="1" applyFont="1" applyFill="1" applyBorder="1" applyAlignment="1">
      <alignment horizontal="right"/>
    </xf>
    <xf numFmtId="43" fontId="10" fillId="0" borderId="0" xfId="5" applyFont="1" applyFill="1" applyBorder="1" applyAlignment="1">
      <alignment horizontal="center"/>
    </xf>
    <xf numFmtId="165" fontId="18" fillId="0" borderId="0" xfId="5" applyNumberFormat="1" applyFont="1" applyFill="1" applyBorder="1" applyAlignment="1"/>
    <xf numFmtId="165" fontId="10" fillId="0" borderId="6" xfId="5" applyNumberFormat="1" applyFont="1" applyFill="1" applyBorder="1"/>
    <xf numFmtId="165" fontId="13" fillId="0" borderId="6" xfId="5" applyNumberFormat="1" applyFont="1" applyFill="1" applyBorder="1" applyAlignment="1">
      <alignment horizontal="left"/>
    </xf>
    <xf numFmtId="165" fontId="13" fillId="0" borderId="6" xfId="5" applyNumberFormat="1" applyFont="1" applyFill="1" applyBorder="1" applyAlignment="1">
      <alignment horizontal="right"/>
    </xf>
    <xf numFmtId="165" fontId="13" fillId="0" borderId="8" xfId="5" applyNumberFormat="1" applyFont="1" applyFill="1" applyBorder="1" applyAlignment="1">
      <alignment horizontal="right"/>
    </xf>
    <xf numFmtId="167" fontId="10" fillId="0" borderId="0" xfId="7" applyNumberFormat="1" applyFont="1" applyFill="1" applyBorder="1" applyAlignment="1">
      <alignment horizontal="right"/>
    </xf>
    <xf numFmtId="166" fontId="10" fillId="0" borderId="0" xfId="5" applyNumberFormat="1" applyFont="1" applyFill="1" applyBorder="1" applyAlignment="1"/>
    <xf numFmtId="165" fontId="10" fillId="0" borderId="0" xfId="6" applyNumberFormat="1" applyFont="1" applyFill="1" applyBorder="1" applyAlignment="1"/>
    <xf numFmtId="0" fontId="19" fillId="0" borderId="0" xfId="4" applyFont="1"/>
    <xf numFmtId="165" fontId="12" fillId="0" borderId="0" xfId="5" applyNumberFormat="1" applyFont="1" applyFill="1" applyBorder="1"/>
    <xf numFmtId="43" fontId="12" fillId="0" borderId="0" xfId="5" applyFont="1" applyFill="1" applyBorder="1"/>
    <xf numFmtId="9" fontId="10" fillId="0" borderId="0" xfId="7" applyFont="1" applyFill="1" applyBorder="1"/>
    <xf numFmtId="9" fontId="10" fillId="0" borderId="7" xfId="7" applyFont="1" applyFill="1" applyBorder="1"/>
    <xf numFmtId="9" fontId="12" fillId="0" borderId="7" xfId="7" applyFont="1" applyFill="1" applyBorder="1"/>
    <xf numFmtId="43" fontId="10" fillId="0" borderId="7" xfId="5" applyFont="1" applyFill="1" applyBorder="1"/>
    <xf numFmtId="43" fontId="10" fillId="0" borderId="1" xfId="5" applyFont="1" applyFill="1" applyBorder="1"/>
    <xf numFmtId="9" fontId="10" fillId="0" borderId="15" xfId="7" applyFont="1" applyFill="1" applyBorder="1"/>
    <xf numFmtId="165" fontId="17" fillId="0" borderId="0" xfId="5" applyNumberFormat="1" applyFont="1" applyFill="1" applyBorder="1" applyAlignment="1">
      <alignment horizontal="center"/>
    </xf>
    <xf numFmtId="165" fontId="18" fillId="0" borderId="0" xfId="5" applyNumberFormat="1" applyFont="1"/>
    <xf numFmtId="166" fontId="18" fillId="0" borderId="0" xfId="5" applyNumberFormat="1" applyFont="1"/>
    <xf numFmtId="44" fontId="19" fillId="0" borderId="0" xfId="8" applyFont="1"/>
    <xf numFmtId="1" fontId="10" fillId="0" borderId="0" xfId="5" applyNumberFormat="1" applyFont="1" applyFill="1" applyBorder="1" applyAlignment="1"/>
    <xf numFmtId="9" fontId="10" fillId="0" borderId="0" xfId="5" applyNumberFormat="1" applyFont="1" applyFill="1" applyBorder="1" applyAlignment="1">
      <alignment horizontal="right"/>
    </xf>
    <xf numFmtId="9" fontId="10" fillId="0" borderId="0" xfId="7" applyFont="1" applyFill="1" applyBorder="1" applyAlignment="1">
      <alignment horizontal="right"/>
    </xf>
    <xf numFmtId="0" fontId="10" fillId="0" borderId="0" xfId="0" applyFont="1"/>
    <xf numFmtId="0" fontId="10" fillId="0" borderId="6" xfId="0" applyFont="1" applyBorder="1"/>
    <xf numFmtId="0" fontId="10" fillId="0" borderId="7" xfId="0" applyFont="1" applyBorder="1"/>
    <xf numFmtId="165" fontId="10" fillId="0" borderId="0" xfId="6" applyNumberFormat="1" applyFont="1" applyBorder="1"/>
    <xf numFmtId="0" fontId="10" fillId="0" borderId="16" xfId="0" applyFont="1" applyBorder="1"/>
    <xf numFmtId="0" fontId="10" fillId="0" borderId="17" xfId="0" applyFont="1" applyBorder="1"/>
    <xf numFmtId="43" fontId="10" fillId="0" borderId="0" xfId="0" applyNumberFormat="1" applyFont="1"/>
    <xf numFmtId="0" fontId="10" fillId="0" borderId="20" xfId="0" applyFont="1" applyBorder="1"/>
    <xf numFmtId="165" fontId="10" fillId="0" borderId="9" xfId="6" applyNumberFormat="1" applyFont="1" applyBorder="1"/>
    <xf numFmtId="0" fontId="22" fillId="3" borderId="14" xfId="0" applyFont="1" applyFill="1" applyBorder="1"/>
    <xf numFmtId="0" fontId="22" fillId="3" borderId="15" xfId="0" applyFont="1" applyFill="1" applyBorder="1"/>
    <xf numFmtId="0" fontId="23" fillId="0" borderId="8" xfId="4" applyFont="1" applyBorder="1" applyAlignment="1">
      <alignment horizontal="right"/>
    </xf>
    <xf numFmtId="165" fontId="23" fillId="0" borderId="9" xfId="0" applyNumberFormat="1" applyFont="1" applyBorder="1"/>
    <xf numFmtId="165" fontId="23" fillId="0" borderId="10" xfId="0" applyNumberFormat="1" applyFont="1" applyBorder="1"/>
    <xf numFmtId="0" fontId="10" fillId="4" borderId="0" xfId="0" applyFont="1" applyFill="1"/>
    <xf numFmtId="0" fontId="10" fillId="7" borderId="0" xfId="0" applyFont="1" applyFill="1"/>
    <xf numFmtId="0" fontId="10" fillId="3" borderId="17" xfId="0" applyFont="1" applyFill="1" applyBorder="1"/>
    <xf numFmtId="9" fontId="10" fillId="3" borderId="0" xfId="7" applyFont="1" applyFill="1" applyBorder="1"/>
    <xf numFmtId="0" fontId="10" fillId="3" borderId="7" xfId="0" applyFont="1" applyFill="1" applyBorder="1"/>
    <xf numFmtId="0" fontId="10" fillId="0" borderId="0" xfId="0" applyFont="1" applyAlignment="1">
      <alignment horizontal="center"/>
    </xf>
    <xf numFmtId="44" fontId="10" fillId="0" borderId="0" xfId="8" applyFont="1" applyFill="1" applyBorder="1"/>
    <xf numFmtId="0" fontId="5" fillId="0" borderId="0" xfId="3" applyFont="1" applyAlignment="1">
      <alignment horizontal="right"/>
    </xf>
    <xf numFmtId="9" fontId="19" fillId="0" borderId="0" xfId="4" applyNumberFormat="1" applyFont="1"/>
    <xf numFmtId="165" fontId="10" fillId="0" borderId="0" xfId="6" applyNumberFormat="1" applyFont="1" applyFill="1" applyBorder="1"/>
    <xf numFmtId="0" fontId="12" fillId="0" borderId="12" xfId="0" applyFont="1" applyBorder="1" applyAlignment="1">
      <alignment horizontal="center"/>
    </xf>
    <xf numFmtId="0" fontId="10" fillId="4" borderId="7" xfId="0" applyFont="1" applyFill="1" applyBorder="1"/>
    <xf numFmtId="9" fontId="10" fillId="4" borderId="7" xfId="7" applyFont="1" applyFill="1" applyBorder="1"/>
    <xf numFmtId="0" fontId="10" fillId="0" borderId="6" xfId="0" applyFont="1" applyBorder="1" applyAlignment="1">
      <alignment horizontal="left"/>
    </xf>
    <xf numFmtId="168" fontId="10" fillId="0" borderId="0" xfId="8" applyNumberFormat="1" applyFont="1" applyFill="1" applyBorder="1"/>
    <xf numFmtId="10" fontId="10" fillId="0" borderId="0" xfId="8" applyNumberFormat="1" applyFont="1" applyFill="1" applyBorder="1"/>
    <xf numFmtId="0" fontId="10" fillId="0" borderId="8" xfId="0" applyFont="1" applyBorder="1"/>
    <xf numFmtId="43" fontId="10" fillId="0" borderId="0" xfId="6" applyFont="1" applyFill="1" applyBorder="1"/>
    <xf numFmtId="0" fontId="12" fillId="0" borderId="0" xfId="0" applyFont="1"/>
    <xf numFmtId="166" fontId="10" fillId="0" borderId="7" xfId="0" applyNumberFormat="1" applyFont="1" applyBorder="1"/>
    <xf numFmtId="44" fontId="10" fillId="0" borderId="0" xfId="0" applyNumberFormat="1" applyFont="1"/>
    <xf numFmtId="165" fontId="10" fillId="0" borderId="7" xfId="0" applyNumberFormat="1" applyFont="1" applyBorder="1"/>
    <xf numFmtId="165" fontId="10" fillId="0" borderId="0" xfId="0" applyNumberFormat="1" applyFont="1"/>
    <xf numFmtId="0" fontId="12" fillId="0" borderId="0" xfId="0" applyFont="1" applyAlignment="1">
      <alignment horizontal="right"/>
    </xf>
    <xf numFmtId="0" fontId="18" fillId="0" borderId="0" xfId="0" applyFont="1"/>
    <xf numFmtId="0" fontId="16" fillId="0" borderId="0" xfId="3" applyFont="1" applyAlignment="1">
      <alignment wrapText="1"/>
    </xf>
    <xf numFmtId="0" fontId="16" fillId="0" borderId="0" xfId="3" applyFont="1" applyAlignment="1">
      <alignment horizontal="left" vertical="top" wrapText="1"/>
    </xf>
    <xf numFmtId="0" fontId="16" fillId="0" borderId="0" xfId="3" applyFont="1" applyAlignment="1">
      <alignment horizontal="left" wrapText="1"/>
    </xf>
    <xf numFmtId="0" fontId="6" fillId="0" borderId="0" xfId="3" applyFont="1" applyAlignment="1">
      <alignment horizontal="center"/>
    </xf>
    <xf numFmtId="0" fontId="5" fillId="0" borderId="0" xfId="3" applyFont="1" applyAlignment="1">
      <alignment horizontal="left"/>
    </xf>
    <xf numFmtId="0" fontId="9" fillId="0" borderId="0" xfId="2" applyFont="1" applyFill="1" applyBorder="1" applyAlignment="1">
      <alignment horizontal="left"/>
    </xf>
    <xf numFmtId="0" fontId="13" fillId="0" borderId="0" xfId="0" applyFont="1"/>
    <xf numFmtId="0" fontId="10" fillId="0" borderId="8" xfId="0" applyFont="1" applyBorder="1" applyAlignment="1">
      <alignment horizontal="left"/>
    </xf>
    <xf numFmtId="0" fontId="13" fillId="0" borderId="9" xfId="0" applyFont="1" applyBorder="1"/>
    <xf numFmtId="0" fontId="13" fillId="0" borderId="7" xfId="0" applyFont="1" applyBorder="1"/>
    <xf numFmtId="0" fontId="13" fillId="0" borderId="10" xfId="0" applyFont="1" applyBorder="1"/>
    <xf numFmtId="37" fontId="10" fillId="0" borderId="0" xfId="8" applyNumberFormat="1" applyFont="1" applyBorder="1"/>
    <xf numFmtId="37" fontId="10" fillId="0" borderId="7" xfId="8" applyNumberFormat="1" applyFont="1" applyBorder="1"/>
    <xf numFmtId="0" fontId="8" fillId="0" borderId="6" xfId="0" applyFont="1" applyBorder="1" applyAlignment="1">
      <alignment wrapText="1"/>
    </xf>
    <xf numFmtId="0" fontId="10" fillId="0" borderId="12" xfId="0" applyFont="1" applyBorder="1"/>
    <xf numFmtId="0" fontId="22" fillId="3" borderId="22" xfId="0" applyFont="1" applyFill="1" applyBorder="1"/>
    <xf numFmtId="0" fontId="22" fillId="3" borderId="22" xfId="0" applyFont="1" applyFill="1" applyBorder="1" applyAlignment="1">
      <alignment horizontal="right"/>
    </xf>
    <xf numFmtId="166" fontId="10" fillId="4" borderId="7" xfId="0" applyNumberFormat="1" applyFont="1" applyFill="1" applyBorder="1"/>
    <xf numFmtId="165" fontId="10" fillId="4" borderId="10" xfId="0" applyNumberFormat="1" applyFont="1" applyFill="1" applyBorder="1"/>
    <xf numFmtId="165" fontId="10" fillId="4" borderId="7" xfId="0" applyNumberFormat="1" applyFont="1" applyFill="1" applyBorder="1"/>
    <xf numFmtId="0" fontId="22" fillId="3" borderId="22" xfId="0" applyFont="1" applyFill="1" applyBorder="1" applyAlignment="1">
      <alignment horizontal="left"/>
    </xf>
    <xf numFmtId="165" fontId="10" fillId="0" borderId="0" xfId="6" applyNumberFormat="1" applyFont="1"/>
    <xf numFmtId="1" fontId="10" fillId="4" borderId="0" xfId="0" applyNumberFormat="1" applyFont="1" applyFill="1"/>
    <xf numFmtId="0" fontId="10" fillId="4" borderId="9" xfId="0" applyFont="1" applyFill="1" applyBorder="1" applyAlignment="1">
      <alignment horizontal="right"/>
    </xf>
    <xf numFmtId="0" fontId="10" fillId="4" borderId="10" xfId="0" applyFont="1" applyFill="1" applyBorder="1" applyAlignment="1">
      <alignment horizontal="right"/>
    </xf>
    <xf numFmtId="39" fontId="10" fillId="0" borderId="7" xfId="8" applyNumberFormat="1" applyFont="1" applyFill="1" applyBorder="1"/>
    <xf numFmtId="39" fontId="10" fillId="0" borderId="10" xfId="8" applyNumberFormat="1" applyFont="1" applyFill="1" applyBorder="1"/>
    <xf numFmtId="0" fontId="22" fillId="3" borderId="14" xfId="0" applyFont="1" applyFill="1" applyBorder="1" applyAlignment="1">
      <alignment horizontal="center"/>
    </xf>
    <xf numFmtId="0" fontId="22" fillId="3" borderId="1" xfId="0" applyFont="1" applyFill="1" applyBorder="1" applyAlignment="1">
      <alignment horizontal="center"/>
    </xf>
    <xf numFmtId="37" fontId="10" fillId="0" borderId="10" xfId="8" applyNumberFormat="1" applyFont="1" applyBorder="1"/>
    <xf numFmtId="37" fontId="12" fillId="0" borderId="0" xfId="8" applyNumberFormat="1" applyFont="1"/>
    <xf numFmtId="9" fontId="10" fillId="4" borderId="10" xfId="7" applyFont="1" applyFill="1" applyBorder="1"/>
    <xf numFmtId="0" fontId="13" fillId="0" borderId="0" xfId="0" applyFont="1" applyAlignment="1">
      <alignment horizontal="left"/>
    </xf>
    <xf numFmtId="0" fontId="13" fillId="0" borderId="9" xfId="0" applyFont="1" applyBorder="1" applyAlignment="1">
      <alignment horizontal="left"/>
    </xf>
    <xf numFmtId="43" fontId="13" fillId="0" borderId="0" xfId="6" applyFont="1" applyBorder="1"/>
    <xf numFmtId="43" fontId="13" fillId="0" borderId="0" xfId="6" applyFont="1" applyBorder="1" applyAlignment="1">
      <alignment horizontal="left"/>
    </xf>
    <xf numFmtId="169" fontId="10" fillId="0" borderId="7" xfId="8" applyNumberFormat="1" applyFont="1" applyBorder="1"/>
    <xf numFmtId="43" fontId="10" fillId="4" borderId="7" xfId="0" applyNumberFormat="1" applyFont="1" applyFill="1" applyBorder="1"/>
    <xf numFmtId="0" fontId="12" fillId="0" borderId="1" xfId="0" applyFont="1" applyBorder="1" applyAlignment="1">
      <alignment horizontal="center"/>
    </xf>
    <xf numFmtId="0" fontId="12" fillId="0" borderId="15" xfId="0" applyFont="1" applyBorder="1" applyAlignment="1">
      <alignment horizontal="center"/>
    </xf>
    <xf numFmtId="169" fontId="10" fillId="4" borderId="7" xfId="8" applyNumberFormat="1" applyFont="1" applyFill="1" applyBorder="1"/>
    <xf numFmtId="170" fontId="10" fillId="0" borderId="0" xfId="6" applyNumberFormat="1" applyFont="1"/>
    <xf numFmtId="2" fontId="10" fillId="0" borderId="0" xfId="0" applyNumberFormat="1" applyFont="1"/>
    <xf numFmtId="165" fontId="10" fillId="0" borderId="0" xfId="5" applyNumberFormat="1" applyFont="1" applyFill="1" applyBorder="1" applyAlignment="1">
      <alignment horizontal="left"/>
    </xf>
    <xf numFmtId="0" fontId="23" fillId="0" borderId="6" xfId="4" applyFont="1" applyBorder="1"/>
    <xf numFmtId="9" fontId="23" fillId="0" borderId="0" xfId="4" quotePrefix="1" applyNumberFormat="1" applyFont="1" applyAlignment="1">
      <alignment horizontal="center"/>
    </xf>
    <xf numFmtId="0" fontId="23" fillId="0" borderId="0" xfId="4" applyFont="1" applyAlignment="1">
      <alignment horizontal="center"/>
    </xf>
    <xf numFmtId="9" fontId="23" fillId="0" borderId="7" xfId="4" quotePrefix="1" applyNumberFormat="1" applyFont="1" applyBorder="1" applyAlignment="1">
      <alignment horizontal="center"/>
    </xf>
    <xf numFmtId="9" fontId="8" fillId="0" borderId="0" xfId="7" applyFont="1" applyFill="1" applyBorder="1"/>
    <xf numFmtId="9" fontId="8" fillId="0" borderId="7" xfId="7" applyFont="1" applyFill="1" applyBorder="1"/>
    <xf numFmtId="37" fontId="8" fillId="0" borderId="0" xfId="8" applyNumberFormat="1" applyFont="1" applyFill="1" applyBorder="1"/>
    <xf numFmtId="37" fontId="8" fillId="0" borderId="7" xfId="8" applyNumberFormat="1" applyFont="1" applyFill="1" applyBorder="1"/>
    <xf numFmtId="39" fontId="8" fillId="0" borderId="9" xfId="8" applyNumberFormat="1" applyFont="1" applyFill="1" applyBorder="1"/>
    <xf numFmtId="39" fontId="8" fillId="0" borderId="10" xfId="8" applyNumberFormat="1" applyFont="1" applyFill="1" applyBorder="1"/>
    <xf numFmtId="9" fontId="10" fillId="0" borderId="0" xfId="7" applyFont="1" applyBorder="1"/>
    <xf numFmtId="165" fontId="7" fillId="0" borderId="6" xfId="5" applyNumberFormat="1" applyFont="1" applyFill="1" applyBorder="1" applyAlignment="1">
      <alignment horizontal="right"/>
    </xf>
    <xf numFmtId="165" fontId="7" fillId="0" borderId="0" xfId="5" applyNumberFormat="1" applyFont="1" applyFill="1" applyBorder="1" applyAlignment="1">
      <alignment horizontal="right"/>
    </xf>
    <xf numFmtId="44" fontId="10" fillId="0" borderId="0" xfId="8" applyFont="1" applyBorder="1"/>
    <xf numFmtId="0" fontId="21" fillId="0" borderId="0" xfId="0" applyFont="1"/>
    <xf numFmtId="165" fontId="7" fillId="0" borderId="18" xfId="5" applyNumberFormat="1" applyFont="1" applyFill="1" applyBorder="1" applyAlignment="1">
      <alignment horizontal="left"/>
    </xf>
    <xf numFmtId="165" fontId="7" fillId="0" borderId="5" xfId="5" applyNumberFormat="1" applyFont="1" applyFill="1" applyBorder="1" applyAlignment="1">
      <alignment horizontal="left"/>
    </xf>
    <xf numFmtId="165" fontId="7" fillId="0" borderId="5" xfId="5" applyNumberFormat="1" applyFont="1" applyFill="1" applyBorder="1" applyAlignment="1">
      <alignment horizontal="right"/>
    </xf>
    <xf numFmtId="165" fontId="7" fillId="0" borderId="5" xfId="5" applyNumberFormat="1" applyFont="1" applyFill="1" applyBorder="1" applyAlignment="1">
      <alignment horizontal="right" wrapText="1"/>
    </xf>
    <xf numFmtId="165" fontId="7" fillId="0" borderId="19" xfId="5" applyNumberFormat="1" applyFont="1" applyFill="1" applyBorder="1" applyAlignment="1">
      <alignment horizontal="right"/>
    </xf>
    <xf numFmtId="9" fontId="23" fillId="0" borderId="5" xfId="4" quotePrefix="1" applyNumberFormat="1" applyFont="1" applyBorder="1" applyAlignment="1">
      <alignment horizontal="center"/>
    </xf>
    <xf numFmtId="0" fontId="23" fillId="0" borderId="5" xfId="4" applyFont="1" applyBorder="1" applyAlignment="1">
      <alignment horizontal="center"/>
    </xf>
    <xf numFmtId="43" fontId="12" fillId="0" borderId="0" xfId="5" applyFont="1" applyFill="1" applyBorder="1" applyAlignment="1">
      <alignment horizontal="center"/>
    </xf>
    <xf numFmtId="165" fontId="7" fillId="0" borderId="0" xfId="5" applyNumberFormat="1" applyFont="1" applyFill="1" applyBorder="1"/>
    <xf numFmtId="0" fontId="5" fillId="0" borderId="0" xfId="0" applyFont="1"/>
    <xf numFmtId="0" fontId="10" fillId="0" borderId="0" xfId="0" applyFont="1" applyAlignment="1">
      <alignment wrapText="1"/>
    </xf>
    <xf numFmtId="0" fontId="10" fillId="0" borderId="0" xfId="0" applyFont="1" applyAlignment="1">
      <alignment horizontal="left" vertical="top" wrapText="1"/>
    </xf>
    <xf numFmtId="0" fontId="27" fillId="0" borderId="5" xfId="0" applyFont="1" applyBorder="1"/>
    <xf numFmtId="0" fontId="27" fillId="0" borderId="5" xfId="0" applyFont="1" applyBorder="1" applyAlignment="1">
      <alignment horizontal="center"/>
    </xf>
    <xf numFmtId="165" fontId="26" fillId="0" borderId="0" xfId="5" applyNumberFormat="1" applyFont="1" applyFill="1" applyBorder="1" applyAlignment="1">
      <alignment horizontal="center"/>
    </xf>
    <xf numFmtId="165" fontId="28" fillId="0" borderId="0" xfId="5" applyNumberFormat="1" applyFont="1" applyFill="1" applyBorder="1" applyAlignment="1">
      <alignment horizontal="left"/>
    </xf>
    <xf numFmtId="165" fontId="26" fillId="0" borderId="6" xfId="5" applyNumberFormat="1" applyFont="1" applyFill="1" applyBorder="1" applyAlignment="1">
      <alignment horizontal="center"/>
    </xf>
    <xf numFmtId="165" fontId="26" fillId="0" borderId="7" xfId="5" applyNumberFormat="1" applyFont="1" applyFill="1" applyBorder="1" applyAlignment="1">
      <alignment horizontal="center"/>
    </xf>
    <xf numFmtId="165" fontId="12" fillId="0" borderId="6" xfId="5" applyNumberFormat="1" applyFont="1" applyFill="1" applyBorder="1" applyAlignment="1">
      <alignment horizontal="right" vertical="top"/>
    </xf>
    <xf numFmtId="165" fontId="7" fillId="0" borderId="18" xfId="5" applyNumberFormat="1" applyFont="1" applyFill="1" applyBorder="1"/>
    <xf numFmtId="165" fontId="7" fillId="0" borderId="8" xfId="5" applyNumberFormat="1" applyFont="1" applyFill="1" applyBorder="1" applyAlignment="1">
      <alignment horizontal="right"/>
    </xf>
    <xf numFmtId="165" fontId="7" fillId="0" borderId="9" xfId="5" applyNumberFormat="1" applyFont="1" applyFill="1" applyBorder="1" applyAlignment="1">
      <alignment horizontal="right"/>
    </xf>
    <xf numFmtId="165" fontId="12" fillId="0" borderId="9" xfId="5" applyNumberFormat="1" applyFont="1" applyFill="1" applyBorder="1"/>
    <xf numFmtId="165" fontId="12" fillId="0" borderId="10" xfId="5" applyNumberFormat="1" applyFont="1" applyFill="1" applyBorder="1"/>
    <xf numFmtId="0" fontId="23" fillId="0" borderId="18" xfId="4" applyFont="1" applyBorder="1"/>
    <xf numFmtId="9" fontId="23" fillId="0" borderId="19" xfId="4" quotePrefix="1" applyNumberFormat="1" applyFont="1" applyBorder="1" applyAlignment="1">
      <alignment horizontal="center"/>
    </xf>
    <xf numFmtId="0" fontId="8" fillId="0" borderId="6" xfId="4" applyFont="1" applyBorder="1"/>
    <xf numFmtId="0" fontId="8" fillId="0" borderId="8" xfId="4" applyFont="1" applyBorder="1"/>
    <xf numFmtId="165" fontId="23" fillId="0" borderId="0" xfId="5" applyNumberFormat="1" applyFont="1" applyFill="1" applyBorder="1"/>
    <xf numFmtId="0" fontId="29" fillId="0" borderId="5" xfId="0" applyFont="1" applyBorder="1"/>
    <xf numFmtId="44" fontId="28" fillId="0" borderId="0" xfId="8" applyFont="1" applyBorder="1"/>
    <xf numFmtId="0" fontId="8" fillId="0" borderId="0" xfId="4" applyFont="1"/>
    <xf numFmtId="165" fontId="23" fillId="0" borderId="0" xfId="5" applyNumberFormat="1" applyFont="1" applyFill="1" applyBorder="1" applyAlignment="1">
      <alignment horizontal="right"/>
    </xf>
    <xf numFmtId="165" fontId="23" fillId="0" borderId="6" xfId="5" applyNumberFormat="1" applyFont="1" applyFill="1" applyBorder="1" applyAlignment="1">
      <alignment horizontal="right"/>
    </xf>
    <xf numFmtId="165" fontId="10" fillId="0" borderId="7" xfId="6" applyNumberFormat="1" applyFont="1" applyFill="1" applyBorder="1"/>
    <xf numFmtId="165" fontId="10" fillId="0" borderId="10" xfId="6" applyNumberFormat="1" applyFont="1" applyFill="1" applyBorder="1"/>
    <xf numFmtId="165" fontId="11" fillId="0" borderId="0" xfId="5" applyNumberFormat="1" applyFont="1" applyFill="1" applyBorder="1" applyAlignment="1">
      <alignment horizontal="right"/>
    </xf>
    <xf numFmtId="165" fontId="11" fillId="0" borderId="7" xfId="5" applyNumberFormat="1" applyFont="1" applyFill="1" applyBorder="1" applyAlignment="1">
      <alignment horizontal="right"/>
    </xf>
    <xf numFmtId="165" fontId="11" fillId="0" borderId="6" xfId="5" applyNumberFormat="1" applyFont="1" applyFill="1" applyBorder="1" applyAlignment="1">
      <alignment horizontal="left"/>
    </xf>
    <xf numFmtId="165" fontId="11" fillId="0" borderId="0" xfId="5" applyNumberFormat="1" applyFont="1" applyFill="1" applyBorder="1" applyAlignment="1">
      <alignment horizontal="left"/>
    </xf>
    <xf numFmtId="165" fontId="11" fillId="0" borderId="0" xfId="5" applyNumberFormat="1" applyFont="1" applyFill="1" applyBorder="1" applyAlignment="1">
      <alignment horizontal="right" wrapText="1"/>
    </xf>
    <xf numFmtId="165" fontId="11" fillId="0" borderId="0" xfId="5" applyNumberFormat="1" applyFont="1" applyFill="1" applyBorder="1" applyAlignment="1">
      <alignment horizontal="left" wrapText="1"/>
    </xf>
    <xf numFmtId="165" fontId="11" fillId="0" borderId="0" xfId="5" applyNumberFormat="1" applyFont="1" applyFill="1" applyBorder="1" applyAlignment="1">
      <alignment horizontal="center" wrapText="1"/>
    </xf>
    <xf numFmtId="43" fontId="30" fillId="0" borderId="0" xfId="5" applyFont="1" applyFill="1" applyBorder="1" applyAlignment="1">
      <alignment horizontal="center"/>
    </xf>
    <xf numFmtId="165" fontId="31" fillId="0" borderId="0" xfId="5" applyNumberFormat="1" applyFont="1" applyFill="1" applyBorder="1" applyAlignment="1">
      <alignment horizontal="left"/>
    </xf>
    <xf numFmtId="165" fontId="31" fillId="0" borderId="0" xfId="5" applyNumberFormat="1" applyFont="1" applyFill="1" applyBorder="1" applyAlignment="1">
      <alignment horizontal="center"/>
    </xf>
    <xf numFmtId="165" fontId="10" fillId="0" borderId="1" xfId="5" applyNumberFormat="1" applyFont="1" applyFill="1" applyBorder="1"/>
    <xf numFmtId="165" fontId="11" fillId="0" borderId="6" xfId="5" applyNumberFormat="1" applyFont="1" applyFill="1" applyBorder="1" applyAlignment="1">
      <alignment horizontal="left" wrapText="1"/>
    </xf>
    <xf numFmtId="165" fontId="23" fillId="0" borderId="8" xfId="5" applyNumberFormat="1" applyFont="1" applyFill="1" applyBorder="1" applyAlignment="1">
      <alignment horizontal="right"/>
    </xf>
    <xf numFmtId="165" fontId="23" fillId="0" borderId="9" xfId="5" applyNumberFormat="1" applyFont="1" applyFill="1" applyBorder="1" applyAlignment="1">
      <alignment horizontal="right"/>
    </xf>
    <xf numFmtId="165" fontId="31" fillId="0" borderId="6" xfId="5" applyNumberFormat="1" applyFont="1" applyFill="1" applyBorder="1"/>
    <xf numFmtId="165" fontId="13" fillId="0" borderId="11" xfId="5" applyNumberFormat="1" applyFont="1" applyFill="1" applyBorder="1" applyAlignment="1">
      <alignment horizontal="left"/>
    </xf>
    <xf numFmtId="165" fontId="10" fillId="0" borderId="11" xfId="5" applyNumberFormat="1" applyFont="1" applyFill="1" applyBorder="1" applyAlignment="1">
      <alignment horizontal="left"/>
    </xf>
    <xf numFmtId="0" fontId="33" fillId="3" borderId="3" xfId="0" applyFont="1" applyFill="1" applyBorder="1" applyAlignment="1">
      <alignment horizontal="center"/>
    </xf>
    <xf numFmtId="0" fontId="33" fillId="3" borderId="21" xfId="0" applyFont="1" applyFill="1" applyBorder="1"/>
    <xf numFmtId="165" fontId="30" fillId="0" borderId="5" xfId="5" applyNumberFormat="1" applyFont="1" applyFill="1" applyBorder="1" applyAlignment="1">
      <alignment horizontal="left"/>
    </xf>
    <xf numFmtId="0" fontId="30" fillId="0" borderId="18" xfId="0" applyFont="1" applyBorder="1"/>
    <xf numFmtId="0" fontId="30" fillId="0" borderId="5" xfId="0" applyFont="1" applyBorder="1"/>
    <xf numFmtId="0" fontId="30" fillId="0" borderId="5" xfId="0" applyFont="1" applyBorder="1" applyAlignment="1">
      <alignment horizontal="right"/>
    </xf>
    <xf numFmtId="0" fontId="30" fillId="0" borderId="5" xfId="0" applyFont="1" applyBorder="1" applyAlignment="1">
      <alignment horizontal="right" wrapText="1"/>
    </xf>
    <xf numFmtId="0" fontId="30" fillId="0" borderId="19" xfId="0" applyFont="1" applyBorder="1" applyAlignment="1">
      <alignment horizontal="right"/>
    </xf>
    <xf numFmtId="165" fontId="30" fillId="0" borderId="18" xfId="5" applyNumberFormat="1" applyFont="1" applyFill="1" applyBorder="1" applyAlignment="1">
      <alignment horizontal="left"/>
    </xf>
    <xf numFmtId="165" fontId="30" fillId="0" borderId="19" xfId="5" applyNumberFormat="1" applyFont="1" applyFill="1" applyBorder="1" applyAlignment="1">
      <alignment horizontal="right"/>
    </xf>
    <xf numFmtId="0" fontId="24" fillId="0" borderId="0" xfId="0" applyFont="1"/>
    <xf numFmtId="39" fontId="10" fillId="4" borderId="7" xfId="8" applyNumberFormat="1" applyFont="1" applyFill="1" applyBorder="1" applyProtection="1">
      <protection locked="0"/>
    </xf>
    <xf numFmtId="37" fontId="10" fillId="4" borderId="7" xfId="8" applyNumberFormat="1" applyFont="1" applyFill="1" applyBorder="1" applyProtection="1">
      <protection locked="0"/>
    </xf>
    <xf numFmtId="10" fontId="10" fillId="4" borderId="7" xfId="8" applyNumberFormat="1" applyFont="1" applyFill="1" applyBorder="1" applyProtection="1">
      <protection locked="0"/>
    </xf>
    <xf numFmtId="9" fontId="10" fillId="4" borderId="7" xfId="7" applyFont="1" applyFill="1" applyBorder="1" applyProtection="1">
      <protection locked="0"/>
    </xf>
    <xf numFmtId="0" fontId="10" fillId="4" borderId="7" xfId="0" applyFont="1" applyFill="1" applyBorder="1" applyAlignment="1" applyProtection="1">
      <alignment horizontal="center"/>
      <protection locked="0"/>
    </xf>
    <xf numFmtId="165" fontId="10" fillId="4" borderId="7" xfId="6" applyNumberFormat="1" applyFont="1" applyFill="1" applyBorder="1" applyProtection="1">
      <protection locked="0"/>
    </xf>
    <xf numFmtId="43" fontId="10" fillId="4" borderId="7" xfId="6" applyFont="1" applyFill="1" applyBorder="1" applyProtection="1">
      <protection locked="0"/>
    </xf>
    <xf numFmtId="43" fontId="10" fillId="4" borderId="10" xfId="6" applyFont="1" applyFill="1" applyBorder="1" applyProtection="1">
      <protection locked="0"/>
    </xf>
    <xf numFmtId="0" fontId="10" fillId="4" borderId="7" xfId="0" applyFont="1" applyFill="1" applyBorder="1" applyProtection="1">
      <protection locked="0"/>
    </xf>
    <xf numFmtId="0" fontId="10" fillId="4" borderId="10" xfId="0" applyFont="1" applyFill="1" applyBorder="1" applyProtection="1">
      <protection locked="0"/>
    </xf>
    <xf numFmtId="165" fontId="10" fillId="4" borderId="0" xfId="6" applyNumberFormat="1" applyFont="1" applyFill="1" applyBorder="1" applyProtection="1">
      <protection locked="0"/>
    </xf>
    <xf numFmtId="43" fontId="10" fillId="4" borderId="0" xfId="6" applyFont="1" applyFill="1" applyBorder="1" applyProtection="1">
      <protection locked="0"/>
    </xf>
    <xf numFmtId="9" fontId="10" fillId="4" borderId="0" xfId="7" applyFont="1" applyFill="1" applyBorder="1" applyProtection="1">
      <protection locked="0"/>
    </xf>
    <xf numFmtId="9" fontId="10" fillId="4" borderId="0" xfId="7" quotePrefix="1" applyFont="1" applyFill="1" applyBorder="1" applyProtection="1">
      <protection locked="0"/>
    </xf>
    <xf numFmtId="39" fontId="10" fillId="4" borderId="0" xfId="8" applyNumberFormat="1" applyFont="1" applyFill="1" applyBorder="1" applyProtection="1">
      <protection locked="0"/>
    </xf>
    <xf numFmtId="37" fontId="10" fillId="4" borderId="0" xfId="8" applyNumberFormat="1" applyFont="1" applyFill="1" applyBorder="1" applyProtection="1">
      <protection locked="0"/>
    </xf>
    <xf numFmtId="165" fontId="10" fillId="4" borderId="0" xfId="6" applyNumberFormat="1" applyFont="1" applyFill="1" applyBorder="1" applyAlignment="1" applyProtection="1">
      <protection locked="0"/>
    </xf>
    <xf numFmtId="165" fontId="10" fillId="4" borderId="0" xfId="5" applyNumberFormat="1" applyFont="1" applyFill="1" applyBorder="1" applyProtection="1">
      <protection locked="0"/>
    </xf>
    <xf numFmtId="0" fontId="31" fillId="0" borderId="0" xfId="4" applyFont="1"/>
    <xf numFmtId="165" fontId="18" fillId="0" borderId="0" xfId="6" applyNumberFormat="1" applyFont="1" applyFill="1" applyBorder="1" applyAlignment="1"/>
    <xf numFmtId="0" fontId="10" fillId="4" borderId="0" xfId="0" applyFont="1" applyFill="1" applyProtection="1">
      <protection locked="0"/>
    </xf>
    <xf numFmtId="44" fontId="10" fillId="0" borderId="7" xfId="0" applyNumberFormat="1" applyFont="1" applyBorder="1"/>
    <xf numFmtId="0" fontId="16" fillId="0" borderId="0" xfId="0" applyFont="1" applyAlignment="1">
      <alignment wrapText="1"/>
    </xf>
    <xf numFmtId="0" fontId="5" fillId="0" borderId="0" xfId="3" applyFont="1" applyAlignment="1">
      <alignment wrapText="1"/>
    </xf>
    <xf numFmtId="0" fontId="25" fillId="3" borderId="11" xfId="0" applyFont="1" applyFill="1" applyBorder="1" applyAlignment="1">
      <alignment horizontal="center"/>
    </xf>
    <xf numFmtId="0" fontId="25" fillId="3" borderId="12" xfId="0" applyFont="1" applyFill="1" applyBorder="1" applyAlignment="1">
      <alignment horizontal="center"/>
    </xf>
    <xf numFmtId="0" fontId="6" fillId="3" borderId="6" xfId="3" applyFont="1" applyFill="1" applyBorder="1" applyAlignment="1">
      <alignment horizontal="center"/>
    </xf>
    <xf numFmtId="0" fontId="6" fillId="3" borderId="0" xfId="3" applyFont="1" applyFill="1" applyAlignment="1">
      <alignment horizontal="center"/>
    </xf>
    <xf numFmtId="0" fontId="5" fillId="0" borderId="0" xfId="3" applyFont="1" applyAlignment="1">
      <alignment horizontal="right"/>
    </xf>
    <xf numFmtId="0" fontId="16" fillId="0" borderId="0" xfId="3" applyFont="1" applyAlignment="1">
      <alignment horizontal="left" wrapText="1"/>
    </xf>
    <xf numFmtId="0" fontId="16" fillId="0" borderId="0" xfId="3" applyFont="1" applyAlignment="1">
      <alignment horizontal="left" vertical="top" wrapText="1"/>
    </xf>
    <xf numFmtId="0" fontId="29" fillId="0" borderId="18" xfId="0" applyFont="1" applyBorder="1" applyAlignment="1">
      <alignment horizontal="center"/>
    </xf>
    <xf numFmtId="0" fontId="29" fillId="0" borderId="5" xfId="0" applyFont="1" applyBorder="1" applyAlignment="1">
      <alignment horizontal="center"/>
    </xf>
    <xf numFmtId="0" fontId="29" fillId="0" borderId="19" xfId="0" applyFont="1" applyBorder="1" applyAlignment="1">
      <alignment horizontal="center"/>
    </xf>
    <xf numFmtId="0" fontId="25" fillId="3" borderId="13" xfId="0" applyFont="1" applyFill="1" applyBorder="1" applyAlignment="1">
      <alignment horizontal="center"/>
    </xf>
    <xf numFmtId="0" fontId="33" fillId="3" borderId="3" xfId="0" applyFont="1" applyFill="1" applyBorder="1" applyAlignment="1">
      <alignment horizontal="center"/>
    </xf>
    <xf numFmtId="0" fontId="33" fillId="3" borderId="21" xfId="0" applyFont="1" applyFill="1" applyBorder="1" applyAlignment="1">
      <alignment horizontal="center"/>
    </xf>
    <xf numFmtId="0" fontId="29" fillId="0" borderId="14" xfId="0" applyFont="1" applyBorder="1" applyAlignment="1">
      <alignment horizontal="center"/>
    </xf>
    <xf numFmtId="0" fontId="29" fillId="0" borderId="1" xfId="0" applyFont="1" applyBorder="1" applyAlignment="1">
      <alignment horizontal="center"/>
    </xf>
    <xf numFmtId="0" fontId="29" fillId="0" borderId="15" xfId="0" applyFont="1" applyBorder="1" applyAlignment="1">
      <alignment horizontal="center"/>
    </xf>
    <xf numFmtId="0" fontId="33" fillId="3" borderId="11" xfId="0" applyFont="1" applyFill="1" applyBorder="1" applyAlignment="1">
      <alignment horizontal="center"/>
    </xf>
    <xf numFmtId="0" fontId="33" fillId="3" borderId="12" xfId="0" applyFont="1" applyFill="1" applyBorder="1" applyAlignment="1">
      <alignment horizontal="center"/>
    </xf>
    <xf numFmtId="0" fontId="33" fillId="3" borderId="13" xfId="0" applyFont="1" applyFill="1" applyBorder="1" applyAlignment="1">
      <alignment horizontal="center"/>
    </xf>
    <xf numFmtId="165" fontId="23" fillId="0" borderId="9" xfId="0" applyNumberFormat="1" applyFont="1" applyBorder="1" applyAlignment="1">
      <alignment horizontal="right"/>
    </xf>
    <xf numFmtId="0" fontId="12" fillId="0" borderId="9" xfId="0" applyFont="1" applyBorder="1" applyAlignment="1">
      <alignment horizontal="right"/>
    </xf>
    <xf numFmtId="43" fontId="5" fillId="0" borderId="9" xfId="4" applyNumberFormat="1" applyFont="1" applyBorder="1" applyAlignment="1">
      <alignment horizontal="left"/>
    </xf>
    <xf numFmtId="43" fontId="5" fillId="0" borderId="10" xfId="4" applyNumberFormat="1" applyFont="1" applyBorder="1" applyAlignment="1">
      <alignment horizontal="left"/>
    </xf>
    <xf numFmtId="39" fontId="10" fillId="0" borderId="0" xfId="8" applyNumberFormat="1" applyFont="1" applyFill="1" applyBorder="1"/>
    <xf numFmtId="39" fontId="10" fillId="0" borderId="9" xfId="8" applyNumberFormat="1" applyFont="1" applyFill="1" applyBorder="1"/>
    <xf numFmtId="165" fontId="26" fillId="3" borderId="11" xfId="5" applyNumberFormat="1" applyFont="1" applyFill="1" applyBorder="1" applyAlignment="1">
      <alignment horizontal="center"/>
    </xf>
    <xf numFmtId="165" fontId="26" fillId="3" borderId="12" xfId="5" applyNumberFormat="1" applyFont="1" applyFill="1" applyBorder="1" applyAlignment="1">
      <alignment horizontal="center"/>
    </xf>
    <xf numFmtId="165" fontId="26" fillId="3" borderId="13" xfId="5" applyNumberFormat="1" applyFont="1" applyFill="1" applyBorder="1" applyAlignment="1">
      <alignment horizontal="center"/>
    </xf>
    <xf numFmtId="0" fontId="7" fillId="0" borderId="0" xfId="4" applyFont="1" applyAlignment="1">
      <alignment horizontal="right"/>
    </xf>
    <xf numFmtId="0" fontId="7" fillId="0" borderId="7" xfId="4" applyFont="1" applyBorder="1" applyAlignment="1">
      <alignment horizontal="right"/>
    </xf>
    <xf numFmtId="165" fontId="7" fillId="0" borderId="0" xfId="5" applyNumberFormat="1" applyFont="1" applyFill="1" applyBorder="1" applyAlignment="1">
      <alignment horizontal="right"/>
    </xf>
    <xf numFmtId="165" fontId="5" fillId="0" borderId="0" xfId="6" applyNumberFormat="1" applyFont="1" applyBorder="1"/>
    <xf numFmtId="43" fontId="5" fillId="0" borderId="0" xfId="4" applyNumberFormat="1" applyFont="1"/>
    <xf numFmtId="0" fontId="5" fillId="0" borderId="7" xfId="4" applyFont="1" applyBorder="1"/>
    <xf numFmtId="165" fontId="7" fillId="0" borderId="6" xfId="5" applyNumberFormat="1" applyFont="1" applyFill="1" applyBorder="1" applyAlignment="1">
      <alignment horizontal="right"/>
    </xf>
    <xf numFmtId="165" fontId="5" fillId="0" borderId="9" xfId="6" applyNumberFormat="1" applyFont="1" applyBorder="1"/>
    <xf numFmtId="2" fontId="5" fillId="0" borderId="9" xfId="4" applyNumberFormat="1" applyFont="1" applyBorder="1"/>
    <xf numFmtId="2" fontId="5" fillId="0" borderId="10" xfId="4" applyNumberFormat="1" applyFont="1" applyBorder="1"/>
    <xf numFmtId="165" fontId="7" fillId="0" borderId="7" xfId="5" applyNumberFormat="1" applyFont="1" applyFill="1" applyBorder="1" applyAlignment="1">
      <alignment horizontal="right"/>
    </xf>
    <xf numFmtId="2" fontId="5" fillId="0" borderId="0" xfId="4" applyNumberFormat="1" applyFont="1"/>
    <xf numFmtId="2" fontId="5" fillId="0" borderId="7" xfId="4" applyNumberFormat="1" applyFont="1" applyBorder="1"/>
    <xf numFmtId="165" fontId="23" fillId="0" borderId="6" xfId="5" applyNumberFormat="1" applyFont="1" applyFill="1" applyBorder="1" applyAlignment="1">
      <alignment horizontal="right"/>
    </xf>
    <xf numFmtId="165" fontId="23" fillId="0" borderId="0" xfId="5" applyNumberFormat="1" applyFont="1" applyFill="1" applyBorder="1" applyAlignment="1">
      <alignment horizontal="right"/>
    </xf>
    <xf numFmtId="43" fontId="10" fillId="0" borderId="0" xfId="5" applyFont="1" applyFill="1" applyBorder="1"/>
    <xf numFmtId="43" fontId="10" fillId="0" borderId="9" xfId="5" applyFont="1" applyFill="1" applyBorder="1"/>
    <xf numFmtId="0" fontId="10" fillId="0" borderId="0" xfId="0" applyFont="1" applyAlignment="1">
      <alignment horizontal="left"/>
    </xf>
    <xf numFmtId="165" fontId="8" fillId="0" borderId="9" xfId="6" applyNumberFormat="1" applyFont="1" applyBorder="1"/>
    <xf numFmtId="2" fontId="8" fillId="0" borderId="9" xfId="4" applyNumberFormat="1" applyFont="1" applyBorder="1"/>
    <xf numFmtId="2" fontId="8" fillId="0" borderId="10" xfId="4" applyNumberFormat="1" applyFont="1" applyBorder="1"/>
    <xf numFmtId="165" fontId="23" fillId="0" borderId="12" xfId="5" applyNumberFormat="1" applyFont="1" applyFill="1" applyBorder="1" applyAlignment="1">
      <alignment horizontal="right"/>
    </xf>
    <xf numFmtId="165" fontId="23" fillId="0" borderId="13" xfId="5" applyNumberFormat="1" applyFont="1" applyFill="1" applyBorder="1" applyAlignment="1">
      <alignment horizontal="right"/>
    </xf>
    <xf numFmtId="165" fontId="8" fillId="0" borderId="0" xfId="6" applyNumberFormat="1" applyFont="1" applyBorder="1"/>
    <xf numFmtId="2" fontId="8" fillId="0" borderId="0" xfId="4" applyNumberFormat="1" applyFont="1"/>
    <xf numFmtId="2" fontId="8" fillId="0" borderId="7" xfId="4" applyNumberFormat="1" applyFont="1" applyBorder="1"/>
    <xf numFmtId="165" fontId="7" fillId="0" borderId="12" xfId="5" applyNumberFormat="1" applyFont="1" applyFill="1" applyBorder="1" applyAlignment="1">
      <alignment horizontal="right"/>
    </xf>
    <xf numFmtId="165" fontId="7" fillId="0" borderId="13" xfId="5" applyNumberFormat="1" applyFont="1" applyFill="1" applyBorder="1" applyAlignment="1">
      <alignment horizontal="right"/>
    </xf>
    <xf numFmtId="0" fontId="12" fillId="5" borderId="11" xfId="0" applyFont="1" applyFill="1" applyBorder="1" applyAlignment="1">
      <alignment horizontal="center"/>
    </xf>
    <xf numFmtId="0" fontId="12" fillId="5" borderId="12" xfId="0" applyFont="1" applyFill="1" applyBorder="1" applyAlignment="1">
      <alignment horizontal="center"/>
    </xf>
    <xf numFmtId="0" fontId="12" fillId="5" borderId="13" xfId="0" applyFont="1" applyFill="1" applyBorder="1" applyAlignment="1">
      <alignment horizontal="center"/>
    </xf>
    <xf numFmtId="0" fontId="12" fillId="6" borderId="4" xfId="0" applyFont="1" applyFill="1" applyBorder="1" applyAlignment="1">
      <alignment horizontal="center"/>
    </xf>
    <xf numFmtId="0" fontId="12" fillId="6" borderId="21" xfId="0" applyFont="1" applyFill="1" applyBorder="1" applyAlignment="1">
      <alignment horizontal="center"/>
    </xf>
    <xf numFmtId="0" fontId="12" fillId="6" borderId="3" xfId="0" applyFont="1" applyFill="1" applyBorder="1" applyAlignment="1">
      <alignment horizontal="center"/>
    </xf>
    <xf numFmtId="0" fontId="12" fillId="0" borderId="0" xfId="0" applyFont="1" applyAlignment="1">
      <alignment horizontal="center"/>
    </xf>
    <xf numFmtId="0" fontId="9" fillId="2" borderId="0" xfId="2" applyFont="1" applyBorder="1" applyAlignment="1">
      <alignment horizontal="center" wrapText="1"/>
    </xf>
  </cellXfs>
  <cellStyles count="9">
    <cellStyle name="Comma" xfId="6" builtinId="3"/>
    <cellStyle name="Comma 2" xfId="5" xr:uid="{922813C1-A3F0-471A-B10A-2F4F35425305}"/>
    <cellStyle name="Currency" xfId="8" builtinId="4"/>
    <cellStyle name="Normal" xfId="0" builtinId="0"/>
    <cellStyle name="Normal 2" xfId="1" xr:uid="{6119C048-0403-44D0-8836-6BBEEC0F799C}"/>
    <cellStyle name="Normal 2 2" xfId="3" xr:uid="{E3FADD63-3B96-423E-93A6-9A77F51BF418}"/>
    <cellStyle name="Normal 3" xfId="4" xr:uid="{A8051FE7-BACF-457C-B580-EDEB95B0C5A3}"/>
    <cellStyle name="Output" xfId="2" builtinId="21"/>
    <cellStyle name="Percent" xfId="7" builtinId="5"/>
  </cellStyles>
  <dxfs count="0"/>
  <tableStyles count="0" defaultTableStyle="TableStyleMedium9" defaultPivotStyle="PivotStyleLight16"/>
  <colors>
    <mruColors>
      <color rgb="FFF1B82D"/>
      <color rgb="FFFF7C80"/>
      <color rgb="FFF154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tiff"/></Relationships>
</file>

<file path=xl/drawings/drawing1.xml><?xml version="1.0" encoding="utf-8"?>
<xdr:wsDr xmlns:xdr="http://schemas.openxmlformats.org/drawingml/2006/spreadsheetDrawing" xmlns:a="http://schemas.openxmlformats.org/drawingml/2006/main">
  <xdr:twoCellAnchor editAs="oneCell">
    <xdr:from>
      <xdr:col>2</xdr:col>
      <xdr:colOff>2943225</xdr:colOff>
      <xdr:row>3</xdr:row>
      <xdr:rowOff>73375</xdr:rowOff>
    </xdr:from>
    <xdr:to>
      <xdr:col>3</xdr:col>
      <xdr:colOff>1644650</xdr:colOff>
      <xdr:row>6</xdr:row>
      <xdr:rowOff>159325</xdr:rowOff>
    </xdr:to>
    <xdr:pic>
      <xdr:nvPicPr>
        <xdr:cNvPr id="2" name="Picture 1">
          <a:extLst>
            <a:ext uri="{FF2B5EF4-FFF2-40B4-BE49-F238E27FC236}">
              <a16:creationId xmlns:a16="http://schemas.microsoft.com/office/drawing/2014/main" id="{377B70F4-1C69-403B-A012-10D7F2D135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67100" y="673450"/>
          <a:ext cx="2295525" cy="720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257175</xdr:colOff>
      <xdr:row>15</xdr:row>
      <xdr:rowOff>0</xdr:rowOff>
    </xdr:from>
    <xdr:to>
      <xdr:col>18</xdr:col>
      <xdr:colOff>76200</xdr:colOff>
      <xdr:row>34</xdr:row>
      <xdr:rowOff>47625</xdr:rowOff>
    </xdr:to>
    <xdr:pic>
      <xdr:nvPicPr>
        <xdr:cNvPr id="2" name="Picture 1">
          <a:extLst>
            <a:ext uri="{FF2B5EF4-FFF2-40B4-BE49-F238E27FC236}">
              <a16:creationId xmlns:a16="http://schemas.microsoft.com/office/drawing/2014/main" id="{7E60DCA2-F64F-4DB2-BDF9-C9530A2E03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39475" y="3238500"/>
          <a:ext cx="7772400" cy="42100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ailmissouri-my.sharepoint.com/Users/milhollinr/Box%20Sync/Crops/Industrial%20Hemp%20-%20MASBDA%20-%202019/Resources%20-%20Proprietary/Budgets/2020%20Industrial%20Hemp%20Budget%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vity list"/>
      <sheetName val="Introduction"/>
      <sheetName val="Hemp for Fiber"/>
      <sheetName val="Hemp for Grain"/>
      <sheetName val="Hemp for Fiber &amp; Grain"/>
      <sheetName val="Hemp for CBD"/>
      <sheetName val="Notes"/>
      <sheetName val="2020 Industrial Hemp Budget FIN"/>
    </sheetNames>
    <sheetDataSet>
      <sheetData sheetId="0">
        <row r="4">
          <cell r="W4" t="str">
            <v>Implement</v>
          </cell>
          <cell r="X4" t="str">
            <v>Cost/unit</v>
          </cell>
          <cell r="Y4" t="str">
            <v>Unit</v>
          </cell>
          <cell r="Z4" t="str">
            <v>Hours/acre</v>
          </cell>
          <cell r="AA4" t="str">
            <v>Something Else</v>
          </cell>
        </row>
        <row r="5">
          <cell r="W5" t="str">
            <v>Moving Large Square Bales</v>
          </cell>
          <cell r="X5">
            <v>0.23</v>
          </cell>
          <cell r="Y5" t="str">
            <v>$/bale/loaded mile</v>
          </cell>
        </row>
        <row r="6">
          <cell r="W6" t="str">
            <v>Hauling Hay</v>
          </cell>
          <cell r="X6">
            <v>55</v>
          </cell>
        </row>
        <row r="7">
          <cell r="W7" t="str">
            <v>Fertilizer application</v>
          </cell>
          <cell r="X7">
            <v>6.75</v>
          </cell>
          <cell r="Y7" t="str">
            <v>acre</v>
          </cell>
        </row>
        <row r="8">
          <cell r="W8" t="str">
            <v>Drying Plant</v>
          </cell>
          <cell r="X8">
            <v>1</v>
          </cell>
        </row>
        <row r="9">
          <cell r="W9" t="str">
            <v>Hauling Grain to bin</v>
          </cell>
          <cell r="X9">
            <v>0.25</v>
          </cell>
          <cell r="Y9" t="str">
            <v>cwt hauled</v>
          </cell>
        </row>
        <row r="10">
          <cell r="W10" t="str">
            <v>Grain Drying</v>
          </cell>
          <cell r="X10">
            <v>0.12</v>
          </cell>
          <cell r="Y10" t="str">
            <v>cwt dried/% moisture</v>
          </cell>
        </row>
        <row r="11">
          <cell r="W11" t="str">
            <v>Hauling grain to market</v>
          </cell>
          <cell r="X11">
            <v>0.45</v>
          </cell>
          <cell r="Y11" t="str">
            <v>cwt hauled</v>
          </cell>
        </row>
        <row r="12">
          <cell r="W12" t="str">
            <v>Hauling hemp for CBD to processor</v>
          </cell>
          <cell r="X12">
            <v>0.2</v>
          </cell>
          <cell r="Y12" t="str">
            <v>$/cwt/loaded mile</v>
          </cell>
        </row>
        <row r="13">
          <cell r="W13" t="str">
            <v>Seed cleaning</v>
          </cell>
          <cell r="X13">
            <v>0.04</v>
          </cell>
          <cell r="Y13" t="str">
            <v>pound cleaned</v>
          </cell>
        </row>
        <row r="14">
          <cell r="W14" t="str">
            <v>Large Square bales</v>
          </cell>
          <cell r="X14">
            <v>17</v>
          </cell>
          <cell r="Y14" t="str">
            <v>one ton bale</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53556-8594-46C1-B065-2ADC97511F0C}">
  <dimension ref="A1:F25"/>
  <sheetViews>
    <sheetView showGridLines="0" tabSelected="1" zoomScaleNormal="100" workbookViewId="0">
      <selection activeCell="C11" sqref="C11:D11"/>
    </sheetView>
  </sheetViews>
  <sheetFormatPr defaultColWidth="0" defaultRowHeight="16.5" zeroHeight="1"/>
  <cols>
    <col min="1" max="1" width="2.3046875" style="1" customWidth="1"/>
    <col min="2" max="2" width="3.765625" style="1" customWidth="1"/>
    <col min="3" max="3" width="41.84375" style="1" customWidth="1"/>
    <col min="4" max="4" width="36.07421875" style="1" customWidth="1"/>
    <col min="5" max="5" width="3.765625" style="1" customWidth="1"/>
    <col min="6" max="6" width="2.3046875" style="1" customWidth="1"/>
    <col min="7" max="16384" width="8.84375" style="1" hidden="1"/>
  </cols>
  <sheetData>
    <row r="1" spans="2:5" ht="17" thickBot="1"/>
    <row r="2" spans="2:5" ht="21">
      <c r="B2" s="224" t="s">
        <v>299</v>
      </c>
      <c r="C2" s="225"/>
      <c r="D2" s="225"/>
      <c r="E2" s="225"/>
    </row>
    <row r="3" spans="2:5" ht="10" customHeight="1">
      <c r="B3" s="80"/>
      <c r="C3" s="80"/>
      <c r="D3" s="80"/>
      <c r="E3" s="80"/>
    </row>
    <row r="4" spans="2:5">
      <c r="B4" s="228" t="s">
        <v>298</v>
      </c>
      <c r="C4" s="228"/>
      <c r="D4" s="228"/>
      <c r="E4" s="59"/>
    </row>
    <row r="5" spans="2:5">
      <c r="C5" s="2" t="s">
        <v>2</v>
      </c>
    </row>
    <row r="6" spans="2:5" ht="17.25" customHeight="1">
      <c r="C6" s="1" t="s">
        <v>186</v>
      </c>
      <c r="D6" s="81"/>
    </row>
    <row r="7" spans="2:5">
      <c r="C7" s="3"/>
    </row>
    <row r="8" spans="2:5" ht="15.75" customHeight="1"/>
    <row r="9" spans="2:5" ht="15.75" customHeight="1">
      <c r="C9" s="229" t="s">
        <v>292</v>
      </c>
      <c r="D9" s="229"/>
      <c r="E9" s="79"/>
    </row>
    <row r="10" spans="2:5" ht="15.75" customHeight="1">
      <c r="C10" s="77"/>
    </row>
    <row r="11" spans="2:5" ht="42" customHeight="1">
      <c r="C11" s="230" t="s">
        <v>272</v>
      </c>
      <c r="D11" s="230"/>
      <c r="E11" s="78"/>
    </row>
    <row r="12" spans="2:5" ht="15.75" customHeight="1">
      <c r="C12" s="78"/>
    </row>
    <row r="13" spans="2:5" ht="100.5" customHeight="1">
      <c r="C13" s="230" t="s">
        <v>300</v>
      </c>
      <c r="D13" s="230"/>
      <c r="E13" s="78"/>
    </row>
    <row r="14" spans="2:5" ht="15.75" customHeight="1"/>
    <row r="15" spans="2:5" ht="68" customHeight="1">
      <c r="C15" s="287" t="s">
        <v>301</v>
      </c>
      <c r="D15" s="287"/>
      <c r="E15" s="82"/>
    </row>
    <row r="16" spans="2:5" ht="15.75" customHeight="1"/>
    <row r="17" spans="2:5" ht="21">
      <c r="B17" s="226"/>
      <c r="C17" s="227"/>
      <c r="D17" s="227"/>
      <c r="E17" s="227"/>
    </row>
    <row r="18" spans="2:5"/>
    <row r="25" spans="2:5" ht="15" hidden="1" customHeight="1">
      <c r="C25" s="223"/>
      <c r="D25" s="223"/>
    </row>
  </sheetData>
  <sheetProtection sheet="1" objects="1" scenarios="1" selectLockedCells="1" selectUnlockedCells="1"/>
  <mergeCells count="8">
    <mergeCell ref="C25:D25"/>
    <mergeCell ref="C15:D15"/>
    <mergeCell ref="B2:E2"/>
    <mergeCell ref="B17:E17"/>
    <mergeCell ref="B4:D4"/>
    <mergeCell ref="C9:D9"/>
    <mergeCell ref="C11:D11"/>
    <mergeCell ref="C13:D13"/>
  </mergeCells>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86F32-2885-4540-8E68-56B053327D08}">
  <dimension ref="A1:U37"/>
  <sheetViews>
    <sheetView zoomScale="80" zoomScaleNormal="80" workbookViewId="0">
      <selection activeCell="G14" sqref="G14:G16"/>
    </sheetView>
  </sheetViews>
  <sheetFormatPr defaultColWidth="0" defaultRowHeight="17.25" customHeight="1" zeroHeight="1"/>
  <cols>
    <col min="1" max="1" width="28.53515625" style="38" bestFit="1" customWidth="1"/>
    <col min="2" max="2" width="14.53515625" style="38" bestFit="1" customWidth="1"/>
    <col min="3" max="3" width="10" style="38" customWidth="1"/>
    <col min="4" max="4" width="3.765625" style="38" customWidth="1"/>
    <col min="5" max="5" width="23.53515625" style="38" customWidth="1"/>
    <col min="6" max="17" width="12.765625" style="38" customWidth="1"/>
    <col min="18" max="18" width="3.765625" style="38" customWidth="1"/>
    <col min="19" max="21" width="0" style="38" hidden="1" customWidth="1"/>
    <col min="22" max="16384" width="8.84375" style="38" hidden="1"/>
  </cols>
  <sheetData>
    <row r="1" spans="1:20" ht="17.5">
      <c r="A1" s="280" t="s">
        <v>244</v>
      </c>
      <c r="B1" s="281"/>
      <c r="C1" s="282"/>
      <c r="D1" s="91"/>
      <c r="E1" s="280" t="s">
        <v>213</v>
      </c>
      <c r="F1" s="281"/>
      <c r="G1" s="282"/>
      <c r="I1" s="280" t="s">
        <v>215</v>
      </c>
      <c r="J1" s="281"/>
      <c r="K1" s="281"/>
      <c r="M1" s="286" t="s">
        <v>275</v>
      </c>
      <c r="N1" s="286"/>
      <c r="O1" s="286"/>
    </row>
    <row r="2" spans="1:20" ht="17.5">
      <c r="A2" s="47" t="s">
        <v>12</v>
      </c>
      <c r="B2" s="47" t="s">
        <v>11</v>
      </c>
      <c r="C2" s="93" t="s">
        <v>13</v>
      </c>
      <c r="E2" s="92" t="s">
        <v>113</v>
      </c>
      <c r="F2" s="97" t="s">
        <v>217</v>
      </c>
      <c r="G2" s="93" t="s">
        <v>180</v>
      </c>
      <c r="I2" s="97" t="s">
        <v>221</v>
      </c>
      <c r="J2" s="97"/>
      <c r="K2" s="97"/>
      <c r="M2" s="38" t="s">
        <v>276</v>
      </c>
      <c r="N2" s="38" t="s">
        <v>277</v>
      </c>
      <c r="O2" s="38" t="s">
        <v>180</v>
      </c>
    </row>
    <row r="3" spans="1:20" ht="17.5">
      <c r="A3" s="39" t="s">
        <v>176</v>
      </c>
      <c r="B3" s="83" t="s">
        <v>190</v>
      </c>
      <c r="C3" s="89">
        <f>'Capital Inputs'!D5+'Capital Inputs'!$D$8</f>
        <v>6940</v>
      </c>
      <c r="D3" s="70"/>
      <c r="E3" s="39" t="s">
        <v>15</v>
      </c>
      <c r="F3" s="112">
        <f>SUM($F$24:$Q$24)/G14/K13</f>
        <v>52507.540672145951</v>
      </c>
      <c r="G3" s="89">
        <f>F3*K4</f>
        <v>5775.8294739360545</v>
      </c>
      <c r="I3" s="39" t="s">
        <v>105</v>
      </c>
      <c r="J3" s="109" t="s">
        <v>212</v>
      </c>
      <c r="K3" s="102">
        <f>'Operating Inputs'!D20</f>
        <v>53.6</v>
      </c>
      <c r="M3" s="38" t="s">
        <v>265</v>
      </c>
      <c r="N3" s="119">
        <f>'RAS Bass'!$D$4*'LMB Utilities'!$B$37/(24*365)</f>
        <v>1.1444588591609588</v>
      </c>
      <c r="O3" s="119">
        <f t="shared" ref="O3" si="0">N3/1.33*24*365*$K$4</f>
        <v>829.173350892857</v>
      </c>
    </row>
    <row r="4" spans="1:20" ht="17.5">
      <c r="A4" s="39" t="s">
        <v>109</v>
      </c>
      <c r="B4" s="83" t="s">
        <v>208</v>
      </c>
      <c r="C4" s="89">
        <f>'Operating Inputs'!D25</f>
        <v>12</v>
      </c>
      <c r="E4" s="39" t="s">
        <v>60</v>
      </c>
      <c r="F4" s="112">
        <f>SUM($F$24:$Q$24)/G15/K14/10</f>
        <v>182.36145112471218</v>
      </c>
      <c r="G4" s="89">
        <f>F4*K7</f>
        <v>2826.6024924330386</v>
      </c>
      <c r="I4" s="39" t="s">
        <v>124</v>
      </c>
      <c r="J4" s="109" t="s">
        <v>220</v>
      </c>
      <c r="K4" s="102">
        <f>'Operating Inputs'!D19</f>
        <v>0.11</v>
      </c>
      <c r="N4" s="119"/>
      <c r="O4" s="119"/>
    </row>
    <row r="5" spans="1:20" ht="18" thickBot="1">
      <c r="A5" s="39" t="s">
        <v>78</v>
      </c>
      <c r="B5" s="83" t="s">
        <v>82</v>
      </c>
      <c r="C5" s="89">
        <f>'Operating Inputs'!G17</f>
        <v>80</v>
      </c>
      <c r="E5" s="68" t="s">
        <v>114</v>
      </c>
      <c r="F5" s="112">
        <f>SUM($F$24:$Q$24)/G16/K15</f>
        <v>2066.7179385841459</v>
      </c>
      <c r="G5" s="106">
        <f>F5*K9</f>
        <v>3823.42818638067</v>
      </c>
      <c r="I5" s="97" t="s">
        <v>222</v>
      </c>
      <c r="J5" s="97"/>
      <c r="K5" s="97"/>
      <c r="N5" s="119"/>
      <c r="O5" s="119"/>
    </row>
    <row r="6" spans="1:20" ht="17.5">
      <c r="A6" s="39" t="s">
        <v>131</v>
      </c>
      <c r="B6" s="83"/>
      <c r="C6" s="40" t="str">
        <f>'Operating Inputs'!D18</f>
        <v>Natural gas</v>
      </c>
      <c r="E6" s="280" t="s">
        <v>214</v>
      </c>
      <c r="F6" s="281"/>
      <c r="G6" s="282"/>
      <c r="I6" s="39" t="s">
        <v>105</v>
      </c>
      <c r="J6" s="109" t="s">
        <v>106</v>
      </c>
      <c r="K6" s="102">
        <f>'Operating Inputs'!D22</f>
        <v>53.6</v>
      </c>
      <c r="N6" s="119"/>
      <c r="O6" s="119"/>
    </row>
    <row r="7" spans="1:20" ht="17.5">
      <c r="A7" s="39" t="s">
        <v>81</v>
      </c>
      <c r="B7" s="83" t="s">
        <v>153</v>
      </c>
      <c r="C7" s="71">
        <v>0.5</v>
      </c>
      <c r="E7" s="92" t="s">
        <v>12</v>
      </c>
      <c r="F7" s="92" t="s">
        <v>121</v>
      </c>
      <c r="G7" s="93" t="s">
        <v>180</v>
      </c>
      <c r="I7" s="39" t="s">
        <v>117</v>
      </c>
      <c r="J7" s="109" t="s">
        <v>219</v>
      </c>
      <c r="K7" s="102">
        <f>'Operating Inputs'!D21</f>
        <v>15.5</v>
      </c>
      <c r="M7" s="286"/>
      <c r="N7" s="286"/>
      <c r="O7" s="286"/>
      <c r="P7" s="70"/>
    </row>
    <row r="8" spans="1:20" ht="17.5">
      <c r="A8" s="39" t="s">
        <v>133</v>
      </c>
      <c r="B8" s="83" t="s">
        <v>134</v>
      </c>
      <c r="C8" s="64">
        <v>0.02</v>
      </c>
      <c r="E8" s="39" t="s">
        <v>118</v>
      </c>
      <c r="F8" s="111" t="str">
        <f>ROUND(B25*B26*24*365/1000,0) &amp; " kWh"</f>
        <v>11622 kWh</v>
      </c>
      <c r="G8" s="89">
        <f>B25*B26*24*365/1000*K4</f>
        <v>1278.4079601990047</v>
      </c>
      <c r="I8" s="97" t="s">
        <v>114</v>
      </c>
      <c r="J8" s="97"/>
      <c r="K8" s="97"/>
    </row>
    <row r="9" spans="1:20" ht="18" thickBot="1">
      <c r="A9" s="39" t="s">
        <v>111</v>
      </c>
      <c r="B9" s="83" t="s">
        <v>209</v>
      </c>
      <c r="C9" s="64">
        <v>0.25</v>
      </c>
      <c r="E9" s="39" t="s">
        <v>119</v>
      </c>
      <c r="F9" s="83" t="str">
        <f>C12 &amp; " hours per day"</f>
        <v>16 hours per day</v>
      </c>
      <c r="G9" s="89">
        <f>C12*C3*C13/1000*K4*365</f>
        <v>5572.8200000000006</v>
      </c>
      <c r="I9" s="68" t="s">
        <v>116</v>
      </c>
      <c r="J9" s="110" t="s">
        <v>218</v>
      </c>
      <c r="K9" s="103">
        <f>'Operating Inputs'!D23</f>
        <v>1.85</v>
      </c>
    </row>
    <row r="10" spans="1:20" ht="18" thickBot="1">
      <c r="A10" s="39" t="s">
        <v>152</v>
      </c>
      <c r="B10" s="83" t="s">
        <v>153</v>
      </c>
      <c r="C10" s="117">
        <v>1</v>
      </c>
      <c r="E10" s="39" t="s">
        <v>80</v>
      </c>
      <c r="F10" s="83" t="str">
        <f>ROUND(B21,0) &amp; " CFM"</f>
        <v>708 CFM</v>
      </c>
      <c r="G10" s="89">
        <f>B21/C16*24*365*K4</f>
        <v>505.47120181405899</v>
      </c>
      <c r="T10" s="44"/>
    </row>
    <row r="11" spans="1:20" ht="18" thickBot="1">
      <c r="A11" s="39" t="s">
        <v>269</v>
      </c>
      <c r="B11" s="83" t="s">
        <v>270</v>
      </c>
      <c r="C11" s="117">
        <v>5</v>
      </c>
      <c r="E11" s="68" t="s">
        <v>120</v>
      </c>
      <c r="F11" s="85" t="str">
        <f>C14 &amp; " kWh"</f>
        <v>2500 kWh</v>
      </c>
      <c r="G11" s="106">
        <f>C14*K4</f>
        <v>275</v>
      </c>
      <c r="I11" s="280" t="s">
        <v>216</v>
      </c>
      <c r="J11" s="281"/>
      <c r="K11" s="282"/>
      <c r="T11" s="72"/>
    </row>
    <row r="12" spans="1:20" ht="18" thickBot="1">
      <c r="A12" s="39" t="s">
        <v>189</v>
      </c>
      <c r="B12" s="83" t="s">
        <v>122</v>
      </c>
      <c r="C12" s="113">
        <f>'Operating Inputs'!D30</f>
        <v>16</v>
      </c>
      <c r="E12" s="283" t="s">
        <v>245</v>
      </c>
      <c r="F12" s="283"/>
      <c r="G12" s="284"/>
      <c r="I12" s="47" t="s">
        <v>113</v>
      </c>
      <c r="J12" s="47" t="s">
        <v>11</v>
      </c>
      <c r="K12" s="93" t="s">
        <v>13</v>
      </c>
    </row>
    <row r="13" spans="1:20" ht="17.5">
      <c r="A13" s="39" t="s">
        <v>125</v>
      </c>
      <c r="B13" s="83" t="s">
        <v>211</v>
      </c>
      <c r="C13" s="94">
        <v>1.25</v>
      </c>
      <c r="E13" s="92" t="s">
        <v>79</v>
      </c>
      <c r="F13" s="92" t="s">
        <v>11</v>
      </c>
      <c r="G13" s="93" t="s">
        <v>123</v>
      </c>
      <c r="I13" s="39" t="s">
        <v>115</v>
      </c>
      <c r="J13" s="83" t="s">
        <v>194</v>
      </c>
      <c r="K13" s="64">
        <v>0.95</v>
      </c>
    </row>
    <row r="14" spans="1:20" ht="17.5">
      <c r="A14" s="39" t="s">
        <v>126</v>
      </c>
      <c r="B14" s="83" t="s">
        <v>127</v>
      </c>
      <c r="C14" s="96">
        <v>2500</v>
      </c>
      <c r="E14" s="39" t="s">
        <v>15</v>
      </c>
      <c r="F14" s="83" t="s">
        <v>103</v>
      </c>
      <c r="G14" s="170">
        <v>3412</v>
      </c>
      <c r="I14" s="39" t="s">
        <v>60</v>
      </c>
      <c r="J14" s="83" t="s">
        <v>194</v>
      </c>
      <c r="K14" s="64">
        <v>0.9</v>
      </c>
    </row>
    <row r="15" spans="1:20" ht="18" thickBot="1">
      <c r="A15" s="39" t="s">
        <v>100</v>
      </c>
      <c r="B15" s="83" t="s">
        <v>65</v>
      </c>
      <c r="C15" s="114">
        <v>0.24</v>
      </c>
      <c r="E15" s="39" t="s">
        <v>60</v>
      </c>
      <c r="F15" s="83" t="s">
        <v>107</v>
      </c>
      <c r="G15" s="170">
        <v>103700</v>
      </c>
      <c r="I15" s="68" t="s">
        <v>114</v>
      </c>
      <c r="J15" s="85" t="s">
        <v>194</v>
      </c>
      <c r="K15" s="108">
        <v>0.9</v>
      </c>
    </row>
    <row r="16" spans="1:20" ht="18" thickBot="1">
      <c r="A16" s="68" t="s">
        <v>128</v>
      </c>
      <c r="B16" s="85" t="s">
        <v>129</v>
      </c>
      <c r="C16" s="95">
        <v>1350</v>
      </c>
      <c r="E16" s="68" t="s">
        <v>116</v>
      </c>
      <c r="F16" s="85" t="s">
        <v>104</v>
      </c>
      <c r="G16" s="171">
        <v>91502</v>
      </c>
    </row>
    <row r="17" spans="1:17" ht="17.5">
      <c r="A17" s="70"/>
      <c r="C17" s="74"/>
      <c r="F17" s="75" t="s">
        <v>130</v>
      </c>
      <c r="G17" s="107">
        <f>IF(C6=E3,G3,IF(C6=E4,G4,G5))+SUM(G8:G11)+K3*12+K6*12</f>
        <v>11744.701654446104</v>
      </c>
    </row>
    <row r="18" spans="1:17" ht="18" thickBot="1">
      <c r="C18" s="74"/>
    </row>
    <row r="19" spans="1:17" ht="18" thickBot="1">
      <c r="A19" s="38" t="s">
        <v>96</v>
      </c>
      <c r="B19" s="98">
        <f>C3*C4</f>
        <v>83280</v>
      </c>
      <c r="E19" s="285" t="s">
        <v>95</v>
      </c>
      <c r="F19" s="283"/>
      <c r="G19" s="283"/>
      <c r="H19" s="283"/>
      <c r="I19" s="283"/>
      <c r="J19" s="283"/>
      <c r="K19" s="283"/>
      <c r="L19" s="283"/>
      <c r="M19" s="283"/>
      <c r="N19" s="283"/>
      <c r="O19" s="283"/>
      <c r="P19" s="283"/>
      <c r="Q19" s="284"/>
    </row>
    <row r="20" spans="1:17" ht="17.5">
      <c r="A20" s="38" t="s">
        <v>97</v>
      </c>
      <c r="B20" s="98">
        <f>B19*24*(C7)/(1-C8)</f>
        <v>1019755.1020408163</v>
      </c>
      <c r="E20" s="39"/>
      <c r="F20" s="115" t="s">
        <v>83</v>
      </c>
      <c r="G20" s="115" t="s">
        <v>84</v>
      </c>
      <c r="H20" s="115" t="s">
        <v>85</v>
      </c>
      <c r="I20" s="115" t="s">
        <v>86</v>
      </c>
      <c r="J20" s="115" t="s">
        <v>87</v>
      </c>
      <c r="K20" s="115" t="s">
        <v>88</v>
      </c>
      <c r="L20" s="115" t="s">
        <v>89</v>
      </c>
      <c r="M20" s="115" t="s">
        <v>90</v>
      </c>
      <c r="N20" s="115" t="s">
        <v>91</v>
      </c>
      <c r="O20" s="115" t="s">
        <v>92</v>
      </c>
      <c r="P20" s="115" t="s">
        <v>93</v>
      </c>
      <c r="Q20" s="116" t="s">
        <v>94</v>
      </c>
    </row>
    <row r="21" spans="1:17" ht="17.5">
      <c r="A21" s="38" t="s">
        <v>110</v>
      </c>
      <c r="B21" s="98">
        <f>B20/24/60</f>
        <v>708.16326530612241</v>
      </c>
      <c r="E21" s="43" t="s">
        <v>98</v>
      </c>
      <c r="F21" s="38">
        <f>'Operating Inputs'!G2</f>
        <v>30</v>
      </c>
      <c r="G21" s="38">
        <f>'Operating Inputs'!G3</f>
        <v>34</v>
      </c>
      <c r="H21" s="38">
        <f>'Operating Inputs'!G4</f>
        <v>44</v>
      </c>
      <c r="I21" s="38">
        <f>'Operating Inputs'!G5</f>
        <v>55</v>
      </c>
      <c r="J21" s="38">
        <f>'Operating Inputs'!G6</f>
        <v>63</v>
      </c>
      <c r="K21" s="38">
        <f>'Operating Inputs'!G7</f>
        <v>73</v>
      </c>
      <c r="L21" s="38">
        <f>'Operating Inputs'!G8</f>
        <v>77</v>
      </c>
      <c r="M21" s="38">
        <f>'Operating Inputs'!G9</f>
        <v>76</v>
      </c>
      <c r="N21" s="38">
        <f>'Operating Inputs'!G10</f>
        <v>67</v>
      </c>
      <c r="O21" s="38">
        <f>'Operating Inputs'!G11</f>
        <v>56</v>
      </c>
      <c r="P21" s="38">
        <f>'Operating Inputs'!G12</f>
        <v>44</v>
      </c>
      <c r="Q21" s="40">
        <f>'Operating Inputs'!G13</f>
        <v>33</v>
      </c>
    </row>
    <row r="22" spans="1:17" ht="17.5">
      <c r="A22" s="38" t="s">
        <v>100</v>
      </c>
      <c r="B22" s="38">
        <f>C15</f>
        <v>0.24</v>
      </c>
      <c r="E22" s="43" t="s">
        <v>102</v>
      </c>
      <c r="F22" s="52">
        <v>31</v>
      </c>
      <c r="G22" s="99">
        <v>28.25</v>
      </c>
      <c r="H22" s="52">
        <v>31</v>
      </c>
      <c r="I22" s="52">
        <v>30</v>
      </c>
      <c r="J22" s="52">
        <v>31</v>
      </c>
      <c r="K22" s="52">
        <v>30</v>
      </c>
      <c r="L22" s="52">
        <v>31</v>
      </c>
      <c r="M22" s="52">
        <v>31</v>
      </c>
      <c r="N22" s="52">
        <v>30</v>
      </c>
      <c r="O22" s="52">
        <v>31</v>
      </c>
      <c r="P22" s="52">
        <v>30</v>
      </c>
      <c r="Q22" s="63">
        <v>31</v>
      </c>
    </row>
    <row r="23" spans="1:17" ht="17.5">
      <c r="A23" s="38" t="s">
        <v>108</v>
      </c>
      <c r="B23" s="74">
        <f>MAX(F24:Q24)/31/24</f>
        <v>39770.448979591834</v>
      </c>
      <c r="E23" s="43" t="s">
        <v>99</v>
      </c>
      <c r="F23" s="38">
        <v>7.8E-2</v>
      </c>
      <c r="G23" s="38">
        <v>7.8E-2</v>
      </c>
      <c r="H23" s="38">
        <v>7.5999999999999998E-2</v>
      </c>
      <c r="I23" s="38">
        <v>7.3999999999999996E-2</v>
      </c>
      <c r="J23" s="38">
        <v>7.2999999999999995E-2</v>
      </c>
      <c r="K23" s="38">
        <v>7.1999999999999995E-2</v>
      </c>
      <c r="L23" s="38">
        <v>7.0999999999999994E-2</v>
      </c>
      <c r="M23" s="38">
        <v>7.0999999999999994E-2</v>
      </c>
      <c r="N23" s="38">
        <v>7.2999999999999995E-2</v>
      </c>
      <c r="O23" s="38">
        <v>7.3999999999999996E-2</v>
      </c>
      <c r="P23" s="38">
        <v>7.5999999999999998E-2</v>
      </c>
      <c r="Q23" s="40">
        <v>7.8E-2</v>
      </c>
    </row>
    <row r="24" spans="1:17" ht="17.5">
      <c r="A24" s="38" t="s">
        <v>112</v>
      </c>
      <c r="B24" s="74">
        <f>B23*(1+C9)</f>
        <v>49713.061224489793</v>
      </c>
      <c r="E24" s="43" t="s">
        <v>101</v>
      </c>
      <c r="F24" s="74">
        <f t="shared" ref="F24:Q24" si="1">IF(F25=$F$28,ABS(($C$5-F21)*$B$22*F23*$B$20*F22),0)</f>
        <v>29589214.040816326</v>
      </c>
      <c r="G24" s="74">
        <f t="shared" si="1"/>
        <v>24807215.2555102</v>
      </c>
      <c r="H24" s="74">
        <f t="shared" si="1"/>
        <v>20757971.696326531</v>
      </c>
      <c r="I24" s="74">
        <f t="shared" si="1"/>
        <v>13583137.959183672</v>
      </c>
      <c r="J24" s="74">
        <f t="shared" si="1"/>
        <v>9415439.6473469399</v>
      </c>
      <c r="K24" s="74">
        <f t="shared" si="1"/>
        <v>3700487.3142857142</v>
      </c>
      <c r="L24" s="74">
        <f t="shared" si="1"/>
        <v>0</v>
      </c>
      <c r="M24" s="74">
        <f t="shared" si="1"/>
        <v>0</v>
      </c>
      <c r="N24" s="74">
        <f t="shared" si="1"/>
        <v>6967782.6612244891</v>
      </c>
      <c r="O24" s="74">
        <f t="shared" si="1"/>
        <v>13474472.855510203</v>
      </c>
      <c r="P24" s="74">
        <f t="shared" si="1"/>
        <v>20088359.706122451</v>
      </c>
      <c r="Q24" s="73">
        <f t="shared" si="1"/>
        <v>27813861.198367346</v>
      </c>
    </row>
    <row r="25" spans="1:17" ht="18" customHeight="1" thickBot="1">
      <c r="A25" s="38" t="s">
        <v>268</v>
      </c>
      <c r="B25" s="118">
        <f>C11*B26/3960/1.34/B26*1000</f>
        <v>0.94225840494497204</v>
      </c>
      <c r="E25" s="45" t="s">
        <v>182</v>
      </c>
      <c r="F25" s="100" t="s">
        <v>183</v>
      </c>
      <c r="G25" s="100" t="s">
        <v>183</v>
      </c>
      <c r="H25" s="100" t="s">
        <v>183</v>
      </c>
      <c r="I25" s="100" t="s">
        <v>183</v>
      </c>
      <c r="J25" s="100" t="s">
        <v>183</v>
      </c>
      <c r="K25" s="100" t="s">
        <v>183</v>
      </c>
      <c r="L25" s="100" t="s">
        <v>184</v>
      </c>
      <c r="M25" s="100" t="s">
        <v>184</v>
      </c>
      <c r="N25" s="100" t="s">
        <v>183</v>
      </c>
      <c r="O25" s="100" t="s">
        <v>183</v>
      </c>
      <c r="P25" s="100" t="s">
        <v>183</v>
      </c>
      <c r="Q25" s="101" t="s">
        <v>183</v>
      </c>
    </row>
    <row r="26" spans="1:17" ht="17.5">
      <c r="A26" s="39" t="s">
        <v>271</v>
      </c>
      <c r="B26" s="38">
        <f>ROUNDUP(C10*'Capital Inputs'!L10/60,0)</f>
        <v>1408</v>
      </c>
      <c r="E26" s="83" t="s">
        <v>210</v>
      </c>
    </row>
    <row r="28" spans="1:17" ht="17.5" hidden="1">
      <c r="F28" s="76" t="s">
        <v>183</v>
      </c>
    </row>
    <row r="29" spans="1:17" ht="17.5" hidden="1">
      <c r="F29" s="76" t="s">
        <v>184</v>
      </c>
    </row>
    <row r="37" spans="1:2" ht="17.5">
      <c r="A37" s="38" t="s">
        <v>274</v>
      </c>
      <c r="B37" s="38">
        <v>0.25</v>
      </c>
    </row>
  </sheetData>
  <mergeCells count="9">
    <mergeCell ref="I11:K11"/>
    <mergeCell ref="E12:G12"/>
    <mergeCell ref="E19:Q19"/>
    <mergeCell ref="A1:C1"/>
    <mergeCell ref="E1:G1"/>
    <mergeCell ref="I1:K1"/>
    <mergeCell ref="M1:O1"/>
    <mergeCell ref="E6:G6"/>
    <mergeCell ref="M7:O7"/>
  </mergeCells>
  <dataValidations disablePrompts="1" count="2">
    <dataValidation type="list" allowBlank="1" showInputMessage="1" showErrorMessage="1" sqref="F25:Q25" xr:uid="{B8CC5B02-F3DB-4CA3-8DC0-B3675EA66D41}">
      <formula1>$F$28:$F$29</formula1>
    </dataValidation>
    <dataValidation type="list" allowBlank="1" showInputMessage="1" showErrorMessage="1" sqref="C6" xr:uid="{EA5B27DE-8A76-42A8-9436-5DB0A394974B}">
      <formula1>$E$3:$E$5</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4A3CC-AB6F-4A48-8574-8B60B84465B9}">
  <dimension ref="A1:U37"/>
  <sheetViews>
    <sheetView zoomScale="80" zoomScaleNormal="80" workbookViewId="0">
      <selection activeCell="N9" sqref="N9"/>
    </sheetView>
  </sheetViews>
  <sheetFormatPr defaultColWidth="0" defaultRowHeight="17.25" customHeight="1" zeroHeight="1"/>
  <cols>
    <col min="1" max="1" width="28.53515625" style="38" bestFit="1" customWidth="1"/>
    <col min="2" max="2" width="14.53515625" style="38" bestFit="1" customWidth="1"/>
    <col min="3" max="3" width="10" style="38" customWidth="1"/>
    <col min="4" max="4" width="3.765625" style="38" customWidth="1"/>
    <col min="5" max="5" width="23.53515625" style="38" customWidth="1"/>
    <col min="6" max="17" width="12.765625" style="38" customWidth="1"/>
    <col min="18" max="18" width="3.765625" style="38" customWidth="1"/>
    <col min="19" max="21" width="0" style="38" hidden="1" customWidth="1"/>
    <col min="22" max="16384" width="8.84375" style="38" hidden="1"/>
  </cols>
  <sheetData>
    <row r="1" spans="1:20" ht="17.5">
      <c r="A1" s="280" t="s">
        <v>244</v>
      </c>
      <c r="B1" s="281"/>
      <c r="C1" s="282"/>
      <c r="D1" s="91"/>
      <c r="E1" s="280" t="s">
        <v>213</v>
      </c>
      <c r="F1" s="281"/>
      <c r="G1" s="282"/>
      <c r="I1" s="280" t="s">
        <v>215</v>
      </c>
      <c r="J1" s="281"/>
      <c r="K1" s="281"/>
      <c r="M1" s="286" t="s">
        <v>275</v>
      </c>
      <c r="N1" s="286"/>
      <c r="O1" s="286"/>
    </row>
    <row r="2" spans="1:20" ht="17.5">
      <c r="A2" s="47" t="s">
        <v>12</v>
      </c>
      <c r="B2" s="47" t="s">
        <v>11</v>
      </c>
      <c r="C2" s="93" t="s">
        <v>13</v>
      </c>
      <c r="E2" s="92" t="s">
        <v>113</v>
      </c>
      <c r="F2" s="97" t="s">
        <v>217</v>
      </c>
      <c r="G2" s="93" t="s">
        <v>180</v>
      </c>
      <c r="I2" s="97" t="s">
        <v>221</v>
      </c>
      <c r="J2" s="97"/>
      <c r="K2" s="97"/>
      <c r="M2" s="38" t="s">
        <v>276</v>
      </c>
      <c r="N2" s="38" t="s">
        <v>277</v>
      </c>
      <c r="O2" s="38" t="s">
        <v>180</v>
      </c>
    </row>
    <row r="3" spans="1:20" ht="17.5">
      <c r="A3" s="39" t="s">
        <v>176</v>
      </c>
      <c r="B3" s="83" t="s">
        <v>190</v>
      </c>
      <c r="C3" s="89">
        <f>'Capital Inputs'!D5+'Capital Inputs'!$D$8</f>
        <v>6940</v>
      </c>
      <c r="D3" s="70"/>
      <c r="E3" s="39" t="s">
        <v>15</v>
      </c>
      <c r="F3" s="112">
        <f>SUM($F$24:$Q$24)/G14/K13</f>
        <v>62837.72843933649</v>
      </c>
      <c r="G3" s="89">
        <f>F3*K4</f>
        <v>6912.1501283270136</v>
      </c>
      <c r="I3" s="39" t="s">
        <v>105</v>
      </c>
      <c r="J3" s="109" t="s">
        <v>212</v>
      </c>
      <c r="K3" s="102">
        <f>'Operating Inputs'!D20</f>
        <v>53.6</v>
      </c>
      <c r="M3" s="38" t="s">
        <v>267</v>
      </c>
      <c r="N3" s="119">
        <f>'RAS Shrimp'!$D$4*'Shrimp Utilities'!$B$37/(24*365)*4</f>
        <v>1.7708994978595891</v>
      </c>
      <c r="O3" s="119">
        <f t="shared" ref="O3" si="0">N3/1.33*24*365*$K$4</f>
        <v>1283.03665875</v>
      </c>
    </row>
    <row r="4" spans="1:20" ht="17.5">
      <c r="A4" s="39" t="s">
        <v>109</v>
      </c>
      <c r="B4" s="83" t="s">
        <v>208</v>
      </c>
      <c r="C4" s="89">
        <f>'Operating Inputs'!D25</f>
        <v>12</v>
      </c>
      <c r="E4" s="39" t="s">
        <v>60</v>
      </c>
      <c r="F4" s="112">
        <f>SUM($F$24:$Q$24)/G15/K14/10</f>
        <v>218.23873670123785</v>
      </c>
      <c r="G4" s="89">
        <f>F4*K7</f>
        <v>3382.7004188691867</v>
      </c>
      <c r="I4" s="39" t="s">
        <v>124</v>
      </c>
      <c r="J4" s="109" t="s">
        <v>220</v>
      </c>
      <c r="K4" s="102">
        <f>'Operating Inputs'!D19</f>
        <v>0.11</v>
      </c>
      <c r="N4" s="119"/>
      <c r="O4" s="119"/>
    </row>
    <row r="5" spans="1:20" ht="18" thickBot="1">
      <c r="A5" s="39" t="s">
        <v>78</v>
      </c>
      <c r="B5" s="83" t="s">
        <v>82</v>
      </c>
      <c r="C5" s="89">
        <f>'Operating Inputs'!G19</f>
        <v>86</v>
      </c>
      <c r="E5" s="68" t="s">
        <v>114</v>
      </c>
      <c r="F5" s="112">
        <f>SUM($F$24:$Q$24)/G16/K15</f>
        <v>2473.3182876787796</v>
      </c>
      <c r="G5" s="106">
        <f>F5*K9</f>
        <v>4575.6388322057428</v>
      </c>
      <c r="I5" s="97" t="s">
        <v>222</v>
      </c>
      <c r="J5" s="97"/>
      <c r="K5" s="97"/>
      <c r="N5" s="119"/>
      <c r="O5" s="119"/>
    </row>
    <row r="6" spans="1:20" ht="17.5">
      <c r="A6" s="39" t="s">
        <v>131</v>
      </c>
      <c r="B6" s="83"/>
      <c r="C6" s="40" t="str">
        <f>'Operating Inputs'!D18</f>
        <v>Natural gas</v>
      </c>
      <c r="E6" s="280" t="s">
        <v>214</v>
      </c>
      <c r="F6" s="281"/>
      <c r="G6" s="282"/>
      <c r="I6" s="39" t="s">
        <v>105</v>
      </c>
      <c r="J6" s="109" t="s">
        <v>106</v>
      </c>
      <c r="K6" s="102">
        <f>'Operating Inputs'!D22</f>
        <v>53.6</v>
      </c>
      <c r="N6" s="119"/>
      <c r="O6" s="119"/>
    </row>
    <row r="7" spans="1:20" ht="17.5">
      <c r="A7" s="39" t="s">
        <v>81</v>
      </c>
      <c r="B7" s="83" t="s">
        <v>153</v>
      </c>
      <c r="C7" s="71">
        <v>0.5</v>
      </c>
      <c r="E7" s="92" t="s">
        <v>12</v>
      </c>
      <c r="F7" s="92" t="s">
        <v>121</v>
      </c>
      <c r="G7" s="93" t="s">
        <v>180</v>
      </c>
      <c r="I7" s="39" t="s">
        <v>117</v>
      </c>
      <c r="J7" s="109" t="s">
        <v>219</v>
      </c>
      <c r="K7" s="102">
        <f>'Operating Inputs'!D21</f>
        <v>15.5</v>
      </c>
      <c r="M7" s="286"/>
      <c r="N7" s="286"/>
      <c r="O7" s="286"/>
      <c r="P7" s="70"/>
    </row>
    <row r="8" spans="1:20" ht="17.5">
      <c r="A8" s="39" t="s">
        <v>133</v>
      </c>
      <c r="B8" s="83" t="s">
        <v>134</v>
      </c>
      <c r="C8" s="64">
        <v>0.02</v>
      </c>
      <c r="E8" s="39" t="s">
        <v>118</v>
      </c>
      <c r="F8" s="111" t="str">
        <f>ROUND(B25*B26*24*365/1000,0) &amp; " kWh"</f>
        <v>11622 kWh</v>
      </c>
      <c r="G8" s="89">
        <f>B25*B26*24*365/1000*K4</f>
        <v>1278.4079601990047</v>
      </c>
      <c r="I8" s="97" t="s">
        <v>114</v>
      </c>
      <c r="J8" s="97"/>
      <c r="K8" s="97"/>
    </row>
    <row r="9" spans="1:20" ht="18" thickBot="1">
      <c r="A9" s="39" t="s">
        <v>111</v>
      </c>
      <c r="B9" s="83" t="s">
        <v>209</v>
      </c>
      <c r="C9" s="64">
        <v>0.25</v>
      </c>
      <c r="E9" s="39" t="s">
        <v>119</v>
      </c>
      <c r="F9" s="83" t="str">
        <f>C12 &amp; " hours per day"</f>
        <v>16 hours per day</v>
      </c>
      <c r="G9" s="89">
        <f>C12*C3*C13/1000*K4*365</f>
        <v>5572.8200000000006</v>
      </c>
      <c r="I9" s="68" t="s">
        <v>116</v>
      </c>
      <c r="J9" s="110" t="s">
        <v>218</v>
      </c>
      <c r="K9" s="103">
        <f>'Operating Inputs'!D23</f>
        <v>1.85</v>
      </c>
    </row>
    <row r="10" spans="1:20" ht="18" thickBot="1">
      <c r="A10" s="39" t="s">
        <v>152</v>
      </c>
      <c r="B10" s="83" t="s">
        <v>153</v>
      </c>
      <c r="C10" s="117">
        <v>1</v>
      </c>
      <c r="E10" s="39" t="s">
        <v>80</v>
      </c>
      <c r="F10" s="83" t="str">
        <f>ROUND(B21,0) &amp; " CFM"</f>
        <v>708 CFM</v>
      </c>
      <c r="G10" s="89">
        <f>B21/C16*24*365*K4</f>
        <v>505.47120181405899</v>
      </c>
      <c r="T10" s="44"/>
    </row>
    <row r="11" spans="1:20" ht="18" thickBot="1">
      <c r="A11" s="39" t="s">
        <v>269</v>
      </c>
      <c r="B11" s="83" t="s">
        <v>270</v>
      </c>
      <c r="C11" s="117">
        <v>5</v>
      </c>
      <c r="E11" s="68" t="s">
        <v>120</v>
      </c>
      <c r="F11" s="85" t="str">
        <f>C14 &amp; " kWh"</f>
        <v>2500 kWh</v>
      </c>
      <c r="G11" s="106">
        <f>C14*K4</f>
        <v>275</v>
      </c>
      <c r="I11" s="280" t="s">
        <v>216</v>
      </c>
      <c r="J11" s="281"/>
      <c r="K11" s="282"/>
      <c r="T11" s="72"/>
    </row>
    <row r="12" spans="1:20" ht="18" thickBot="1">
      <c r="A12" s="39" t="s">
        <v>189</v>
      </c>
      <c r="B12" s="83" t="s">
        <v>122</v>
      </c>
      <c r="C12" s="113">
        <f>'Operating Inputs'!D30</f>
        <v>16</v>
      </c>
      <c r="E12" s="283" t="s">
        <v>245</v>
      </c>
      <c r="F12" s="283"/>
      <c r="G12" s="284"/>
      <c r="I12" s="47" t="s">
        <v>113</v>
      </c>
      <c r="J12" s="47" t="s">
        <v>11</v>
      </c>
      <c r="K12" s="93" t="s">
        <v>13</v>
      </c>
    </row>
    <row r="13" spans="1:20" ht="17.5">
      <c r="A13" s="39" t="s">
        <v>125</v>
      </c>
      <c r="B13" s="83" t="s">
        <v>211</v>
      </c>
      <c r="C13" s="94">
        <v>1.25</v>
      </c>
      <c r="E13" s="92" t="s">
        <v>79</v>
      </c>
      <c r="F13" s="92" t="s">
        <v>11</v>
      </c>
      <c r="G13" s="93" t="s">
        <v>123</v>
      </c>
      <c r="I13" s="39" t="s">
        <v>115</v>
      </c>
      <c r="J13" s="83" t="s">
        <v>194</v>
      </c>
      <c r="K13" s="64">
        <v>0.95</v>
      </c>
    </row>
    <row r="14" spans="1:20" ht="17.5">
      <c r="A14" s="39" t="s">
        <v>126</v>
      </c>
      <c r="B14" s="83" t="s">
        <v>127</v>
      </c>
      <c r="C14" s="96">
        <v>2500</v>
      </c>
      <c r="E14" s="39" t="s">
        <v>15</v>
      </c>
      <c r="F14" s="83" t="s">
        <v>103</v>
      </c>
      <c r="G14" s="170">
        <v>3412</v>
      </c>
      <c r="I14" s="39" t="s">
        <v>60</v>
      </c>
      <c r="J14" s="83" t="s">
        <v>194</v>
      </c>
      <c r="K14" s="64">
        <v>0.9</v>
      </c>
    </row>
    <row r="15" spans="1:20" ht="18" thickBot="1">
      <c r="A15" s="39" t="s">
        <v>100</v>
      </c>
      <c r="B15" s="83" t="s">
        <v>65</v>
      </c>
      <c r="C15" s="114">
        <v>0.24</v>
      </c>
      <c r="E15" s="39" t="s">
        <v>60</v>
      </c>
      <c r="F15" s="83" t="s">
        <v>107</v>
      </c>
      <c r="G15" s="170">
        <v>103700</v>
      </c>
      <c r="I15" s="68" t="s">
        <v>114</v>
      </c>
      <c r="J15" s="85" t="s">
        <v>194</v>
      </c>
      <c r="K15" s="108">
        <v>0.9</v>
      </c>
    </row>
    <row r="16" spans="1:20" ht="18" thickBot="1">
      <c r="A16" s="68" t="s">
        <v>128</v>
      </c>
      <c r="B16" s="85" t="s">
        <v>129</v>
      </c>
      <c r="C16" s="95">
        <v>1350</v>
      </c>
      <c r="E16" s="68" t="s">
        <v>116</v>
      </c>
      <c r="F16" s="85" t="s">
        <v>104</v>
      </c>
      <c r="G16" s="171">
        <v>91502</v>
      </c>
    </row>
    <row r="17" spans="1:17" ht="17.5">
      <c r="A17" s="70"/>
      <c r="C17" s="74"/>
      <c r="F17" s="75" t="s">
        <v>130</v>
      </c>
      <c r="G17" s="107">
        <f>IF(C6=E3,G3,IF(C6=E4,G4,G5))+SUM(G8:G11)+K3*12+K6*12</f>
        <v>12300.799580882252</v>
      </c>
    </row>
    <row r="18" spans="1:17" ht="18" thickBot="1">
      <c r="C18" s="74"/>
    </row>
    <row r="19" spans="1:17" ht="18" thickBot="1">
      <c r="A19" s="38" t="s">
        <v>96</v>
      </c>
      <c r="B19" s="98">
        <f>C3*C4</f>
        <v>83280</v>
      </c>
      <c r="E19" s="285" t="s">
        <v>95</v>
      </c>
      <c r="F19" s="283"/>
      <c r="G19" s="283"/>
      <c r="H19" s="283"/>
      <c r="I19" s="283"/>
      <c r="J19" s="283"/>
      <c r="K19" s="283"/>
      <c r="L19" s="283"/>
      <c r="M19" s="283"/>
      <c r="N19" s="283"/>
      <c r="O19" s="283"/>
      <c r="P19" s="283"/>
      <c r="Q19" s="284"/>
    </row>
    <row r="20" spans="1:17" ht="17.5">
      <c r="A20" s="38" t="s">
        <v>97</v>
      </c>
      <c r="B20" s="98">
        <f>B19*24*(C7)/(1-C8)</f>
        <v>1019755.1020408163</v>
      </c>
      <c r="E20" s="39"/>
      <c r="F20" s="115" t="s">
        <v>83</v>
      </c>
      <c r="G20" s="115" t="s">
        <v>84</v>
      </c>
      <c r="H20" s="115" t="s">
        <v>85</v>
      </c>
      <c r="I20" s="115" t="s">
        <v>86</v>
      </c>
      <c r="J20" s="115" t="s">
        <v>87</v>
      </c>
      <c r="K20" s="115" t="s">
        <v>88</v>
      </c>
      <c r="L20" s="115" t="s">
        <v>89</v>
      </c>
      <c r="M20" s="115" t="s">
        <v>90</v>
      </c>
      <c r="N20" s="115" t="s">
        <v>91</v>
      </c>
      <c r="O20" s="115" t="s">
        <v>92</v>
      </c>
      <c r="P20" s="115" t="s">
        <v>93</v>
      </c>
      <c r="Q20" s="116" t="s">
        <v>94</v>
      </c>
    </row>
    <row r="21" spans="1:17" ht="17.5">
      <c r="A21" s="38" t="s">
        <v>110</v>
      </c>
      <c r="B21" s="98">
        <f>B20/24/60</f>
        <v>708.16326530612241</v>
      </c>
      <c r="E21" s="43" t="s">
        <v>98</v>
      </c>
      <c r="F21" s="38">
        <f>'Operating Inputs'!G2</f>
        <v>30</v>
      </c>
      <c r="G21" s="38">
        <f>'Operating Inputs'!G3</f>
        <v>34</v>
      </c>
      <c r="H21" s="38">
        <f>'Operating Inputs'!G4</f>
        <v>44</v>
      </c>
      <c r="I21" s="38">
        <f>'Operating Inputs'!G5</f>
        <v>55</v>
      </c>
      <c r="J21" s="38">
        <f>'Operating Inputs'!G6</f>
        <v>63</v>
      </c>
      <c r="K21" s="38">
        <f>'Operating Inputs'!G7</f>
        <v>73</v>
      </c>
      <c r="L21" s="38">
        <f>'Operating Inputs'!G8</f>
        <v>77</v>
      </c>
      <c r="M21" s="38">
        <f>'Operating Inputs'!G9</f>
        <v>76</v>
      </c>
      <c r="N21" s="38">
        <f>'Operating Inputs'!G10</f>
        <v>67</v>
      </c>
      <c r="O21" s="38">
        <f>'Operating Inputs'!G11</f>
        <v>56</v>
      </c>
      <c r="P21" s="38">
        <f>'Operating Inputs'!G12</f>
        <v>44</v>
      </c>
      <c r="Q21" s="40">
        <f>'Operating Inputs'!G13</f>
        <v>33</v>
      </c>
    </row>
    <row r="22" spans="1:17" ht="17.5">
      <c r="A22" s="38" t="s">
        <v>100</v>
      </c>
      <c r="B22" s="38">
        <f>C15</f>
        <v>0.24</v>
      </c>
      <c r="E22" s="43" t="s">
        <v>102</v>
      </c>
      <c r="F22" s="52">
        <v>31</v>
      </c>
      <c r="G22" s="99">
        <v>28.25</v>
      </c>
      <c r="H22" s="52">
        <v>31</v>
      </c>
      <c r="I22" s="52">
        <v>30</v>
      </c>
      <c r="J22" s="52">
        <v>31</v>
      </c>
      <c r="K22" s="52">
        <v>30</v>
      </c>
      <c r="L22" s="52">
        <v>31</v>
      </c>
      <c r="M22" s="52">
        <v>31</v>
      </c>
      <c r="N22" s="52">
        <v>30</v>
      </c>
      <c r="O22" s="52">
        <v>31</v>
      </c>
      <c r="P22" s="52">
        <v>30</v>
      </c>
      <c r="Q22" s="63">
        <v>31</v>
      </c>
    </row>
    <row r="23" spans="1:17" ht="17.5">
      <c r="A23" s="38" t="s">
        <v>108</v>
      </c>
      <c r="B23" s="74">
        <f>MAX(F24:Q24)/31/24</f>
        <v>44542.90285714285</v>
      </c>
      <c r="E23" s="43" t="s">
        <v>99</v>
      </c>
      <c r="F23" s="38">
        <v>7.8E-2</v>
      </c>
      <c r="G23" s="38">
        <v>7.8E-2</v>
      </c>
      <c r="H23" s="38">
        <v>7.5999999999999998E-2</v>
      </c>
      <c r="I23" s="38">
        <v>7.3999999999999996E-2</v>
      </c>
      <c r="J23" s="38">
        <v>7.2999999999999995E-2</v>
      </c>
      <c r="K23" s="38">
        <v>7.1999999999999995E-2</v>
      </c>
      <c r="L23" s="38">
        <v>7.0999999999999994E-2</v>
      </c>
      <c r="M23" s="38">
        <v>7.0999999999999994E-2</v>
      </c>
      <c r="N23" s="38">
        <v>7.2999999999999995E-2</v>
      </c>
      <c r="O23" s="38">
        <v>7.3999999999999996E-2</v>
      </c>
      <c r="P23" s="38">
        <v>7.5999999999999998E-2</v>
      </c>
      <c r="Q23" s="40">
        <v>7.8E-2</v>
      </c>
    </row>
    <row r="24" spans="1:17" ht="17.5">
      <c r="A24" s="38" t="s">
        <v>112</v>
      </c>
      <c r="B24" s="74">
        <f>B23*(1+C9)</f>
        <v>55678.628571428562</v>
      </c>
      <c r="E24" s="43" t="s">
        <v>101</v>
      </c>
      <c r="F24" s="74">
        <f t="shared" ref="F24:Q24" si="1">IF(F25=$F$28,ABS(($C$5-F21)*$B$22*F23*$B$20*F22),0)</f>
        <v>33139919.725714281</v>
      </c>
      <c r="G24" s="74">
        <f t="shared" si="1"/>
        <v>28042938.984489799</v>
      </c>
      <c r="H24" s="74">
        <f t="shared" si="1"/>
        <v>24217633.645714287</v>
      </c>
      <c r="I24" s="74">
        <f t="shared" si="1"/>
        <v>16843091.069387753</v>
      </c>
      <c r="J24" s="74">
        <f t="shared" si="1"/>
        <v>12738535.993469385</v>
      </c>
      <c r="K24" s="74">
        <f t="shared" si="1"/>
        <v>6872333.5836734688</v>
      </c>
      <c r="L24" s="74">
        <f t="shared" si="1"/>
        <v>0</v>
      </c>
      <c r="M24" s="74">
        <f t="shared" si="1"/>
        <v>0</v>
      </c>
      <c r="N24" s="74">
        <f t="shared" si="1"/>
        <v>10183682.351020407</v>
      </c>
      <c r="O24" s="74">
        <f t="shared" si="1"/>
        <v>16843091.069387753</v>
      </c>
      <c r="P24" s="74">
        <f t="shared" si="1"/>
        <v>23436419.657142859</v>
      </c>
      <c r="Q24" s="73">
        <f t="shared" si="1"/>
        <v>31364566.883265302</v>
      </c>
    </row>
    <row r="25" spans="1:17" ht="18" customHeight="1" thickBot="1">
      <c r="A25" s="38" t="s">
        <v>268</v>
      </c>
      <c r="B25" s="118">
        <f>C11*B26/3960/1.34/B26*1000</f>
        <v>0.94225840494497204</v>
      </c>
      <c r="E25" s="45" t="s">
        <v>182</v>
      </c>
      <c r="F25" s="100" t="s">
        <v>183</v>
      </c>
      <c r="G25" s="100" t="s">
        <v>183</v>
      </c>
      <c r="H25" s="100" t="s">
        <v>183</v>
      </c>
      <c r="I25" s="100" t="s">
        <v>183</v>
      </c>
      <c r="J25" s="100" t="s">
        <v>183</v>
      </c>
      <c r="K25" s="100" t="s">
        <v>183</v>
      </c>
      <c r="L25" s="100" t="s">
        <v>184</v>
      </c>
      <c r="M25" s="100" t="s">
        <v>184</v>
      </c>
      <c r="N25" s="100" t="s">
        <v>183</v>
      </c>
      <c r="O25" s="100" t="s">
        <v>183</v>
      </c>
      <c r="P25" s="100" t="s">
        <v>183</v>
      </c>
      <c r="Q25" s="101" t="s">
        <v>183</v>
      </c>
    </row>
    <row r="26" spans="1:17" ht="17.5">
      <c r="A26" s="39" t="s">
        <v>271</v>
      </c>
      <c r="B26" s="38">
        <f>ROUNDUP(C10*'Capital Inputs'!L10/60,0)</f>
        <v>1408</v>
      </c>
      <c r="E26" s="83" t="s">
        <v>210</v>
      </c>
    </row>
    <row r="28" spans="1:17" ht="17.5" hidden="1">
      <c r="F28" s="76" t="s">
        <v>183</v>
      </c>
    </row>
    <row r="29" spans="1:17" ht="17.5" hidden="1">
      <c r="F29" s="76" t="s">
        <v>184</v>
      </c>
    </row>
    <row r="37" spans="1:2" ht="17.5">
      <c r="A37" s="38" t="s">
        <v>274</v>
      </c>
      <c r="B37" s="38">
        <v>0.25</v>
      </c>
    </row>
  </sheetData>
  <mergeCells count="9">
    <mergeCell ref="I11:K11"/>
    <mergeCell ref="E12:G12"/>
    <mergeCell ref="E19:Q19"/>
    <mergeCell ref="A1:C1"/>
    <mergeCell ref="E1:G1"/>
    <mergeCell ref="I1:K1"/>
    <mergeCell ref="M1:O1"/>
    <mergeCell ref="E6:G6"/>
    <mergeCell ref="M7:O7"/>
  </mergeCells>
  <dataValidations count="2">
    <dataValidation type="list" allowBlank="1" showInputMessage="1" showErrorMessage="1" sqref="F25:Q25" xr:uid="{E18C93F0-D2FA-46FD-BE5A-79D499E49E59}">
      <formula1>$F$28:$F$29</formula1>
    </dataValidation>
    <dataValidation type="list" allowBlank="1" showInputMessage="1" showErrorMessage="1" sqref="C6" xr:uid="{5A463FB4-BA09-426B-9A0D-8ABBBC0C62FF}">
      <formula1>$E$3:$E$5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00176-34B6-4DE5-A7EF-5327B83FFD41}">
  <dimension ref="A1:H41"/>
  <sheetViews>
    <sheetView workbookViewId="0">
      <selection activeCell="D14" sqref="D14"/>
    </sheetView>
  </sheetViews>
  <sheetFormatPr defaultColWidth="0" defaultRowHeight="17.5" zeroHeight="1"/>
  <cols>
    <col min="1" max="1" width="2.3046875" style="38" customWidth="1"/>
    <col min="2" max="2" width="29" style="38" bestFit="1" customWidth="1"/>
    <col min="3" max="3" width="16.3046875" style="38" bestFit="1" customWidth="1"/>
    <col min="4" max="4" width="12" style="38" bestFit="1" customWidth="1"/>
    <col min="5" max="5" width="2.3046875" style="38" customWidth="1"/>
    <col min="6" max="6" width="12.4609375" style="38" customWidth="1"/>
    <col min="7" max="7" width="17.765625" style="38" customWidth="1"/>
    <col min="8" max="8" width="3.3046875" style="38" customWidth="1"/>
    <col min="9" max="16384" width="8.84375" style="38" hidden="1"/>
  </cols>
  <sheetData>
    <row r="1" spans="2:7" ht="18" customHeight="1" thickBot="1">
      <c r="B1" s="224" t="s">
        <v>46</v>
      </c>
      <c r="C1" s="225"/>
      <c r="D1" s="234"/>
      <c r="E1" s="62"/>
      <c r="F1" s="189" t="s">
        <v>156</v>
      </c>
      <c r="G1" s="190" t="s">
        <v>201</v>
      </c>
    </row>
    <row r="2" spans="2:7">
      <c r="B2" s="197" t="s">
        <v>40</v>
      </c>
      <c r="C2" s="191" t="s">
        <v>11</v>
      </c>
      <c r="D2" s="198" t="s">
        <v>58</v>
      </c>
      <c r="E2" s="12"/>
      <c r="F2" s="65" t="s">
        <v>83</v>
      </c>
      <c r="G2" s="208">
        <v>30</v>
      </c>
    </row>
    <row r="3" spans="2:7">
      <c r="B3" s="237" t="s">
        <v>1</v>
      </c>
      <c r="C3" s="238"/>
      <c r="D3" s="239"/>
      <c r="E3" s="31"/>
      <c r="F3" s="65" t="s">
        <v>84</v>
      </c>
      <c r="G3" s="208">
        <v>34</v>
      </c>
    </row>
    <row r="4" spans="2:7" ht="17.25" customHeight="1">
      <c r="B4" s="39" t="s">
        <v>273</v>
      </c>
      <c r="C4" s="83" t="s">
        <v>187</v>
      </c>
      <c r="D4" s="200">
        <v>17.920000000000002</v>
      </c>
      <c r="E4" s="58"/>
      <c r="F4" s="65" t="s">
        <v>85</v>
      </c>
      <c r="G4" s="208">
        <v>44</v>
      </c>
    </row>
    <row r="5" spans="2:7">
      <c r="B5" s="231" t="s">
        <v>197</v>
      </c>
      <c r="C5" s="232"/>
      <c r="D5" s="233"/>
      <c r="E5" s="58"/>
      <c r="F5" s="65" t="s">
        <v>86</v>
      </c>
      <c r="G5" s="208">
        <v>55</v>
      </c>
    </row>
    <row r="6" spans="2:7">
      <c r="B6" s="39" t="s">
        <v>59</v>
      </c>
      <c r="C6" s="83" t="s">
        <v>45</v>
      </c>
      <c r="D6" s="201">
        <v>700</v>
      </c>
      <c r="E6" s="58"/>
      <c r="F6" s="65" t="s">
        <v>87</v>
      </c>
      <c r="G6" s="208">
        <v>63</v>
      </c>
    </row>
    <row r="7" spans="2:7">
      <c r="B7" s="39" t="s">
        <v>61</v>
      </c>
      <c r="C7" s="83" t="s">
        <v>205</v>
      </c>
      <c r="D7" s="201">
        <v>14414</v>
      </c>
      <c r="E7" s="58"/>
      <c r="F7" s="65" t="s">
        <v>88</v>
      </c>
      <c r="G7" s="208">
        <v>73</v>
      </c>
    </row>
    <row r="8" spans="2:7">
      <c r="B8" s="39" t="s">
        <v>177</v>
      </c>
      <c r="C8" s="83" t="s">
        <v>205</v>
      </c>
      <c r="D8" s="201">
        <v>3000</v>
      </c>
      <c r="E8" s="58"/>
      <c r="F8" s="65" t="s">
        <v>89</v>
      </c>
      <c r="G8" s="208">
        <v>77</v>
      </c>
    </row>
    <row r="9" spans="2:7">
      <c r="B9" s="39" t="s">
        <v>296</v>
      </c>
      <c r="C9" s="83" t="s">
        <v>173</v>
      </c>
      <c r="D9" s="200">
        <v>2.25</v>
      </c>
      <c r="E9" s="57"/>
      <c r="F9" s="65" t="s">
        <v>90</v>
      </c>
      <c r="G9" s="208">
        <v>76</v>
      </c>
    </row>
    <row r="10" spans="2:7">
      <c r="B10" s="39" t="s">
        <v>17</v>
      </c>
      <c r="C10" s="83" t="s">
        <v>165</v>
      </c>
      <c r="D10" s="202">
        <v>0.09</v>
      </c>
      <c r="E10" s="58"/>
      <c r="F10" s="65" t="s">
        <v>91</v>
      </c>
      <c r="G10" s="208">
        <v>67</v>
      </c>
    </row>
    <row r="11" spans="2:7">
      <c r="B11" s="39" t="s">
        <v>181</v>
      </c>
      <c r="C11" s="83" t="s">
        <v>185</v>
      </c>
      <c r="D11" s="203">
        <v>0.5</v>
      </c>
      <c r="E11" s="58"/>
      <c r="F11" s="65" t="s">
        <v>92</v>
      </c>
      <c r="G11" s="208">
        <v>56</v>
      </c>
    </row>
    <row r="12" spans="2:7">
      <c r="B12" s="39" t="s">
        <v>282</v>
      </c>
      <c r="C12" s="83" t="s">
        <v>165</v>
      </c>
      <c r="D12" s="202">
        <v>7.0000000000000007E-2</v>
      </c>
      <c r="E12" s="58"/>
      <c r="F12" s="65" t="s">
        <v>93</v>
      </c>
      <c r="G12" s="208">
        <v>44</v>
      </c>
    </row>
    <row r="13" spans="2:7" ht="18" thickBot="1">
      <c r="B13" s="231" t="s">
        <v>196</v>
      </c>
      <c r="C13" s="232"/>
      <c r="D13" s="233"/>
      <c r="E13" s="58"/>
      <c r="F13" s="84" t="s">
        <v>94</v>
      </c>
      <c r="G13" s="209">
        <v>33</v>
      </c>
    </row>
    <row r="14" spans="2:7" ht="18" thickBot="1">
      <c r="B14" s="39" t="s">
        <v>6</v>
      </c>
      <c r="C14" s="83" t="s">
        <v>205</v>
      </c>
      <c r="D14" s="201">
        <v>3000</v>
      </c>
      <c r="E14" s="57"/>
    </row>
    <row r="15" spans="2:7" ht="18" thickBot="1">
      <c r="B15" s="39" t="s">
        <v>179</v>
      </c>
      <c r="C15" s="83" t="s">
        <v>205</v>
      </c>
      <c r="D15" s="201">
        <v>1000</v>
      </c>
      <c r="E15" s="58"/>
      <c r="F15" s="235" t="s">
        <v>294</v>
      </c>
      <c r="G15" s="236"/>
    </row>
    <row r="16" spans="2:7">
      <c r="B16" s="39" t="s">
        <v>178</v>
      </c>
      <c r="C16" s="83" t="s">
        <v>205</v>
      </c>
      <c r="D16" s="201">
        <v>45000</v>
      </c>
      <c r="E16" s="58"/>
      <c r="F16" s="65" t="s">
        <v>264</v>
      </c>
      <c r="G16" s="208">
        <v>86</v>
      </c>
    </row>
    <row r="17" spans="2:7">
      <c r="B17" s="231" t="s">
        <v>147</v>
      </c>
      <c r="C17" s="232"/>
      <c r="D17" s="233"/>
      <c r="E17" s="58"/>
      <c r="F17" s="65" t="s">
        <v>265</v>
      </c>
      <c r="G17" s="208">
        <v>80</v>
      </c>
    </row>
    <row r="18" spans="2:7">
      <c r="B18" s="65" t="s">
        <v>140</v>
      </c>
      <c r="C18" s="83" t="s">
        <v>293</v>
      </c>
      <c r="D18" s="204" t="s">
        <v>60</v>
      </c>
      <c r="E18" s="58"/>
      <c r="F18" s="65" t="s">
        <v>266</v>
      </c>
      <c r="G18" s="208">
        <v>85</v>
      </c>
    </row>
    <row r="19" spans="2:7" ht="18" thickBot="1">
      <c r="B19" s="39" t="s">
        <v>135</v>
      </c>
      <c r="C19" s="83" t="s">
        <v>144</v>
      </c>
      <c r="D19" s="200">
        <v>0.11</v>
      </c>
      <c r="E19" s="57"/>
      <c r="F19" s="84" t="s">
        <v>267</v>
      </c>
      <c r="G19" s="209">
        <v>86</v>
      </c>
    </row>
    <row r="20" spans="2:7">
      <c r="B20" s="39" t="s">
        <v>136</v>
      </c>
      <c r="C20" s="83" t="s">
        <v>45</v>
      </c>
      <c r="D20" s="200">
        <v>53.6</v>
      </c>
      <c r="E20" s="58"/>
    </row>
    <row r="21" spans="2:7">
      <c r="B21" s="39" t="s">
        <v>137</v>
      </c>
      <c r="C21" s="83" t="s">
        <v>145</v>
      </c>
      <c r="D21" s="200">
        <v>15.5</v>
      </c>
      <c r="E21" s="58"/>
    </row>
    <row r="22" spans="2:7">
      <c r="B22" s="39" t="s">
        <v>138</v>
      </c>
      <c r="C22" s="83" t="s">
        <v>45</v>
      </c>
      <c r="D22" s="200">
        <v>53.6</v>
      </c>
      <c r="E22" s="57"/>
    </row>
    <row r="23" spans="2:7">
      <c r="B23" s="39" t="s">
        <v>139</v>
      </c>
      <c r="C23" s="83" t="s">
        <v>146</v>
      </c>
      <c r="D23" s="200">
        <v>1.85</v>
      </c>
      <c r="E23" s="58"/>
    </row>
    <row r="24" spans="2:7">
      <c r="B24" s="39" t="s">
        <v>49</v>
      </c>
      <c r="C24" s="199" t="s">
        <v>188</v>
      </c>
      <c r="D24" s="205">
        <v>6240</v>
      </c>
      <c r="E24" s="66"/>
    </row>
    <row r="25" spans="2:7">
      <c r="B25" s="39" t="s">
        <v>148</v>
      </c>
      <c r="C25" s="83" t="s">
        <v>150</v>
      </c>
      <c r="D25" s="205">
        <v>12</v>
      </c>
      <c r="E25" s="58"/>
    </row>
    <row r="26" spans="2:7">
      <c r="B26" s="39" t="s">
        <v>154</v>
      </c>
      <c r="C26" s="199" t="s">
        <v>188</v>
      </c>
      <c r="D26" s="205">
        <v>3960</v>
      </c>
      <c r="E26" s="67"/>
    </row>
    <row r="27" spans="2:7">
      <c r="B27" s="39" t="s">
        <v>149</v>
      </c>
      <c r="C27" s="83" t="s">
        <v>151</v>
      </c>
      <c r="D27" s="206">
        <v>3</v>
      </c>
      <c r="E27" s="57"/>
    </row>
    <row r="28" spans="2:7">
      <c r="B28" s="39" t="s">
        <v>81</v>
      </c>
      <c r="C28" s="83" t="s">
        <v>153</v>
      </c>
      <c r="D28" s="206">
        <v>1</v>
      </c>
      <c r="E28" s="57"/>
    </row>
    <row r="29" spans="2:7">
      <c r="B29" s="39" t="s">
        <v>152</v>
      </c>
      <c r="C29" s="83" t="s">
        <v>153</v>
      </c>
      <c r="D29" s="206">
        <v>1</v>
      </c>
      <c r="E29" s="58"/>
    </row>
    <row r="30" spans="2:7" ht="18" thickBot="1">
      <c r="B30" s="68" t="s">
        <v>189</v>
      </c>
      <c r="C30" s="85" t="s">
        <v>122</v>
      </c>
      <c r="D30" s="207">
        <v>16</v>
      </c>
      <c r="E30" s="58"/>
    </row>
    <row r="31" spans="2:7">
      <c r="E31" s="58"/>
    </row>
    <row r="32" spans="2:7" hidden="1">
      <c r="E32" s="58"/>
    </row>
    <row r="33" spans="5:5" hidden="1">
      <c r="E33" s="58"/>
    </row>
    <row r="34" spans="5:5" hidden="1">
      <c r="E34" s="61"/>
    </row>
    <row r="35" spans="5:5" hidden="1">
      <c r="E35" s="61"/>
    </row>
    <row r="36" spans="5:5" hidden="1">
      <c r="E36" s="61"/>
    </row>
    <row r="37" spans="5:5" hidden="1">
      <c r="E37" s="61"/>
    </row>
    <row r="38" spans="5:5" hidden="1">
      <c r="E38" s="69"/>
    </row>
    <row r="39" spans="5:5" hidden="1">
      <c r="E39" s="69"/>
    </row>
    <row r="40" spans="5:5" hidden="1">
      <c r="E40" s="69"/>
    </row>
    <row r="41" spans="5:5" hidden="1">
      <c r="E41" s="69"/>
    </row>
  </sheetData>
  <sheetProtection sheet="1" objects="1" scenarios="1"/>
  <mergeCells count="6">
    <mergeCell ref="B17:D17"/>
    <mergeCell ref="B1:D1"/>
    <mergeCell ref="F15:G15"/>
    <mergeCell ref="B3:D3"/>
    <mergeCell ref="B5:D5"/>
    <mergeCell ref="B13:D13"/>
  </mergeCells>
  <phoneticPr fontId="20" type="noConversion"/>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9647D26-71E3-4CC6-A388-82D9C092C622}">
          <x14:formula1>
            <xm:f>'Tilapia Utilities'!$E$3:$E$5</xm:f>
          </x14:formula1>
          <xm:sqref>E28 D18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EA3FC-C9AD-4629-A9F3-1F51B658807F}">
  <dimension ref="A1:W37"/>
  <sheetViews>
    <sheetView workbookViewId="0">
      <selection activeCell="K24" sqref="K24"/>
    </sheetView>
  </sheetViews>
  <sheetFormatPr defaultColWidth="0" defaultRowHeight="0" customHeight="1" zeroHeight="1"/>
  <cols>
    <col min="1" max="1" width="2.3046875" style="38" customWidth="1"/>
    <col min="2" max="2" width="34.3046875" style="38" bestFit="1" customWidth="1"/>
    <col min="3" max="3" width="8.765625" style="38" customWidth="1"/>
    <col min="4" max="4" width="10" style="38" customWidth="1"/>
    <col min="5" max="5" width="10.84375" style="38" customWidth="1"/>
    <col min="6" max="6" width="12.07421875" style="38" bestFit="1" customWidth="1"/>
    <col min="7" max="7" width="14.765625" style="38" customWidth="1"/>
    <col min="8" max="8" width="14.69140625" style="38" customWidth="1"/>
    <col min="9" max="9" width="11.3046875" style="38" customWidth="1"/>
    <col min="10" max="10" width="2.3046875" style="38" customWidth="1"/>
    <col min="11" max="11" width="23.765625" style="38" customWidth="1"/>
    <col min="12" max="12" width="10" style="38" bestFit="1" customWidth="1"/>
    <col min="13" max="13" width="14.53515625" style="38" bestFit="1" customWidth="1"/>
    <col min="14" max="19" width="8.84375" style="38" customWidth="1"/>
    <col min="20" max="23" width="0" style="38" hidden="1" customWidth="1"/>
    <col min="24" max="16384" width="8.84375" style="38" hidden="1"/>
  </cols>
  <sheetData>
    <row r="1" spans="2:19" ht="3.75" customHeight="1" thickBot="1"/>
    <row r="2" spans="2:19" ht="17.25" customHeight="1">
      <c r="B2" s="240" t="s">
        <v>198</v>
      </c>
      <c r="C2" s="241"/>
      <c r="D2" s="241"/>
      <c r="E2" s="241"/>
      <c r="F2" s="241"/>
      <c r="G2" s="241"/>
      <c r="H2" s="241"/>
      <c r="I2" s="242"/>
      <c r="K2" s="240" t="s">
        <v>195</v>
      </c>
      <c r="L2" s="241"/>
      <c r="M2" s="242"/>
    </row>
    <row r="3" spans="2:19" ht="17.25" customHeight="1">
      <c r="B3" s="192" t="s">
        <v>12</v>
      </c>
      <c r="C3" s="193" t="s">
        <v>11</v>
      </c>
      <c r="D3" s="194" t="s">
        <v>13</v>
      </c>
      <c r="E3" s="194" t="s">
        <v>58</v>
      </c>
      <c r="F3" s="194" t="s">
        <v>52</v>
      </c>
      <c r="G3" s="194" t="s">
        <v>246</v>
      </c>
      <c r="H3" s="195" t="s">
        <v>249</v>
      </c>
      <c r="I3" s="196" t="s">
        <v>250</v>
      </c>
      <c r="K3" s="104" t="s">
        <v>12</v>
      </c>
      <c r="L3" s="105" t="s">
        <v>0</v>
      </c>
      <c r="M3" s="48" t="s">
        <v>11</v>
      </c>
    </row>
    <row r="4" spans="2:19" ht="17.25" customHeight="1">
      <c r="B4" s="39" t="s">
        <v>34</v>
      </c>
      <c r="C4" s="83" t="s">
        <v>295</v>
      </c>
      <c r="D4" s="220">
        <v>0.5</v>
      </c>
      <c r="E4" s="210">
        <v>6000</v>
      </c>
      <c r="F4" s="88">
        <f>E4*D4</f>
        <v>3000</v>
      </c>
      <c r="G4" s="61"/>
      <c r="H4" s="131">
        <v>1</v>
      </c>
      <c r="I4" s="221"/>
      <c r="K4" s="42" t="s">
        <v>49</v>
      </c>
      <c r="L4" s="41">
        <f>'Operating Inputs'!D24</f>
        <v>6240</v>
      </c>
      <c r="M4" s="86" t="s">
        <v>190</v>
      </c>
    </row>
    <row r="5" spans="2:19" ht="17.25" customHeight="1">
      <c r="B5" s="39" t="s">
        <v>53</v>
      </c>
      <c r="C5" s="83" t="s">
        <v>190</v>
      </c>
      <c r="D5" s="41">
        <f>L4</f>
        <v>6240</v>
      </c>
      <c r="E5" s="211">
        <v>12</v>
      </c>
      <c r="F5" s="88">
        <f>E5*D5</f>
        <v>74880</v>
      </c>
      <c r="G5" s="210">
        <v>20</v>
      </c>
      <c r="H5" s="212">
        <v>0.1</v>
      </c>
      <c r="I5" s="89">
        <f>(F5-F5*H5)/G5</f>
        <v>3369.6</v>
      </c>
      <c r="K5" s="43" t="s">
        <v>50</v>
      </c>
      <c r="L5" s="41">
        <f>'Operating Inputs'!D26</f>
        <v>3960</v>
      </c>
      <c r="M5" s="86" t="s">
        <v>190</v>
      </c>
    </row>
    <row r="6" spans="2:19" ht="17.25" customHeight="1">
      <c r="B6" s="39" t="s">
        <v>199</v>
      </c>
      <c r="C6" s="83" t="s">
        <v>190</v>
      </c>
      <c r="D6" s="41">
        <f>L4+D8</f>
        <v>6940</v>
      </c>
      <c r="E6" s="211">
        <v>5</v>
      </c>
      <c r="F6" s="88">
        <f t="shared" ref="F6:F15" si="0">E6*D6</f>
        <v>34700</v>
      </c>
      <c r="G6" s="210">
        <v>40</v>
      </c>
      <c r="H6" s="212">
        <v>0.05</v>
      </c>
      <c r="I6" s="89">
        <f t="shared" ref="I6:I15" si="1">(F6-F6*H6)/G6</f>
        <v>824.125</v>
      </c>
      <c r="K6" s="43" t="s">
        <v>155</v>
      </c>
      <c r="L6" s="25">
        <f>L5/L4</f>
        <v>0.63461538461538458</v>
      </c>
      <c r="M6" s="86" t="s">
        <v>194</v>
      </c>
    </row>
    <row r="7" spans="2:19" ht="17.25" customHeight="1">
      <c r="B7" s="39" t="s">
        <v>202</v>
      </c>
      <c r="C7" s="83" t="s">
        <v>190</v>
      </c>
      <c r="D7" s="41">
        <f>L4+D8</f>
        <v>6940</v>
      </c>
      <c r="E7" s="211">
        <v>3</v>
      </c>
      <c r="F7" s="88">
        <f t="shared" si="0"/>
        <v>20820</v>
      </c>
      <c r="G7" s="210">
        <v>20</v>
      </c>
      <c r="H7" s="213">
        <v>0.05</v>
      </c>
      <c r="I7" s="89">
        <f t="shared" si="1"/>
        <v>988.95</v>
      </c>
      <c r="K7" s="54"/>
      <c r="L7" s="55"/>
      <c r="M7" s="56"/>
    </row>
    <row r="8" spans="2:19" ht="17.25" customHeight="1">
      <c r="B8" s="39" t="s">
        <v>260</v>
      </c>
      <c r="C8" s="83" t="s">
        <v>190</v>
      </c>
      <c r="D8" s="210">
        <v>700</v>
      </c>
      <c r="E8" s="211">
        <v>20</v>
      </c>
      <c r="F8" s="88">
        <f t="shared" si="0"/>
        <v>14000</v>
      </c>
      <c r="G8" s="210">
        <v>20</v>
      </c>
      <c r="H8" s="213">
        <v>0.1</v>
      </c>
      <c r="I8" s="89">
        <f t="shared" si="1"/>
        <v>630</v>
      </c>
      <c r="K8" s="43" t="s">
        <v>51</v>
      </c>
      <c r="L8" s="41">
        <f>L5*0.95</f>
        <v>3762</v>
      </c>
      <c r="M8" s="86" t="s">
        <v>190</v>
      </c>
    </row>
    <row r="9" spans="2:19" ht="17.25" customHeight="1">
      <c r="B9" s="39" t="s">
        <v>55</v>
      </c>
      <c r="C9" s="83" t="s">
        <v>191</v>
      </c>
      <c r="D9" s="210">
        <f>L9</f>
        <v>11286</v>
      </c>
      <c r="E9" s="211">
        <v>1.25</v>
      </c>
      <c r="F9" s="88">
        <f t="shared" si="0"/>
        <v>14107.5</v>
      </c>
      <c r="G9" s="210">
        <v>10</v>
      </c>
      <c r="H9" s="212">
        <v>0.2</v>
      </c>
      <c r="I9" s="89">
        <f t="shared" si="1"/>
        <v>1128.5999999999999</v>
      </c>
      <c r="K9" s="43" t="s">
        <v>143</v>
      </c>
      <c r="L9" s="41">
        <f>L8*'Operating Inputs'!D27</f>
        <v>11286</v>
      </c>
      <c r="M9" s="86" t="s">
        <v>191</v>
      </c>
    </row>
    <row r="10" spans="2:19" ht="17.25" customHeight="1">
      <c r="B10" s="39" t="s">
        <v>54</v>
      </c>
      <c r="C10" s="83" t="s">
        <v>203</v>
      </c>
      <c r="D10" s="210">
        <v>1</v>
      </c>
      <c r="E10" s="210">
        <v>25000</v>
      </c>
      <c r="F10" s="88">
        <f t="shared" si="0"/>
        <v>25000</v>
      </c>
      <c r="G10" s="210">
        <v>40</v>
      </c>
      <c r="H10" s="212">
        <v>0</v>
      </c>
      <c r="I10" s="89">
        <f t="shared" ref="I10" si="2">(F10-F10*H10)/G10</f>
        <v>625</v>
      </c>
      <c r="K10" s="43" t="s">
        <v>141</v>
      </c>
      <c r="L10" s="41">
        <f>L9*7.4805</f>
        <v>84424.922999999995</v>
      </c>
      <c r="M10" s="86" t="s">
        <v>192</v>
      </c>
    </row>
    <row r="11" spans="2:19" ht="17.25" customHeight="1" thickBot="1">
      <c r="B11" s="39" t="s">
        <v>56</v>
      </c>
      <c r="C11" s="83" t="s">
        <v>203</v>
      </c>
      <c r="D11" s="210">
        <v>1</v>
      </c>
      <c r="E11" s="210">
        <v>13395</v>
      </c>
      <c r="F11" s="88">
        <f t="shared" si="0"/>
        <v>13395</v>
      </c>
      <c r="G11" s="210">
        <v>10</v>
      </c>
      <c r="H11" s="212">
        <v>0.1</v>
      </c>
      <c r="I11" s="89">
        <f t="shared" si="1"/>
        <v>1205.55</v>
      </c>
      <c r="K11" s="45" t="s">
        <v>142</v>
      </c>
      <c r="L11" s="46">
        <f>L10/10</f>
        <v>8442.4922999999999</v>
      </c>
      <c r="M11" s="87" t="s">
        <v>193</v>
      </c>
    </row>
    <row r="12" spans="2:19" ht="17.25" customHeight="1">
      <c r="B12" s="39" t="s">
        <v>207</v>
      </c>
      <c r="C12" s="83" t="s">
        <v>203</v>
      </c>
      <c r="D12" s="210">
        <v>1</v>
      </c>
      <c r="E12" s="210">
        <v>9650</v>
      </c>
      <c r="F12" s="88">
        <f t="shared" si="0"/>
        <v>9650</v>
      </c>
      <c r="G12" s="210">
        <v>5</v>
      </c>
      <c r="H12" s="212">
        <v>0.2</v>
      </c>
      <c r="I12" s="89">
        <f t="shared" si="1"/>
        <v>1544</v>
      </c>
    </row>
    <row r="13" spans="2:19" ht="17.25" customHeight="1">
      <c r="B13" s="39" t="s">
        <v>278</v>
      </c>
      <c r="C13" s="83" t="s">
        <v>203</v>
      </c>
      <c r="D13" s="210">
        <v>1</v>
      </c>
      <c r="E13" s="210">
        <v>2700</v>
      </c>
      <c r="F13" s="88">
        <f t="shared" si="0"/>
        <v>2700</v>
      </c>
      <c r="G13" s="210">
        <v>5</v>
      </c>
      <c r="H13" s="212">
        <v>0.1</v>
      </c>
      <c r="I13" s="89">
        <f t="shared" si="1"/>
        <v>486</v>
      </c>
    </row>
    <row r="14" spans="2:19" ht="17.25" customHeight="1">
      <c r="B14" s="39" t="s">
        <v>57</v>
      </c>
      <c r="C14" s="83" t="s">
        <v>203</v>
      </c>
      <c r="D14" s="210">
        <v>1</v>
      </c>
      <c r="E14" s="210">
        <v>5000</v>
      </c>
      <c r="F14" s="88">
        <f t="shared" si="0"/>
        <v>5000</v>
      </c>
      <c r="G14" s="210">
        <v>20</v>
      </c>
      <c r="H14" s="212">
        <v>0</v>
      </c>
      <c r="I14" s="89">
        <f t="shared" si="1"/>
        <v>250</v>
      </c>
    </row>
    <row r="15" spans="2:19" ht="17.25" customHeight="1">
      <c r="B15" s="39" t="s">
        <v>297</v>
      </c>
      <c r="C15" s="83" t="s">
        <v>203</v>
      </c>
      <c r="D15" s="210">
        <v>1</v>
      </c>
      <c r="E15" s="210">
        <v>15000</v>
      </c>
      <c r="F15" s="88">
        <f t="shared" si="0"/>
        <v>15000</v>
      </c>
      <c r="G15" s="210">
        <v>20</v>
      </c>
      <c r="H15" s="212">
        <v>0.1</v>
      </c>
      <c r="I15" s="89">
        <f t="shared" si="1"/>
        <v>675</v>
      </c>
      <c r="K15" s="53" t="s">
        <v>200</v>
      </c>
      <c r="L15" s="53"/>
      <c r="M15" s="53"/>
      <c r="N15" s="53"/>
      <c r="O15" s="53"/>
      <c r="P15" s="53"/>
      <c r="Q15" s="53"/>
      <c r="R15" s="53"/>
      <c r="S15" s="53"/>
    </row>
    <row r="16" spans="2:19" ht="17.25" customHeight="1">
      <c r="B16" s="192" t="s">
        <v>12</v>
      </c>
      <c r="C16" s="193" t="s">
        <v>11</v>
      </c>
      <c r="D16" s="194" t="s">
        <v>13</v>
      </c>
      <c r="E16" s="194" t="s">
        <v>58</v>
      </c>
      <c r="F16" s="194" t="s">
        <v>52</v>
      </c>
      <c r="G16" s="194" t="s">
        <v>246</v>
      </c>
      <c r="H16" s="195" t="s">
        <v>249</v>
      </c>
      <c r="I16" s="196" t="s">
        <v>250</v>
      </c>
      <c r="K16" s="53"/>
      <c r="L16" s="53"/>
      <c r="M16" s="53"/>
      <c r="N16" s="53"/>
      <c r="O16" s="53"/>
      <c r="P16" s="53"/>
      <c r="Q16" s="53"/>
      <c r="R16" s="53"/>
      <c r="S16" s="53"/>
    </row>
    <row r="17" spans="2:19" ht="17.25" customHeight="1">
      <c r="B17" s="90" t="s">
        <v>279</v>
      </c>
      <c r="C17" s="222" t="s">
        <v>203</v>
      </c>
      <c r="D17" s="220">
        <v>1</v>
      </c>
      <c r="E17" s="210">
        <v>45000</v>
      </c>
      <c r="F17" s="74">
        <f>D17*E17</f>
        <v>45000</v>
      </c>
      <c r="G17" s="220">
        <v>10</v>
      </c>
      <c r="H17" s="212">
        <v>0.25</v>
      </c>
      <c r="I17" s="73">
        <f>(F17-F17*H17)/G17</f>
        <v>3375</v>
      </c>
      <c r="K17" s="53"/>
      <c r="L17" s="53"/>
      <c r="M17" s="53"/>
      <c r="N17" s="53"/>
      <c r="O17" s="53"/>
      <c r="P17" s="53"/>
      <c r="Q17" s="53"/>
      <c r="R17" s="53"/>
      <c r="S17" s="53"/>
    </row>
    <row r="18" spans="2:19" ht="17.25" customHeight="1">
      <c r="B18" s="90" t="s">
        <v>280</v>
      </c>
      <c r="C18" s="222" t="s">
        <v>203</v>
      </c>
      <c r="D18" s="220">
        <v>1</v>
      </c>
      <c r="E18" s="210">
        <v>8000</v>
      </c>
      <c r="F18" s="74">
        <f t="shared" ref="F18:F34" si="3">D18*E18</f>
        <v>8000</v>
      </c>
      <c r="G18" s="220">
        <v>10</v>
      </c>
      <c r="H18" s="212">
        <v>0.25</v>
      </c>
      <c r="I18" s="73">
        <f t="shared" ref="I18:I34" si="4">(F18-F18*H18)/G18</f>
        <v>600</v>
      </c>
      <c r="K18" s="53"/>
      <c r="L18" s="53"/>
      <c r="M18" s="53"/>
      <c r="N18" s="53"/>
      <c r="O18" s="53"/>
      <c r="P18" s="53"/>
      <c r="Q18" s="53"/>
      <c r="R18" s="53"/>
      <c r="S18" s="53"/>
    </row>
    <row r="19" spans="2:19" ht="17.25" customHeight="1">
      <c r="B19" s="90" t="s">
        <v>35</v>
      </c>
      <c r="C19" s="222" t="s">
        <v>204</v>
      </c>
      <c r="D19" s="220">
        <v>1</v>
      </c>
      <c r="E19" s="210">
        <v>750</v>
      </c>
      <c r="F19" s="74">
        <f t="shared" si="3"/>
        <v>750</v>
      </c>
      <c r="G19" s="220">
        <v>5</v>
      </c>
      <c r="H19" s="212">
        <v>0.1</v>
      </c>
      <c r="I19" s="73">
        <f t="shared" si="4"/>
        <v>135</v>
      </c>
      <c r="K19" s="53"/>
      <c r="L19" s="53"/>
      <c r="M19" s="53"/>
      <c r="N19" s="53"/>
      <c r="O19" s="53"/>
      <c r="P19" s="53"/>
      <c r="Q19" s="53"/>
      <c r="R19" s="53"/>
      <c r="S19" s="53"/>
    </row>
    <row r="20" spans="2:19" ht="17.25" customHeight="1">
      <c r="B20" s="90" t="s">
        <v>36</v>
      </c>
      <c r="C20" s="222" t="s">
        <v>203</v>
      </c>
      <c r="D20" s="220">
        <v>1</v>
      </c>
      <c r="E20" s="210">
        <v>20000</v>
      </c>
      <c r="F20" s="74">
        <f t="shared" si="3"/>
        <v>20000</v>
      </c>
      <c r="G20" s="220">
        <v>10</v>
      </c>
      <c r="H20" s="212">
        <v>0.1</v>
      </c>
      <c r="I20" s="73">
        <f t="shared" si="4"/>
        <v>1800</v>
      </c>
      <c r="K20" s="53"/>
      <c r="L20" s="53"/>
      <c r="M20" s="53"/>
      <c r="N20" s="53"/>
      <c r="O20" s="53"/>
      <c r="P20" s="53"/>
      <c r="Q20" s="53"/>
      <c r="R20" s="53"/>
      <c r="S20" s="53"/>
    </row>
    <row r="21" spans="2:19" ht="17.25" customHeight="1">
      <c r="B21" s="90" t="s">
        <v>24</v>
      </c>
      <c r="C21" s="222" t="s">
        <v>204</v>
      </c>
      <c r="D21" s="220">
        <v>1</v>
      </c>
      <c r="E21" s="210">
        <v>5000</v>
      </c>
      <c r="F21" s="74">
        <f t="shared" si="3"/>
        <v>5000</v>
      </c>
      <c r="G21" s="220">
        <v>10</v>
      </c>
      <c r="H21" s="212">
        <v>0.25</v>
      </c>
      <c r="I21" s="73">
        <f t="shared" si="4"/>
        <v>375</v>
      </c>
      <c r="K21" s="53"/>
      <c r="L21" s="53"/>
      <c r="M21" s="53"/>
      <c r="N21" s="53"/>
      <c r="O21" s="53"/>
      <c r="P21" s="53"/>
      <c r="Q21" s="53"/>
      <c r="R21" s="53"/>
      <c r="S21" s="53"/>
    </row>
    <row r="22" spans="2:19" ht="17.25" customHeight="1">
      <c r="B22" s="90" t="s">
        <v>41</v>
      </c>
      <c r="C22" s="222" t="s">
        <v>203</v>
      </c>
      <c r="D22" s="220">
        <v>1</v>
      </c>
      <c r="E22" s="210">
        <v>3000</v>
      </c>
      <c r="F22" s="74">
        <f t="shared" si="3"/>
        <v>3000</v>
      </c>
      <c r="G22" s="220">
        <v>20</v>
      </c>
      <c r="H22" s="212">
        <v>0.2</v>
      </c>
      <c r="I22" s="73">
        <f t="shared" si="4"/>
        <v>120</v>
      </c>
      <c r="K22" s="53"/>
      <c r="L22" s="53"/>
      <c r="M22" s="53"/>
      <c r="N22" s="53"/>
      <c r="O22" s="53"/>
      <c r="P22" s="53"/>
      <c r="Q22" s="53"/>
      <c r="R22" s="53"/>
      <c r="S22" s="53"/>
    </row>
    <row r="23" spans="2:19" ht="17.25" customHeight="1">
      <c r="B23" s="90" t="s">
        <v>25</v>
      </c>
      <c r="C23" s="222" t="s">
        <v>203</v>
      </c>
      <c r="D23" s="220">
        <v>1</v>
      </c>
      <c r="E23" s="210">
        <v>900</v>
      </c>
      <c r="F23" s="74">
        <f t="shared" si="3"/>
        <v>900</v>
      </c>
      <c r="G23" s="220">
        <v>5</v>
      </c>
      <c r="H23" s="212">
        <v>0.1</v>
      </c>
      <c r="I23" s="73">
        <f t="shared" si="4"/>
        <v>162</v>
      </c>
      <c r="K23" s="53"/>
      <c r="L23" s="53"/>
      <c r="M23" s="53"/>
      <c r="N23" s="53"/>
      <c r="O23" s="53"/>
      <c r="P23" s="53"/>
      <c r="Q23" s="53"/>
      <c r="R23" s="53"/>
      <c r="S23" s="53"/>
    </row>
    <row r="24" spans="2:19" ht="17.25" customHeight="1">
      <c r="B24" s="90" t="s">
        <v>37</v>
      </c>
      <c r="C24" s="222" t="s">
        <v>203</v>
      </c>
      <c r="D24" s="220">
        <v>1</v>
      </c>
      <c r="E24" s="210">
        <v>3000</v>
      </c>
      <c r="F24" s="74">
        <f t="shared" si="3"/>
        <v>3000</v>
      </c>
      <c r="G24" s="220">
        <v>2</v>
      </c>
      <c r="H24" s="212">
        <v>0</v>
      </c>
      <c r="I24" s="73">
        <f t="shared" si="4"/>
        <v>1500</v>
      </c>
      <c r="K24" s="53"/>
      <c r="L24" s="53"/>
      <c r="M24" s="53"/>
      <c r="N24" s="53"/>
      <c r="O24" s="53"/>
      <c r="P24" s="53"/>
      <c r="Q24" s="53"/>
      <c r="R24" s="53"/>
      <c r="S24" s="53"/>
    </row>
    <row r="25" spans="2:19" ht="17.25" customHeight="1">
      <c r="B25" s="90" t="s">
        <v>38</v>
      </c>
      <c r="C25" s="222" t="s">
        <v>204</v>
      </c>
      <c r="D25" s="220">
        <v>1</v>
      </c>
      <c r="E25" s="210">
        <v>1000</v>
      </c>
      <c r="F25" s="74">
        <f t="shared" si="3"/>
        <v>1000</v>
      </c>
      <c r="G25" s="220">
        <v>10</v>
      </c>
      <c r="H25" s="212">
        <v>0.1</v>
      </c>
      <c r="I25" s="73">
        <f t="shared" si="4"/>
        <v>90</v>
      </c>
      <c r="K25" s="53"/>
      <c r="L25" s="53"/>
      <c r="M25" s="53"/>
      <c r="N25" s="53"/>
      <c r="O25" s="53"/>
      <c r="P25" s="53"/>
      <c r="Q25" s="53"/>
      <c r="R25" s="53"/>
      <c r="S25" s="53"/>
    </row>
    <row r="26" spans="2:19" ht="17.25" customHeight="1">
      <c r="B26" s="90" t="s">
        <v>26</v>
      </c>
      <c r="C26" s="222" t="s">
        <v>204</v>
      </c>
      <c r="D26" s="220">
        <v>1</v>
      </c>
      <c r="E26" s="210">
        <v>1100</v>
      </c>
      <c r="F26" s="74">
        <f t="shared" si="3"/>
        <v>1100</v>
      </c>
      <c r="G26" s="220">
        <v>7</v>
      </c>
      <c r="H26" s="212">
        <v>0.1</v>
      </c>
      <c r="I26" s="73">
        <f t="shared" si="4"/>
        <v>141.42857142857142</v>
      </c>
      <c r="K26" s="53"/>
      <c r="L26" s="53"/>
      <c r="M26" s="53"/>
      <c r="N26" s="53"/>
      <c r="O26" s="53"/>
      <c r="P26" s="53"/>
      <c r="Q26" s="53"/>
      <c r="R26" s="53"/>
      <c r="S26" s="53"/>
    </row>
    <row r="27" spans="2:19" ht="17.25" customHeight="1">
      <c r="B27" s="90" t="s">
        <v>206</v>
      </c>
      <c r="C27" s="222" t="s">
        <v>203</v>
      </c>
      <c r="D27" s="220">
        <v>1</v>
      </c>
      <c r="E27" s="210">
        <v>12000</v>
      </c>
      <c r="F27" s="74">
        <f t="shared" si="3"/>
        <v>12000</v>
      </c>
      <c r="G27" s="220">
        <v>20</v>
      </c>
      <c r="H27" s="212">
        <v>0.25</v>
      </c>
      <c r="I27" s="73">
        <f t="shared" si="4"/>
        <v>450</v>
      </c>
      <c r="K27" s="53"/>
      <c r="L27" s="53"/>
      <c r="M27" s="53"/>
      <c r="N27" s="53"/>
      <c r="O27" s="53"/>
      <c r="P27" s="53"/>
      <c r="Q27" s="53"/>
      <c r="R27" s="53"/>
      <c r="S27" s="53"/>
    </row>
    <row r="28" spans="2:19" ht="17.25" customHeight="1">
      <c r="B28" s="90" t="s">
        <v>39</v>
      </c>
      <c r="C28" s="222" t="s">
        <v>203</v>
      </c>
      <c r="D28" s="220">
        <v>1</v>
      </c>
      <c r="E28" s="210">
        <v>10000</v>
      </c>
      <c r="F28" s="74">
        <f t="shared" si="3"/>
        <v>10000</v>
      </c>
      <c r="G28" s="220">
        <v>20</v>
      </c>
      <c r="H28" s="212">
        <v>0.1</v>
      </c>
      <c r="I28" s="73">
        <f t="shared" si="4"/>
        <v>450</v>
      </c>
      <c r="K28" s="53"/>
      <c r="L28" s="53"/>
      <c r="M28" s="53"/>
      <c r="N28" s="53"/>
      <c r="O28" s="53"/>
      <c r="P28" s="53"/>
      <c r="Q28" s="53"/>
      <c r="R28" s="53"/>
      <c r="S28" s="53"/>
    </row>
    <row r="29" spans="2:19" ht="17.25" customHeight="1">
      <c r="B29" s="90" t="s">
        <v>27</v>
      </c>
      <c r="C29" s="222" t="s">
        <v>203</v>
      </c>
      <c r="D29" s="220">
        <v>2</v>
      </c>
      <c r="E29" s="210">
        <v>250</v>
      </c>
      <c r="F29" s="74">
        <f t="shared" si="3"/>
        <v>500</v>
      </c>
      <c r="G29" s="220">
        <v>5</v>
      </c>
      <c r="H29" s="212">
        <v>0.1</v>
      </c>
      <c r="I29" s="73">
        <f t="shared" si="4"/>
        <v>90</v>
      </c>
      <c r="K29" s="53"/>
      <c r="L29" s="53"/>
      <c r="M29" s="53"/>
      <c r="N29" s="53"/>
      <c r="O29" s="53"/>
      <c r="P29" s="53"/>
      <c r="Q29" s="53"/>
      <c r="R29" s="53"/>
      <c r="S29" s="53"/>
    </row>
    <row r="30" spans="2:19" ht="17.25" customHeight="1">
      <c r="B30" s="90" t="s">
        <v>28</v>
      </c>
      <c r="C30" s="222" t="s">
        <v>203</v>
      </c>
      <c r="D30" s="220">
        <v>1</v>
      </c>
      <c r="E30" s="210">
        <v>15000</v>
      </c>
      <c r="F30" s="74">
        <f t="shared" si="3"/>
        <v>15000</v>
      </c>
      <c r="G30" s="220">
        <v>15</v>
      </c>
      <c r="H30" s="212">
        <v>0.25</v>
      </c>
      <c r="I30" s="73">
        <f t="shared" si="4"/>
        <v>750</v>
      </c>
      <c r="K30" s="53"/>
      <c r="L30" s="53"/>
      <c r="M30" s="53"/>
      <c r="N30" s="53"/>
      <c r="O30" s="53"/>
      <c r="P30" s="53"/>
      <c r="Q30" s="53"/>
      <c r="R30" s="53"/>
      <c r="S30" s="53"/>
    </row>
    <row r="31" spans="2:19" ht="17.25" customHeight="1">
      <c r="B31" s="90" t="s">
        <v>29</v>
      </c>
      <c r="C31" s="222" t="s">
        <v>203</v>
      </c>
      <c r="D31" s="220">
        <v>1</v>
      </c>
      <c r="E31" s="210">
        <v>200</v>
      </c>
      <c r="F31" s="74">
        <f t="shared" si="3"/>
        <v>200</v>
      </c>
      <c r="G31" s="220">
        <v>3</v>
      </c>
      <c r="H31" s="212">
        <v>0</v>
      </c>
      <c r="I31" s="73">
        <f t="shared" si="4"/>
        <v>66.666666666666671</v>
      </c>
      <c r="K31" s="53"/>
      <c r="L31" s="53"/>
      <c r="M31" s="53"/>
      <c r="N31" s="53"/>
      <c r="O31" s="53"/>
      <c r="P31" s="53"/>
      <c r="Q31" s="53"/>
      <c r="R31" s="53"/>
      <c r="S31" s="53"/>
    </row>
    <row r="32" spans="2:19" ht="17.25" customHeight="1">
      <c r="B32" s="90" t="s">
        <v>30</v>
      </c>
      <c r="C32" s="222" t="s">
        <v>203</v>
      </c>
      <c r="D32" s="220">
        <v>1</v>
      </c>
      <c r="E32" s="210">
        <v>1500</v>
      </c>
      <c r="F32" s="74">
        <f t="shared" si="3"/>
        <v>1500</v>
      </c>
      <c r="G32" s="220">
        <v>5</v>
      </c>
      <c r="H32" s="212">
        <v>0.1</v>
      </c>
      <c r="I32" s="73">
        <f t="shared" si="4"/>
        <v>270</v>
      </c>
      <c r="K32" s="53"/>
      <c r="L32" s="53"/>
      <c r="M32" s="53"/>
      <c r="N32" s="53"/>
      <c r="O32" s="53"/>
      <c r="P32" s="53"/>
      <c r="Q32" s="53"/>
      <c r="R32" s="53"/>
      <c r="S32" s="53"/>
    </row>
    <row r="33" spans="2:19" ht="17.25" customHeight="1">
      <c r="B33" s="90" t="s">
        <v>42</v>
      </c>
      <c r="C33" s="222" t="s">
        <v>203</v>
      </c>
      <c r="D33" s="220">
        <v>2</v>
      </c>
      <c r="E33" s="210">
        <v>500</v>
      </c>
      <c r="F33" s="74">
        <f t="shared" si="3"/>
        <v>1000</v>
      </c>
      <c r="G33" s="220">
        <v>5</v>
      </c>
      <c r="H33" s="212">
        <v>0.1</v>
      </c>
      <c r="I33" s="73">
        <f t="shared" si="4"/>
        <v>180</v>
      </c>
      <c r="K33" s="53"/>
      <c r="L33" s="53"/>
      <c r="M33" s="53"/>
      <c r="N33" s="53"/>
      <c r="O33" s="53"/>
      <c r="P33" s="53"/>
      <c r="Q33" s="53"/>
      <c r="R33" s="53"/>
      <c r="S33" s="53"/>
    </row>
    <row r="34" spans="2:19" ht="17.25" customHeight="1">
      <c r="B34" s="90" t="s">
        <v>31</v>
      </c>
      <c r="C34" s="222" t="s">
        <v>203</v>
      </c>
      <c r="D34" s="220">
        <v>5</v>
      </c>
      <c r="E34" s="220">
        <v>30</v>
      </c>
      <c r="F34" s="74">
        <f t="shared" si="3"/>
        <v>150</v>
      </c>
      <c r="G34" s="220">
        <v>2</v>
      </c>
      <c r="H34" s="212">
        <v>0</v>
      </c>
      <c r="I34" s="73">
        <f t="shared" si="4"/>
        <v>75</v>
      </c>
      <c r="K34" s="53"/>
      <c r="L34" s="53"/>
      <c r="M34" s="53"/>
      <c r="N34" s="53"/>
      <c r="O34" s="53"/>
      <c r="P34" s="53"/>
      <c r="Q34" s="53"/>
      <c r="R34" s="53"/>
      <c r="S34" s="53"/>
    </row>
    <row r="35" spans="2:19" ht="17.25" customHeight="1" thickBot="1">
      <c r="B35" s="49"/>
      <c r="C35" s="244" t="s">
        <v>175</v>
      </c>
      <c r="D35" s="244"/>
      <c r="E35" s="244"/>
      <c r="F35" s="50">
        <f>SUM(F4:F15,F17:F34)</f>
        <v>360352.5</v>
      </c>
      <c r="G35" s="243" t="s">
        <v>3</v>
      </c>
      <c r="H35" s="243"/>
      <c r="I35" s="51">
        <f>SUM(I4:I15,I17:I34)</f>
        <v>22356.920238095237</v>
      </c>
      <c r="K35" s="53"/>
      <c r="L35" s="53"/>
      <c r="M35" s="53"/>
      <c r="N35" s="53"/>
      <c r="O35" s="53"/>
      <c r="P35" s="53"/>
      <c r="Q35" s="53"/>
      <c r="R35" s="53"/>
      <c r="S35" s="53"/>
    </row>
    <row r="36" spans="2:19" ht="17.25" customHeight="1">
      <c r="K36" s="53"/>
      <c r="L36" s="53"/>
      <c r="M36" s="53"/>
      <c r="N36" s="53"/>
      <c r="O36" s="53"/>
      <c r="P36" s="53"/>
      <c r="Q36" s="53"/>
      <c r="R36" s="53"/>
      <c r="S36" s="53"/>
    </row>
    <row r="37" spans="2:19" ht="17.25" customHeight="1">
      <c r="N37" s="53"/>
      <c r="O37" s="53"/>
      <c r="P37" s="53"/>
      <c r="Q37" s="53"/>
      <c r="R37" s="53"/>
      <c r="S37" s="53"/>
    </row>
  </sheetData>
  <sheetProtection sheet="1" objects="1" scenarios="1"/>
  <mergeCells count="4">
    <mergeCell ref="B2:I2"/>
    <mergeCell ref="K2:M2"/>
    <mergeCell ref="G35:H35"/>
    <mergeCell ref="C35:E3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3080C-38F5-49EE-B11E-BEADCC6EDCC5}">
  <dimension ref="A1:M50"/>
  <sheetViews>
    <sheetView zoomScaleNormal="100" zoomScaleSheetLayoutView="100" workbookViewId="0">
      <selection activeCell="B9" sqref="B9"/>
    </sheetView>
  </sheetViews>
  <sheetFormatPr defaultColWidth="0" defaultRowHeight="16.5" zeroHeight="1"/>
  <cols>
    <col min="1" max="1" width="2.3046875" style="5" customWidth="1"/>
    <col min="2" max="2" width="33.765625" style="5" customWidth="1"/>
    <col min="3" max="4" width="10.765625" style="5" customWidth="1"/>
    <col min="5" max="5" width="11.765625" style="5" customWidth="1"/>
    <col min="6" max="8" width="10.765625" style="5" customWidth="1"/>
    <col min="9" max="9" width="5.765625" style="5" customWidth="1"/>
    <col min="10" max="10" width="25.765625" style="5" customWidth="1"/>
    <col min="11" max="11" width="14.765625" style="5" bestFit="1" customWidth="1"/>
    <col min="12" max="12" width="8.765625" style="5" customWidth="1"/>
    <col min="13" max="13" width="5.765625" style="5" customWidth="1"/>
    <col min="14" max="14" width="8.84375" style="5" hidden="1" customWidth="1"/>
    <col min="15" max="16384" width="8.84375" style="5" hidden="1"/>
  </cols>
  <sheetData>
    <row r="1" spans="2:13" ht="20">
      <c r="B1" s="249" t="s">
        <v>285</v>
      </c>
      <c r="C1" s="250"/>
      <c r="D1" s="250"/>
      <c r="E1" s="250"/>
      <c r="F1" s="250"/>
      <c r="G1" s="250"/>
      <c r="H1" s="251"/>
      <c r="I1" s="4"/>
      <c r="J1" s="145" t="s">
        <v>284</v>
      </c>
      <c r="K1" s="145"/>
      <c r="L1" s="145"/>
      <c r="M1" s="70"/>
    </row>
    <row r="2" spans="2:13" ht="20">
      <c r="B2" s="152"/>
      <c r="C2" s="150"/>
      <c r="D2" s="150"/>
      <c r="E2" s="150"/>
      <c r="F2" s="150"/>
      <c r="G2" s="150"/>
      <c r="H2" s="153"/>
      <c r="I2" s="4"/>
      <c r="J2" s="148" t="s">
        <v>158</v>
      </c>
      <c r="K2" s="148" t="s">
        <v>11</v>
      </c>
      <c r="L2" s="149" t="s">
        <v>47</v>
      </c>
      <c r="M2" s="135"/>
    </row>
    <row r="3" spans="2:13" ht="17.5">
      <c r="B3" s="136" t="s">
        <v>252</v>
      </c>
      <c r="C3" s="137" t="s">
        <v>11</v>
      </c>
      <c r="D3" s="138" t="s">
        <v>13</v>
      </c>
      <c r="E3" s="139" t="s">
        <v>58</v>
      </c>
      <c r="F3" s="138" t="s">
        <v>0</v>
      </c>
      <c r="G3" s="138" t="s">
        <v>247</v>
      </c>
      <c r="H3" s="140" t="s">
        <v>283</v>
      </c>
      <c r="I3" s="4"/>
      <c r="J3" s="146" t="s">
        <v>159</v>
      </c>
      <c r="K3" s="166" t="s">
        <v>224</v>
      </c>
      <c r="L3" s="214">
        <v>2.5</v>
      </c>
      <c r="M3" s="38"/>
    </row>
    <row r="4" spans="2:13" ht="17.5">
      <c r="B4" s="15" t="s">
        <v>251</v>
      </c>
      <c r="C4" s="10" t="s">
        <v>230</v>
      </c>
      <c r="D4" s="9">
        <f>L7*'Capital Inputs'!L10*'RAS Talapia'!L9*'RAS Talapia'!L12</f>
        <v>142467.05756250001</v>
      </c>
      <c r="E4" s="13">
        <f>L3</f>
        <v>2.5</v>
      </c>
      <c r="F4" s="7">
        <f>D4*E4</f>
        <v>356167.64390625001</v>
      </c>
      <c r="G4" s="11">
        <f>E4</f>
        <v>2.5</v>
      </c>
      <c r="H4" s="26">
        <f>F4/$F$4</f>
        <v>1</v>
      </c>
      <c r="I4" s="4"/>
      <c r="J4" s="146" t="s">
        <v>162</v>
      </c>
      <c r="K4" s="166" t="s">
        <v>223</v>
      </c>
      <c r="L4" s="214">
        <v>725</v>
      </c>
      <c r="M4" s="134"/>
    </row>
    <row r="5" spans="2:13" ht="17.5">
      <c r="B5" s="15" t="s">
        <v>22</v>
      </c>
      <c r="C5" s="10" t="s">
        <v>7</v>
      </c>
      <c r="D5" s="9">
        <f>D4/L15*L14</f>
        <v>28493.411512499999</v>
      </c>
      <c r="E5" s="13">
        <f>'Operating Inputs'!D9</f>
        <v>2.25</v>
      </c>
      <c r="F5" s="182">
        <f t="shared" ref="F5" si="0">D5*E5</f>
        <v>64110.175903124997</v>
      </c>
      <c r="G5" s="29">
        <f>F5/D4</f>
        <v>0.44999999999999996</v>
      </c>
      <c r="H5" s="30">
        <f t="shared" ref="H5:H15" si="1">F5/$F$4</f>
        <v>0.18</v>
      </c>
      <c r="I5" s="4"/>
      <c r="J5" s="146" t="s">
        <v>161</v>
      </c>
      <c r="K5" s="166" t="s">
        <v>225</v>
      </c>
      <c r="L5" s="214">
        <v>0.2</v>
      </c>
      <c r="M5" s="134"/>
    </row>
    <row r="6" spans="2:13" ht="17.5">
      <c r="B6" s="154"/>
      <c r="C6" s="10"/>
      <c r="D6" s="9"/>
      <c r="E6" s="143" t="s">
        <v>253</v>
      </c>
      <c r="F6" s="23">
        <f>F4-F5</f>
        <v>292057.46800312505</v>
      </c>
      <c r="G6" s="24">
        <f>G4-G5</f>
        <v>2.0499999999999998</v>
      </c>
      <c r="H6" s="27">
        <f t="shared" si="1"/>
        <v>0.82000000000000006</v>
      </c>
      <c r="I6" s="4"/>
      <c r="J6" s="146" t="s">
        <v>163</v>
      </c>
      <c r="K6" s="166" t="s">
        <v>164</v>
      </c>
      <c r="L6" s="212">
        <v>0.02</v>
      </c>
      <c r="M6" s="134"/>
    </row>
    <row r="7" spans="2:13" ht="17.5">
      <c r="B7" s="154"/>
      <c r="C7" s="10"/>
      <c r="D7" s="9"/>
      <c r="E7" s="143"/>
      <c r="F7" s="23"/>
      <c r="G7" s="24"/>
      <c r="H7" s="27"/>
      <c r="I7" s="4"/>
      <c r="J7" s="38" t="s">
        <v>48</v>
      </c>
      <c r="K7" s="166" t="s">
        <v>234</v>
      </c>
      <c r="L7" s="214">
        <v>1.25</v>
      </c>
      <c r="M7" s="38"/>
    </row>
    <row r="8" spans="2:13" ht="17.5">
      <c r="B8" s="155" t="s">
        <v>10</v>
      </c>
      <c r="C8" s="137" t="s">
        <v>11</v>
      </c>
      <c r="D8" s="138" t="s">
        <v>13</v>
      </c>
      <c r="E8" s="139" t="s">
        <v>58</v>
      </c>
      <c r="F8" s="138" t="s">
        <v>0</v>
      </c>
      <c r="G8" s="138" t="s">
        <v>247</v>
      </c>
      <c r="H8" s="140" t="s">
        <v>283</v>
      </c>
      <c r="I8" s="4"/>
      <c r="J8" s="38" t="s">
        <v>226</v>
      </c>
      <c r="K8" s="166" t="s">
        <v>227</v>
      </c>
      <c r="L8" s="214">
        <v>1.4</v>
      </c>
      <c r="M8" s="38"/>
    </row>
    <row r="9" spans="2:13" ht="17.5">
      <c r="B9" s="15" t="s">
        <v>14</v>
      </c>
      <c r="C9" s="10" t="s">
        <v>235</v>
      </c>
      <c r="D9" s="9">
        <f>(D4-L11*D4/L8)*L10/2000/L16</f>
        <v>111.67060714955359</v>
      </c>
      <c r="E9" s="13">
        <f>L4</f>
        <v>725</v>
      </c>
      <c r="F9" s="7">
        <f t="shared" ref="F9:F10" si="2">D9*E9</f>
        <v>80961.190183426355</v>
      </c>
      <c r="G9" s="11">
        <f>F9/$D$4</f>
        <v>0.56828007518796997</v>
      </c>
      <c r="H9" s="26">
        <f t="shared" si="1"/>
        <v>0.22731203007518799</v>
      </c>
      <c r="I9" s="4"/>
      <c r="J9" s="38" t="s">
        <v>259</v>
      </c>
      <c r="K9" s="166" t="s">
        <v>194</v>
      </c>
      <c r="L9" s="212">
        <v>0.9</v>
      </c>
      <c r="M9" s="38"/>
    </row>
    <row r="10" spans="2:13" ht="17.5">
      <c r="B10" s="15" t="s">
        <v>9</v>
      </c>
      <c r="C10" s="10" t="s">
        <v>236</v>
      </c>
      <c r="D10" s="21">
        <f>D4/L8/L9</f>
        <v>113069.09330357144</v>
      </c>
      <c r="E10" s="13">
        <f>L5</f>
        <v>0.2</v>
      </c>
      <c r="F10" s="7">
        <f t="shared" si="2"/>
        <v>22613.818660714289</v>
      </c>
      <c r="G10" s="11">
        <f t="shared" ref="G10:G15" si="3">F10/$D$4</f>
        <v>0.15873015873015875</v>
      </c>
      <c r="H10" s="26">
        <f t="shared" si="1"/>
        <v>6.3492063492063502E-2</v>
      </c>
      <c r="I10" s="4"/>
      <c r="J10" s="38" t="s">
        <v>228</v>
      </c>
      <c r="K10" s="166" t="s">
        <v>229</v>
      </c>
      <c r="L10" s="214">
        <v>1.5</v>
      </c>
      <c r="M10" s="38"/>
    </row>
    <row r="11" spans="2:13" ht="17.5">
      <c r="B11" s="15" t="s">
        <v>273</v>
      </c>
      <c r="C11" s="10"/>
      <c r="D11" s="20"/>
      <c r="E11" s="13"/>
      <c r="F11" s="7">
        <f>L13*'Operating Inputs'!D4</f>
        <v>53760.000000000007</v>
      </c>
      <c r="G11" s="11">
        <f t="shared" ref="G11" si="4">F11/$D$4</f>
        <v>0.37735039187157782</v>
      </c>
      <c r="H11" s="26">
        <f t="shared" ref="H11" si="5">F11/$F$4</f>
        <v>0.15094015674863112</v>
      </c>
      <c r="I11" s="4"/>
      <c r="J11" s="38" t="s">
        <v>64</v>
      </c>
      <c r="K11" s="166" t="s">
        <v>230</v>
      </c>
      <c r="L11" s="214">
        <v>0.01</v>
      </c>
      <c r="M11" s="38"/>
    </row>
    <row r="12" spans="2:13" ht="17.5">
      <c r="B12" s="15" t="s">
        <v>132</v>
      </c>
      <c r="C12" s="10"/>
      <c r="D12" s="9"/>
      <c r="E12" s="13"/>
      <c r="F12" s="7">
        <f>'Tilapia Utilities'!G17+'Tilapia Utilities'!O3</f>
        <v>15246.547011685823</v>
      </c>
      <c r="G12" s="11">
        <f t="shared" si="3"/>
        <v>0.10701805226093895</v>
      </c>
      <c r="H12" s="26">
        <f t="shared" si="1"/>
        <v>4.2807220904375581E-2</v>
      </c>
      <c r="I12" s="4"/>
      <c r="J12" s="38" t="s">
        <v>69</v>
      </c>
      <c r="K12" s="166" t="s">
        <v>231</v>
      </c>
      <c r="L12" s="214">
        <v>1.5</v>
      </c>
      <c r="M12" s="38"/>
    </row>
    <row r="13" spans="2:13" ht="17.5">
      <c r="B13" s="15" t="s">
        <v>59</v>
      </c>
      <c r="C13" s="10"/>
      <c r="D13" s="9"/>
      <c r="E13" s="13"/>
      <c r="F13" s="7">
        <f>'Operating Inputs'!D6*12</f>
        <v>8400</v>
      </c>
      <c r="G13" s="11">
        <f t="shared" si="3"/>
        <v>5.8960998729934024E-2</v>
      </c>
      <c r="H13" s="26">
        <f t="shared" si="1"/>
        <v>2.358439949197361E-2</v>
      </c>
      <c r="I13" s="4"/>
      <c r="J13" s="38" t="s">
        <v>273</v>
      </c>
      <c r="K13" s="166" t="s">
        <v>237</v>
      </c>
      <c r="L13" s="215">
        <v>3000</v>
      </c>
      <c r="M13" s="38"/>
    </row>
    <row r="14" spans="2:13" ht="17.5">
      <c r="B14" s="15" t="s">
        <v>8</v>
      </c>
      <c r="C14" s="10"/>
      <c r="D14" s="9"/>
      <c r="E14" s="13"/>
      <c r="F14" s="7">
        <f>'Operating Inputs'!D7</f>
        <v>14414</v>
      </c>
      <c r="G14" s="11">
        <f t="shared" si="3"/>
        <v>0.10117426615396059</v>
      </c>
      <c r="H14" s="26">
        <f t="shared" si="1"/>
        <v>4.0469706461584237E-2</v>
      </c>
      <c r="I14" s="4"/>
      <c r="J14" s="147" t="s">
        <v>233</v>
      </c>
      <c r="K14" s="166" t="s">
        <v>232</v>
      </c>
      <c r="L14" s="216">
        <v>400</v>
      </c>
      <c r="M14" s="70"/>
    </row>
    <row r="15" spans="2:13" ht="17.5">
      <c r="B15" s="15" t="s">
        <v>62</v>
      </c>
      <c r="C15" s="10"/>
      <c r="D15" s="9"/>
      <c r="E15" s="36"/>
      <c r="F15" s="7">
        <f>L6*F4</f>
        <v>7123.3528781250006</v>
      </c>
      <c r="G15" s="11">
        <f t="shared" si="3"/>
        <v>0.05</v>
      </c>
      <c r="H15" s="26">
        <f t="shared" si="1"/>
        <v>0.02</v>
      </c>
      <c r="I15" s="4"/>
      <c r="J15" s="147" t="s">
        <v>261</v>
      </c>
      <c r="K15" s="166" t="s">
        <v>262</v>
      </c>
      <c r="L15" s="216">
        <v>2000</v>
      </c>
    </row>
    <row r="16" spans="2:13" ht="17.5">
      <c r="B16" s="15" t="s">
        <v>177</v>
      </c>
      <c r="C16" s="10"/>
      <c r="D16" s="9"/>
      <c r="E16" s="13"/>
      <c r="F16" s="7">
        <f>'Operating Inputs'!D8</f>
        <v>3000</v>
      </c>
      <c r="G16" s="11">
        <f t="shared" ref="G16:G30" si="6">F16/$D$4</f>
        <v>2.1057499546405008E-2</v>
      </c>
      <c r="H16" s="26">
        <f t="shared" ref="H16:H30" si="7">F16/$F$4</f>
        <v>8.4229998185620034E-3</v>
      </c>
      <c r="I16" s="4"/>
      <c r="L16" s="60">
        <f>AVERAGE(L9,1)</f>
        <v>0.95</v>
      </c>
    </row>
    <row r="17" spans="2:12" ht="17.5">
      <c r="B17" s="15" t="s">
        <v>23</v>
      </c>
      <c r="C17" s="10"/>
      <c r="D17" s="9"/>
      <c r="E17" s="13"/>
      <c r="F17" s="217">
        <v>0</v>
      </c>
      <c r="G17" s="11">
        <f t="shared" si="6"/>
        <v>0</v>
      </c>
      <c r="H17" s="26">
        <f t="shared" si="7"/>
        <v>0</v>
      </c>
      <c r="I17" s="4"/>
      <c r="L17" s="60"/>
    </row>
    <row r="18" spans="2:12" ht="17.5">
      <c r="B18" s="15" t="s">
        <v>17</v>
      </c>
      <c r="C18" s="10" t="s">
        <v>165</v>
      </c>
      <c r="D18" s="9"/>
      <c r="E18" s="19">
        <f>'Operating Inputs'!D10</f>
        <v>0.09</v>
      </c>
      <c r="F18" s="182">
        <f>SUM(F9:F16)*(1-'Operating Inputs'!D11)*E18/L12</f>
        <v>6165.5672620185442</v>
      </c>
      <c r="G18" s="29">
        <f t="shared" si="6"/>
        <v>4.3277143274428352E-2</v>
      </c>
      <c r="H18" s="30">
        <f t="shared" si="7"/>
        <v>1.7310857309771343E-2</v>
      </c>
      <c r="I18" s="4"/>
    </row>
    <row r="19" spans="2:12" ht="17.5">
      <c r="B19" s="258" t="s">
        <v>16</v>
      </c>
      <c r="C19" s="254"/>
      <c r="D19" s="254"/>
      <c r="E19" s="254"/>
      <c r="F19" s="144">
        <f>SUM(F9:F18)</f>
        <v>211684.47599597002</v>
      </c>
      <c r="G19" s="24">
        <f t="shared" si="6"/>
        <v>1.4858485857553734</v>
      </c>
      <c r="H19" s="27">
        <f t="shared" si="7"/>
        <v>0.59433943430214942</v>
      </c>
      <c r="I19" s="4"/>
    </row>
    <row r="20" spans="2:12" ht="17.5">
      <c r="B20" s="132"/>
      <c r="C20" s="133"/>
      <c r="D20" s="133"/>
      <c r="E20" s="133"/>
      <c r="F20" s="144"/>
      <c r="G20" s="24"/>
      <c r="H20" s="27"/>
      <c r="I20" s="4"/>
    </row>
    <row r="21" spans="2:12" ht="17.5">
      <c r="B21" s="155" t="s">
        <v>18</v>
      </c>
      <c r="C21" s="137" t="s">
        <v>11</v>
      </c>
      <c r="D21" s="138" t="s">
        <v>13</v>
      </c>
      <c r="E21" s="139" t="s">
        <v>58</v>
      </c>
      <c r="F21" s="138" t="s">
        <v>0</v>
      </c>
      <c r="G21" s="138" t="s">
        <v>247</v>
      </c>
      <c r="H21" s="140" t="s">
        <v>283</v>
      </c>
      <c r="I21" s="4"/>
    </row>
    <row r="22" spans="2:12" ht="17.5">
      <c r="B22" s="15" t="s">
        <v>6</v>
      </c>
      <c r="C22" s="151" t="s">
        <v>204</v>
      </c>
      <c r="D22" s="14">
        <v>12</v>
      </c>
      <c r="E22" s="13"/>
      <c r="F22" s="7">
        <f>'Operating Inputs'!D14</f>
        <v>3000</v>
      </c>
      <c r="G22" s="11">
        <f t="shared" si="6"/>
        <v>2.1057499546405008E-2</v>
      </c>
      <c r="H22" s="26">
        <f t="shared" si="7"/>
        <v>8.4229998185620034E-3</v>
      </c>
      <c r="I22" s="4"/>
    </row>
    <row r="23" spans="2:12" ht="17.5">
      <c r="B23" s="15" t="s">
        <v>5</v>
      </c>
      <c r="C23" s="151" t="s">
        <v>204</v>
      </c>
      <c r="D23" s="14">
        <v>12</v>
      </c>
      <c r="E23" s="13"/>
      <c r="F23" s="7">
        <f>'Operating Inputs'!D15</f>
        <v>1000</v>
      </c>
      <c r="G23" s="11">
        <f t="shared" si="6"/>
        <v>7.0191665154683358E-3</v>
      </c>
      <c r="H23" s="26">
        <f t="shared" si="7"/>
        <v>2.8076666061873342E-3</v>
      </c>
      <c r="I23" s="4"/>
    </row>
    <row r="24" spans="2:12" ht="17.5">
      <c r="B24" s="15" t="s">
        <v>254</v>
      </c>
      <c r="C24" s="151" t="s">
        <v>204</v>
      </c>
      <c r="D24" s="14">
        <v>1</v>
      </c>
      <c r="E24" s="13"/>
      <c r="F24" s="7">
        <f>'Operating Inputs'!D16</f>
        <v>45000</v>
      </c>
      <c r="G24" s="11">
        <f t="shared" si="6"/>
        <v>0.31586249319607512</v>
      </c>
      <c r="H24" s="26">
        <f t="shared" si="7"/>
        <v>0.12634499727843004</v>
      </c>
      <c r="I24" s="4"/>
    </row>
    <row r="25" spans="2:12" ht="17.5">
      <c r="B25" s="15" t="s">
        <v>19</v>
      </c>
      <c r="C25" s="10"/>
      <c r="D25" s="14"/>
      <c r="E25" s="19">
        <f>'Operating Inputs'!D12</f>
        <v>7.0000000000000007E-2</v>
      </c>
      <c r="F25" s="7">
        <f>('Capital Inputs'!F35-(SUMPRODUCT('Capital Inputs'!E4:E15,'Capital Inputs'!H4:H15)+SUMPRODUCT('Capital Inputs'!E17:E34,'Capital Inputs'!H17:H34)))/2*E25</f>
        <v>11335.070250000002</v>
      </c>
      <c r="G25" s="11">
        <f t="shared" si="6"/>
        <v>7.9562745549281319E-2</v>
      </c>
      <c r="H25" s="26">
        <f t="shared" si="7"/>
        <v>3.1825098219712529E-2</v>
      </c>
      <c r="I25" s="4"/>
    </row>
    <row r="26" spans="2:12" ht="17.5">
      <c r="B26" s="15" t="s">
        <v>20</v>
      </c>
      <c r="C26" s="10"/>
      <c r="D26" s="9"/>
      <c r="E26" s="13"/>
      <c r="F26" s="182">
        <f>'Capital Inputs'!I35</f>
        <v>22356.920238095237</v>
      </c>
      <c r="G26" s="29">
        <f t="shared" si="6"/>
        <v>0.15692694592423448</v>
      </c>
      <c r="H26" s="30">
        <f t="shared" si="7"/>
        <v>6.2770778369693789E-2</v>
      </c>
      <c r="I26" s="4"/>
    </row>
    <row r="27" spans="2:12" ht="17.5">
      <c r="B27" s="258" t="s">
        <v>4</v>
      </c>
      <c r="C27" s="254"/>
      <c r="D27" s="254"/>
      <c r="E27" s="254"/>
      <c r="F27" s="144">
        <f>SUM(F22:F26)</f>
        <v>82691.990488095238</v>
      </c>
      <c r="G27" s="24">
        <f t="shared" si="6"/>
        <v>0.58042885073146422</v>
      </c>
      <c r="H27" s="27">
        <f t="shared" si="7"/>
        <v>0.23217154029258569</v>
      </c>
      <c r="I27" s="4"/>
    </row>
    <row r="28" spans="2:12" ht="17.5">
      <c r="B28" s="15"/>
      <c r="C28" s="10"/>
      <c r="D28" s="8"/>
      <c r="E28" s="8"/>
      <c r="F28" s="7"/>
      <c r="G28" s="11"/>
      <c r="H28" s="28"/>
      <c r="I28" s="4"/>
    </row>
    <row r="29" spans="2:12" ht="17.5">
      <c r="B29" s="258" t="s">
        <v>3</v>
      </c>
      <c r="C29" s="254"/>
      <c r="D29" s="254"/>
      <c r="E29" s="254"/>
      <c r="F29" s="23">
        <f>SUM(F27,F19)</f>
        <v>294376.46648406528</v>
      </c>
      <c r="G29" s="24">
        <f t="shared" si="6"/>
        <v>2.0662774364868377</v>
      </c>
      <c r="H29" s="27">
        <f t="shared" si="7"/>
        <v>0.8265109745947351</v>
      </c>
      <c r="I29" s="4"/>
    </row>
    <row r="30" spans="2:12" ht="17.5">
      <c r="B30" s="258" t="s">
        <v>21</v>
      </c>
      <c r="C30" s="254"/>
      <c r="D30" s="254"/>
      <c r="E30" s="254"/>
      <c r="F30" s="23">
        <f>F6-F29</f>
        <v>-2318.9984809402376</v>
      </c>
      <c r="G30" s="24">
        <f t="shared" si="6"/>
        <v>-1.6277436486837653E-2</v>
      </c>
      <c r="H30" s="27">
        <f t="shared" si="7"/>
        <v>-6.5109745947350608E-3</v>
      </c>
      <c r="I30" s="4"/>
    </row>
    <row r="31" spans="2:12" ht="18" thickBot="1">
      <c r="B31" s="156"/>
      <c r="C31" s="157"/>
      <c r="D31" s="157"/>
      <c r="E31" s="157"/>
      <c r="F31" s="158"/>
      <c r="G31" s="158"/>
      <c r="H31" s="159"/>
      <c r="I31" s="6"/>
    </row>
    <row r="32" spans="2:12" ht="17.5">
      <c r="B32" s="16"/>
      <c r="C32" s="254" t="s">
        <v>43</v>
      </c>
      <c r="D32" s="254"/>
      <c r="E32" s="254" t="s">
        <v>44</v>
      </c>
      <c r="F32" s="254"/>
      <c r="G32" s="252"/>
      <c r="H32" s="253"/>
      <c r="I32" s="6"/>
    </row>
    <row r="33" spans="2:9" ht="17.5">
      <c r="B33" s="17" t="s">
        <v>32</v>
      </c>
      <c r="C33" s="247">
        <f>F19/D4</f>
        <v>1.4858485857553734</v>
      </c>
      <c r="D33" s="247"/>
      <c r="E33" s="255">
        <f>F19/E4</f>
        <v>84673.79039838801</v>
      </c>
      <c r="F33" s="255"/>
      <c r="G33" s="256"/>
      <c r="H33" s="257"/>
      <c r="I33" s="33">
        <v>1.3</v>
      </c>
    </row>
    <row r="34" spans="2:9" ht="18" thickBot="1">
      <c r="B34" s="18" t="s">
        <v>33</v>
      </c>
      <c r="C34" s="248">
        <f>F29/D4</f>
        <v>2.0662774364868377</v>
      </c>
      <c r="D34" s="248"/>
      <c r="E34" s="259">
        <f>F29/E4</f>
        <v>117750.58659362611</v>
      </c>
      <c r="F34" s="259"/>
      <c r="G34" s="245"/>
      <c r="H34" s="246"/>
      <c r="I34" s="34">
        <f>(F4*I33)-(F5*I33)</f>
        <v>379674.70840406255</v>
      </c>
    </row>
    <row r="35" spans="2:9" ht="18" thickBot="1">
      <c r="B35" s="4"/>
      <c r="C35" s="4"/>
      <c r="D35" s="4"/>
      <c r="E35" s="4"/>
      <c r="F35" s="4"/>
      <c r="G35" s="4"/>
      <c r="H35" s="4"/>
      <c r="I35" s="34">
        <f>(F9+F15)*I33+(F19-F9-F15)</f>
        <v>238109.83891443542</v>
      </c>
    </row>
    <row r="36" spans="2:9" ht="20">
      <c r="B36" s="249" t="s">
        <v>243</v>
      </c>
      <c r="C36" s="250"/>
      <c r="D36" s="250"/>
      <c r="E36" s="251"/>
      <c r="F36" s="32"/>
      <c r="G36" s="33">
        <v>0.7</v>
      </c>
      <c r="H36" s="33">
        <v>1</v>
      </c>
      <c r="I36" s="34">
        <f>F27</f>
        <v>82691.990488095238</v>
      </c>
    </row>
    <row r="37" spans="2:9" ht="17.5">
      <c r="B37" s="160"/>
      <c r="C37" s="141">
        <v>-0.3</v>
      </c>
      <c r="D37" s="142" t="s">
        <v>157</v>
      </c>
      <c r="E37" s="161">
        <v>0.3</v>
      </c>
      <c r="F37" s="22" t="s">
        <v>63</v>
      </c>
      <c r="G37" s="34">
        <f>(F4*G36)-(F5*G36)</f>
        <v>204440.22760218749</v>
      </c>
      <c r="H37" s="34">
        <f>F6</f>
        <v>292057.46800312505</v>
      </c>
    </row>
    <row r="38" spans="2:9" ht="17.5">
      <c r="B38" s="162" t="s">
        <v>238</v>
      </c>
      <c r="C38" s="125">
        <f>(G37-G38-G39)/'Capital Inputs'!$F$35</f>
        <v>-0.17624652517579972</v>
      </c>
      <c r="D38" s="125">
        <f>(H37-H38-H39)/'Capital Inputs'!$F$35</f>
        <v>-6.4353611559242923E-3</v>
      </c>
      <c r="E38" s="126">
        <f>(I34-I35-I36)/'Capital Inputs'!$F$35</f>
        <v>0.16337580286395098</v>
      </c>
      <c r="F38" s="22" t="s">
        <v>76</v>
      </c>
      <c r="G38" s="34">
        <f>(F9+F15)*G36+(F19-F9-F15)</f>
        <v>185259.11307750462</v>
      </c>
      <c r="H38" s="34">
        <f>F19</f>
        <v>211684.47599597002</v>
      </c>
    </row>
    <row r="39" spans="2:9" ht="17.5">
      <c r="B39" s="162" t="s">
        <v>239</v>
      </c>
      <c r="C39" s="25">
        <f>(G37-G38)/G37</f>
        <v>9.3822604042520796E-2</v>
      </c>
      <c r="D39" s="25">
        <f t="shared" ref="D39" si="8">(H37-H38)/H37</f>
        <v>0.27519581182664715</v>
      </c>
      <c r="E39" s="26">
        <f>(I34-I35)/I34</f>
        <v>0.37285830832579203</v>
      </c>
      <c r="F39" s="22" t="s">
        <v>77</v>
      </c>
      <c r="G39" s="34">
        <f>F27</f>
        <v>82691.990488095238</v>
      </c>
      <c r="H39" s="34">
        <f>F27</f>
        <v>82691.990488095238</v>
      </c>
    </row>
    <row r="40" spans="2:9" ht="17.5">
      <c r="B40" s="162" t="s">
        <v>21</v>
      </c>
      <c r="C40" s="127">
        <f>G37-G38-G39</f>
        <v>-63510.875963412371</v>
      </c>
      <c r="D40" s="127">
        <f t="shared" ref="D40" si="9">H37-H38-H39</f>
        <v>-2318.9984809402085</v>
      </c>
      <c r="E40" s="128">
        <f>I34-I35-I36</f>
        <v>58872.879001531895</v>
      </c>
    </row>
    <row r="41" spans="2:9" ht="18" thickBot="1">
      <c r="B41" s="163" t="s">
        <v>240</v>
      </c>
      <c r="C41" s="129">
        <f>(G38+G39)/($D$4*G36)</f>
        <v>2.6868477341863528</v>
      </c>
      <c r="D41" s="129">
        <f>(H38+H39)/($D$4*H36)</f>
        <v>2.0662774364868377</v>
      </c>
      <c r="E41" s="130">
        <f>(I35+I36)/($D$4*I33)</f>
        <v>1.7321241992640222</v>
      </c>
    </row>
    <row r="49" s="5" customFormat="1" hidden="1"/>
    <row r="50" s="5" customFormat="1" hidden="1"/>
  </sheetData>
  <sheetProtection sheet="1" objects="1" scenarios="1"/>
  <mergeCells count="15">
    <mergeCell ref="B36:E36"/>
    <mergeCell ref="B19:E19"/>
    <mergeCell ref="B27:E27"/>
    <mergeCell ref="B29:E29"/>
    <mergeCell ref="B30:E30"/>
    <mergeCell ref="E34:F34"/>
    <mergeCell ref="G34:H34"/>
    <mergeCell ref="C33:D33"/>
    <mergeCell ref="C34:D34"/>
    <mergeCell ref="B1:H1"/>
    <mergeCell ref="G32:H32"/>
    <mergeCell ref="C32:D32"/>
    <mergeCell ref="E32:F32"/>
    <mergeCell ref="E33:F33"/>
    <mergeCell ref="G33:H3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AC0EF-F065-4E2C-B126-6452A2E07C56}">
  <dimension ref="A1:M41"/>
  <sheetViews>
    <sheetView zoomScaleNormal="100" workbookViewId="0">
      <selection activeCell="J40" sqref="J40"/>
    </sheetView>
  </sheetViews>
  <sheetFormatPr defaultColWidth="0" defaultRowHeight="16.5" zeroHeight="1"/>
  <cols>
    <col min="1" max="1" width="2.3046875" style="5" customWidth="1"/>
    <col min="2" max="2" width="33.765625" style="5" customWidth="1"/>
    <col min="3" max="4" width="10.765625" style="5" customWidth="1"/>
    <col min="5" max="5" width="11.765625" style="5" customWidth="1"/>
    <col min="6" max="8" width="10.765625" style="5" customWidth="1"/>
    <col min="9" max="9" width="5.765625" style="5" customWidth="1"/>
    <col min="10" max="10" width="25.765625" style="5" customWidth="1"/>
    <col min="11" max="11" width="14.765625" style="5" bestFit="1" customWidth="1"/>
    <col min="12" max="12" width="8.765625" style="5" customWidth="1"/>
    <col min="13" max="13" width="5.765625" style="5" customWidth="1"/>
    <col min="14" max="14" width="8.84375" style="5" hidden="1" customWidth="1"/>
    <col min="15" max="16384" width="8.84375" style="5" hidden="1"/>
  </cols>
  <sheetData>
    <row r="1" spans="2:13" ht="20">
      <c r="B1" s="249" t="s">
        <v>289</v>
      </c>
      <c r="C1" s="250"/>
      <c r="D1" s="250"/>
      <c r="E1" s="250"/>
      <c r="F1" s="250"/>
      <c r="G1" s="250"/>
      <c r="H1" s="251"/>
      <c r="I1" s="4"/>
      <c r="J1" s="145" t="s">
        <v>286</v>
      </c>
      <c r="K1" s="145"/>
      <c r="L1" s="145"/>
      <c r="M1" s="70"/>
    </row>
    <row r="2" spans="2:13" ht="15.75" customHeight="1">
      <c r="B2" s="174"/>
      <c r="C2" s="175"/>
      <c r="D2" s="172"/>
      <c r="E2" s="176"/>
      <c r="F2" s="172"/>
      <c r="G2" s="172"/>
      <c r="H2" s="173"/>
      <c r="I2" s="4"/>
      <c r="J2" s="165" t="s">
        <v>158</v>
      </c>
      <c r="K2" s="165" t="s">
        <v>11</v>
      </c>
      <c r="L2" s="165" t="s">
        <v>47</v>
      </c>
      <c r="M2" s="135"/>
    </row>
    <row r="3" spans="2:13" ht="17.5">
      <c r="B3" s="136" t="s">
        <v>252</v>
      </c>
      <c r="C3" s="137" t="s">
        <v>11</v>
      </c>
      <c r="D3" s="138" t="s">
        <v>13</v>
      </c>
      <c r="E3" s="139" t="s">
        <v>58</v>
      </c>
      <c r="F3" s="138" t="s">
        <v>0</v>
      </c>
      <c r="G3" s="138" t="s">
        <v>247</v>
      </c>
      <c r="H3" s="140" t="s">
        <v>283</v>
      </c>
      <c r="I3" s="4"/>
      <c r="J3" s="146" t="s">
        <v>168</v>
      </c>
      <c r="K3" s="166" t="s">
        <v>224</v>
      </c>
      <c r="L3" s="214">
        <v>6</v>
      </c>
      <c r="M3" s="38"/>
    </row>
    <row r="4" spans="2:13" ht="17.5">
      <c r="B4" s="15" t="s">
        <v>66</v>
      </c>
      <c r="C4" s="10" t="s">
        <v>230</v>
      </c>
      <c r="D4" s="9">
        <f>L7*'Capital Inputs'!L10*'RAS Bass'!L9*'RAS Bass'!L12</f>
        <v>40101.838424999994</v>
      </c>
      <c r="E4" s="13">
        <f>L3</f>
        <v>6</v>
      </c>
      <c r="F4" s="7">
        <f>D4*E4</f>
        <v>240611.03054999997</v>
      </c>
      <c r="G4" s="11">
        <f>E4</f>
        <v>6</v>
      </c>
      <c r="H4" s="26">
        <f>F4/$F$4</f>
        <v>1</v>
      </c>
      <c r="I4" s="4"/>
      <c r="J4" s="146" t="s">
        <v>166</v>
      </c>
      <c r="K4" s="166" t="s">
        <v>223</v>
      </c>
      <c r="L4" s="214">
        <v>725</v>
      </c>
      <c r="M4" s="58"/>
    </row>
    <row r="5" spans="2:13" ht="17.5">
      <c r="B5" s="15" t="s">
        <v>22</v>
      </c>
      <c r="C5" s="10" t="s">
        <v>7</v>
      </c>
      <c r="D5" s="9">
        <f>D4/L15*L14</f>
        <v>8020.3676849999993</v>
      </c>
      <c r="E5" s="13">
        <f>'Operating Inputs'!D9</f>
        <v>2.25</v>
      </c>
      <c r="F5" s="182">
        <f t="shared" ref="F5" si="0">D5*E5</f>
        <v>18045.82729125</v>
      </c>
      <c r="G5" s="29">
        <f>F5/D4</f>
        <v>0.45000000000000007</v>
      </c>
      <c r="H5" s="30">
        <f t="shared" ref="H5:H15" si="1">F5/$F$4</f>
        <v>7.5000000000000011E-2</v>
      </c>
      <c r="I5" s="4"/>
      <c r="J5" s="146" t="s">
        <v>167</v>
      </c>
      <c r="K5" s="166" t="s">
        <v>225</v>
      </c>
      <c r="L5" s="214">
        <v>0.3</v>
      </c>
      <c r="M5" s="58"/>
    </row>
    <row r="6" spans="2:13" ht="17.5">
      <c r="B6" s="154"/>
      <c r="C6" s="10"/>
      <c r="D6" s="9"/>
      <c r="E6" s="179" t="s">
        <v>253</v>
      </c>
      <c r="F6" s="23">
        <f>F4-F5</f>
        <v>222565.20325874997</v>
      </c>
      <c r="G6" s="24">
        <f>G4-G5</f>
        <v>5.55</v>
      </c>
      <c r="H6" s="27">
        <f t="shared" si="1"/>
        <v>0.92500000000000004</v>
      </c>
      <c r="I6" s="4"/>
      <c r="J6" s="146" t="s">
        <v>163</v>
      </c>
      <c r="K6" s="166" t="s">
        <v>164</v>
      </c>
      <c r="L6" s="212">
        <v>0.02</v>
      </c>
      <c r="M6" s="58"/>
    </row>
    <row r="7" spans="2:13" ht="17.5">
      <c r="B7" s="154"/>
      <c r="C7" s="10"/>
      <c r="D7" s="9"/>
      <c r="E7" s="143"/>
      <c r="F7" s="23"/>
      <c r="G7" s="24"/>
      <c r="H7" s="27"/>
      <c r="I7" s="4"/>
      <c r="J7" s="38" t="s">
        <v>169</v>
      </c>
      <c r="K7" s="166" t="s">
        <v>234</v>
      </c>
      <c r="L7" s="214">
        <v>0.5</v>
      </c>
      <c r="M7" s="38"/>
    </row>
    <row r="8" spans="2:13" ht="17.5">
      <c r="B8" s="155" t="s">
        <v>10</v>
      </c>
      <c r="C8" s="137" t="s">
        <v>11</v>
      </c>
      <c r="D8" s="138" t="s">
        <v>13</v>
      </c>
      <c r="E8" s="139" t="s">
        <v>58</v>
      </c>
      <c r="F8" s="138" t="s">
        <v>0</v>
      </c>
      <c r="G8" s="138" t="s">
        <v>247</v>
      </c>
      <c r="H8" s="140" t="s">
        <v>283</v>
      </c>
      <c r="I8" s="4"/>
      <c r="J8" s="38" t="s">
        <v>242</v>
      </c>
      <c r="K8" s="166" t="s">
        <v>227</v>
      </c>
      <c r="L8" s="214">
        <v>1.5</v>
      </c>
      <c r="M8" s="38"/>
    </row>
    <row r="9" spans="2:13" ht="17.5">
      <c r="B9" s="15" t="s">
        <v>14</v>
      </c>
      <c r="C9" s="10" t="s">
        <v>235</v>
      </c>
      <c r="D9" s="35">
        <f>(D4-L11*D4/L8)*L10/2000/L16</f>
        <v>34.789201710576911</v>
      </c>
      <c r="E9" s="13">
        <f>L4</f>
        <v>725</v>
      </c>
      <c r="F9" s="7">
        <f t="shared" ref="F9:F10" si="2">D9*E9</f>
        <v>25222.17124016826</v>
      </c>
      <c r="G9" s="11">
        <f>F9/$D$4</f>
        <v>0.62895299145299133</v>
      </c>
      <c r="H9" s="26">
        <f t="shared" si="1"/>
        <v>0.10482549857549855</v>
      </c>
      <c r="I9" s="4"/>
      <c r="J9" s="38" t="s">
        <v>259</v>
      </c>
      <c r="K9" s="166" t="s">
        <v>194</v>
      </c>
      <c r="L9" s="212">
        <v>0.95</v>
      </c>
      <c r="M9" s="38"/>
    </row>
    <row r="10" spans="2:13" ht="17.5">
      <c r="B10" s="15" t="s">
        <v>9</v>
      </c>
      <c r="C10" s="10" t="s">
        <v>236</v>
      </c>
      <c r="D10" s="21">
        <f>D4/L8/L9</f>
        <v>28141.640999999996</v>
      </c>
      <c r="E10" s="13">
        <f>L5</f>
        <v>0.3</v>
      </c>
      <c r="F10" s="7">
        <f t="shared" si="2"/>
        <v>8442.4922999999981</v>
      </c>
      <c r="G10" s="11">
        <f t="shared" ref="G10:G15" si="3">F10/$D$4</f>
        <v>0.21052631578947367</v>
      </c>
      <c r="H10" s="26">
        <f t="shared" si="1"/>
        <v>3.5087719298245612E-2</v>
      </c>
      <c r="I10" s="4"/>
      <c r="J10" s="38" t="s">
        <v>228</v>
      </c>
      <c r="K10" s="166" t="s">
        <v>229</v>
      </c>
      <c r="L10" s="214">
        <v>1.75</v>
      </c>
      <c r="M10" s="38"/>
    </row>
    <row r="11" spans="2:13" ht="17.5">
      <c r="B11" s="15" t="s">
        <v>273</v>
      </c>
      <c r="C11" s="10"/>
      <c r="D11" s="20"/>
      <c r="E11" s="13"/>
      <c r="F11" s="7">
        <f>L13*'Operating Inputs'!D4</f>
        <v>35840</v>
      </c>
      <c r="G11" s="11">
        <f t="shared" ref="G11" si="4">F11/$D$4</f>
        <v>0.89372461232742118</v>
      </c>
      <c r="H11" s="26">
        <f t="shared" ref="H11" si="5">F11/$F$4</f>
        <v>0.14895410205457019</v>
      </c>
      <c r="I11" s="4"/>
      <c r="J11" s="38" t="s">
        <v>64</v>
      </c>
      <c r="K11" s="166" t="s">
        <v>230</v>
      </c>
      <c r="L11" s="214">
        <v>0.05</v>
      </c>
      <c r="M11" s="38"/>
    </row>
    <row r="12" spans="2:13" ht="17.5">
      <c r="B12" s="15" t="s">
        <v>132</v>
      </c>
      <c r="C12" s="10"/>
      <c r="D12" s="9"/>
      <c r="E12" s="13"/>
      <c r="F12" s="7">
        <f>'LMB Utilities'!G17+'LMB Utilities'!O3</f>
        <v>12573.875005338961</v>
      </c>
      <c r="G12" s="11">
        <f t="shared" si="3"/>
        <v>0.31354859276227715</v>
      </c>
      <c r="H12" s="26">
        <f t="shared" si="1"/>
        <v>5.2258098793712862E-2</v>
      </c>
      <c r="I12" s="4"/>
      <c r="J12" s="38" t="s">
        <v>69</v>
      </c>
      <c r="K12" s="166" t="s">
        <v>75</v>
      </c>
      <c r="L12" s="214">
        <v>1</v>
      </c>
      <c r="M12" s="38"/>
    </row>
    <row r="13" spans="2:13" ht="17.25" customHeight="1">
      <c r="B13" s="15" t="s">
        <v>59</v>
      </c>
      <c r="C13" s="10"/>
      <c r="D13" s="9"/>
      <c r="E13" s="13"/>
      <c r="F13" s="7">
        <f>'Operating Inputs'!D6*12</f>
        <v>8400</v>
      </c>
      <c r="G13" s="11">
        <f t="shared" si="3"/>
        <v>0.20946670601423933</v>
      </c>
      <c r="H13" s="26">
        <f t="shared" si="1"/>
        <v>3.4911117669039884E-2</v>
      </c>
      <c r="I13" s="4"/>
      <c r="J13" s="38" t="s">
        <v>273</v>
      </c>
      <c r="K13" s="166" t="s">
        <v>237</v>
      </c>
      <c r="L13" s="215">
        <v>2000</v>
      </c>
      <c r="M13" s="38"/>
    </row>
    <row r="14" spans="2:13" ht="17.5">
      <c r="B14" s="15" t="s">
        <v>8</v>
      </c>
      <c r="C14" s="10"/>
      <c r="D14" s="9"/>
      <c r="E14" s="13"/>
      <c r="F14" s="7">
        <f>'Operating Inputs'!D7</f>
        <v>14414</v>
      </c>
      <c r="G14" s="11">
        <f t="shared" si="3"/>
        <v>0.35943489291538638</v>
      </c>
      <c r="H14" s="26">
        <f t="shared" si="1"/>
        <v>5.9905815485897733E-2</v>
      </c>
      <c r="I14" s="4"/>
      <c r="J14" s="147" t="s">
        <v>233</v>
      </c>
      <c r="K14" s="166" t="s">
        <v>232</v>
      </c>
      <c r="L14" s="216">
        <v>400</v>
      </c>
      <c r="M14" s="70"/>
    </row>
    <row r="15" spans="2:13" ht="17.25" customHeight="1">
      <c r="B15" s="15" t="s">
        <v>62</v>
      </c>
      <c r="C15" s="10"/>
      <c r="D15" s="9"/>
      <c r="E15" s="36"/>
      <c r="F15" s="7">
        <f>F4*'RAS Bass'!L6</f>
        <v>4812.2206109999997</v>
      </c>
      <c r="G15" s="11">
        <f t="shared" si="3"/>
        <v>0.12000000000000001</v>
      </c>
      <c r="H15" s="26">
        <f t="shared" si="1"/>
        <v>0.02</v>
      </c>
      <c r="I15" s="4"/>
      <c r="J15" s="147" t="s">
        <v>261</v>
      </c>
      <c r="K15" s="166" t="s">
        <v>262</v>
      </c>
      <c r="L15" s="216">
        <v>2000</v>
      </c>
    </row>
    <row r="16" spans="2:13" ht="17.5">
      <c r="B16" s="15" t="s">
        <v>177</v>
      </c>
      <c r="C16" s="10"/>
      <c r="D16" s="9"/>
      <c r="E16" s="13"/>
      <c r="F16" s="7">
        <f>'Operating Inputs'!D8</f>
        <v>3000</v>
      </c>
      <c r="G16" s="11">
        <f t="shared" ref="G16:G30" si="6">F16/$D$4</f>
        <v>7.4809537862228326E-2</v>
      </c>
      <c r="H16" s="26">
        <f t="shared" ref="H16:H30" si="7">F16/$F$4</f>
        <v>1.2468256310371389E-2</v>
      </c>
      <c r="I16" s="4"/>
      <c r="L16" s="219">
        <f>AVERAGE(L9,1)</f>
        <v>0.97499999999999998</v>
      </c>
    </row>
    <row r="17" spans="2:12" ht="17.5">
      <c r="B17" s="15" t="s">
        <v>23</v>
      </c>
      <c r="C17" s="10"/>
      <c r="D17" s="9"/>
      <c r="E17" s="13"/>
      <c r="F17" s="217">
        <v>0</v>
      </c>
      <c r="G17" s="11">
        <f t="shared" si="6"/>
        <v>0</v>
      </c>
      <c r="H17" s="26">
        <f t="shared" si="7"/>
        <v>0</v>
      </c>
      <c r="I17" s="4"/>
      <c r="L17" s="219"/>
    </row>
    <row r="18" spans="2:12" ht="17.5">
      <c r="B18" s="15" t="s">
        <v>17</v>
      </c>
      <c r="C18" s="10" t="s">
        <v>165</v>
      </c>
      <c r="D18" s="9"/>
      <c r="E18" s="19">
        <f>'Operating Inputs'!D10</f>
        <v>0.09</v>
      </c>
      <c r="F18" s="182">
        <f>SUM(F9:F16)*(1-'Operating Inputs'!D11)*E18/L12</f>
        <v>5071.7141620428247</v>
      </c>
      <c r="G18" s="29">
        <f t="shared" si="6"/>
        <v>0.12647086421058076</v>
      </c>
      <c r="H18" s="30">
        <f t="shared" si="7"/>
        <v>2.1078477368430128E-2</v>
      </c>
      <c r="I18" s="4"/>
    </row>
    <row r="19" spans="2:12" ht="17.5">
      <c r="B19" s="258" t="s">
        <v>16</v>
      </c>
      <c r="C19" s="254"/>
      <c r="D19" s="254"/>
      <c r="E19" s="254"/>
      <c r="F19" s="164">
        <f>SUM(F9:F18)</f>
        <v>117776.47331855005</v>
      </c>
      <c r="G19" s="24">
        <f t="shared" si="6"/>
        <v>2.9369345133345983</v>
      </c>
      <c r="H19" s="27">
        <f t="shared" si="7"/>
        <v>0.48948908555576637</v>
      </c>
      <c r="I19" s="4"/>
    </row>
    <row r="20" spans="2:12" ht="17.5">
      <c r="B20" s="169"/>
      <c r="C20" s="168"/>
      <c r="D20" s="168"/>
      <c r="E20" s="168"/>
      <c r="F20" s="164"/>
      <c r="G20" s="24"/>
      <c r="H20" s="27"/>
      <c r="I20" s="4"/>
    </row>
    <row r="21" spans="2:12" ht="17.5">
      <c r="B21" s="155" t="s">
        <v>18</v>
      </c>
      <c r="C21" s="137" t="s">
        <v>11</v>
      </c>
      <c r="D21" s="138" t="s">
        <v>13</v>
      </c>
      <c r="E21" s="139" t="s">
        <v>58</v>
      </c>
      <c r="F21" s="138" t="s">
        <v>0</v>
      </c>
      <c r="G21" s="138" t="s">
        <v>247</v>
      </c>
      <c r="H21" s="140" t="s">
        <v>283</v>
      </c>
      <c r="I21" s="4"/>
    </row>
    <row r="22" spans="2:12" ht="17.5">
      <c r="B22" s="15" t="s">
        <v>6</v>
      </c>
      <c r="C22" s="10" t="s">
        <v>204</v>
      </c>
      <c r="D22" s="14">
        <v>12</v>
      </c>
      <c r="E22" s="13"/>
      <c r="F22" s="7">
        <f>'Operating Inputs'!D14</f>
        <v>3000</v>
      </c>
      <c r="G22" s="11">
        <f t="shared" si="6"/>
        <v>7.4809537862228326E-2</v>
      </c>
      <c r="H22" s="26">
        <f t="shared" si="7"/>
        <v>1.2468256310371389E-2</v>
      </c>
      <c r="I22" s="4"/>
    </row>
    <row r="23" spans="2:12" ht="17.5">
      <c r="B23" s="15" t="s">
        <v>5</v>
      </c>
      <c r="C23" s="10" t="s">
        <v>204</v>
      </c>
      <c r="D23" s="14">
        <v>12</v>
      </c>
      <c r="E23" s="13"/>
      <c r="F23" s="7">
        <f>'Operating Inputs'!D15</f>
        <v>1000</v>
      </c>
      <c r="G23" s="11">
        <f t="shared" si="6"/>
        <v>2.4936512620742778E-2</v>
      </c>
      <c r="H23" s="26">
        <f t="shared" si="7"/>
        <v>4.1560854367904626E-3</v>
      </c>
      <c r="I23" s="4"/>
    </row>
    <row r="24" spans="2:12" ht="17.5">
      <c r="B24" s="15" t="s">
        <v>254</v>
      </c>
      <c r="C24" s="10" t="s">
        <v>204</v>
      </c>
      <c r="D24" s="14">
        <v>1</v>
      </c>
      <c r="E24" s="13"/>
      <c r="F24" s="7">
        <f>'Operating Inputs'!D16</f>
        <v>45000</v>
      </c>
      <c r="G24" s="11">
        <f t="shared" si="6"/>
        <v>1.122143067933425</v>
      </c>
      <c r="H24" s="26">
        <f t="shared" si="7"/>
        <v>0.18702384465557081</v>
      </c>
      <c r="I24" s="4"/>
    </row>
    <row r="25" spans="2:12" ht="17.5">
      <c r="B25" s="15" t="s">
        <v>19</v>
      </c>
      <c r="C25" s="10"/>
      <c r="D25" s="14"/>
      <c r="E25" s="19">
        <f>'Operating Inputs'!D12</f>
        <v>7.0000000000000007E-2</v>
      </c>
      <c r="F25" s="7">
        <f>('Capital Inputs'!F35-(SUMPRODUCT('Capital Inputs'!E4:E15,'Capital Inputs'!H4:H15)+SUMPRODUCT('Capital Inputs'!E17:E34,'Capital Inputs'!H17:H34)))/2*E25</f>
        <v>11335.070250000002</v>
      </c>
      <c r="G25" s="11">
        <f t="shared" si="6"/>
        <v>0.28265712234613105</v>
      </c>
      <c r="H25" s="26">
        <f t="shared" si="7"/>
        <v>4.7109520391021842E-2</v>
      </c>
      <c r="I25" s="4"/>
    </row>
    <row r="26" spans="2:12" ht="17.5">
      <c r="B26" s="15" t="s">
        <v>20</v>
      </c>
      <c r="C26" s="10"/>
      <c r="D26" s="9"/>
      <c r="E26" s="13"/>
      <c r="F26" s="182">
        <f>'Capital Inputs'!I35</f>
        <v>22356.920238095237</v>
      </c>
      <c r="G26" s="29">
        <f t="shared" si="6"/>
        <v>0.5575036236782015</v>
      </c>
      <c r="H26" s="30">
        <f t="shared" si="7"/>
        <v>9.2917270613033578E-2</v>
      </c>
      <c r="I26" s="4"/>
    </row>
    <row r="27" spans="2:12" ht="17.5">
      <c r="B27" s="265" t="s">
        <v>4</v>
      </c>
      <c r="C27" s="266"/>
      <c r="D27" s="266"/>
      <c r="E27" s="266"/>
      <c r="F27" s="164">
        <f>SUM(F22:F26)</f>
        <v>82691.990488095238</v>
      </c>
      <c r="G27" s="24">
        <f t="shared" si="6"/>
        <v>2.0620498644407284</v>
      </c>
      <c r="H27" s="27">
        <f t="shared" si="7"/>
        <v>0.3436749774067881</v>
      </c>
      <c r="I27" s="4"/>
    </row>
    <row r="28" spans="2:12" ht="17.5">
      <c r="B28" s="15"/>
      <c r="C28" s="10"/>
      <c r="D28" s="8"/>
      <c r="E28" s="8"/>
      <c r="F28" s="7"/>
      <c r="G28" s="11"/>
      <c r="H28" s="28"/>
      <c r="I28" s="4"/>
    </row>
    <row r="29" spans="2:12" ht="17.5">
      <c r="B29" s="258" t="s">
        <v>3</v>
      </c>
      <c r="C29" s="254"/>
      <c r="D29" s="254"/>
      <c r="E29" s="254"/>
      <c r="F29" s="23">
        <f>SUM(F27,F19)</f>
        <v>200468.4638066453</v>
      </c>
      <c r="G29" s="24">
        <f t="shared" si="6"/>
        <v>4.9989843777753276</v>
      </c>
      <c r="H29" s="27">
        <f t="shared" si="7"/>
        <v>0.83316406296255452</v>
      </c>
      <c r="I29" s="4"/>
      <c r="J29" s="4"/>
    </row>
    <row r="30" spans="2:12" ht="17.5">
      <c r="B30" s="258" t="s">
        <v>21</v>
      </c>
      <c r="C30" s="254"/>
      <c r="D30" s="254"/>
      <c r="E30" s="254"/>
      <c r="F30" s="23">
        <f>F6-F29</f>
        <v>22096.739452104666</v>
      </c>
      <c r="G30" s="24">
        <f t="shared" si="6"/>
        <v>0.55101562222467282</v>
      </c>
      <c r="H30" s="27">
        <f t="shared" si="7"/>
        <v>9.183593703744547E-2</v>
      </c>
      <c r="I30" s="4"/>
      <c r="J30" s="4"/>
    </row>
    <row r="31" spans="2:12" ht="18" thickBot="1">
      <c r="B31" s="156"/>
      <c r="C31" s="157"/>
      <c r="D31" s="157"/>
      <c r="E31" s="157"/>
      <c r="F31" s="158"/>
      <c r="G31" s="158"/>
      <c r="H31" s="159"/>
      <c r="I31" s="4"/>
    </row>
    <row r="32" spans="2:12" ht="17.5">
      <c r="B32" s="16"/>
      <c r="C32" s="254" t="s">
        <v>43</v>
      </c>
      <c r="D32" s="254"/>
      <c r="E32" s="254" t="s">
        <v>44</v>
      </c>
      <c r="F32" s="254"/>
      <c r="G32" s="254"/>
      <c r="H32" s="262"/>
      <c r="I32" s="6"/>
    </row>
    <row r="33" spans="2:9" ht="17.5">
      <c r="B33" s="17" t="s">
        <v>32</v>
      </c>
      <c r="C33" s="267">
        <f>F19/D4</f>
        <v>2.9369345133345983</v>
      </c>
      <c r="D33" s="267"/>
      <c r="E33" s="255">
        <f>F19/E4</f>
        <v>19629.412219758342</v>
      </c>
      <c r="F33" s="255"/>
      <c r="G33" s="263"/>
      <c r="H33" s="264"/>
      <c r="I33" s="33">
        <v>1.3</v>
      </c>
    </row>
    <row r="34" spans="2:9" ht="18" thickBot="1">
      <c r="B34" s="18" t="s">
        <v>33</v>
      </c>
      <c r="C34" s="268">
        <f>F29/D4</f>
        <v>4.9989843777753276</v>
      </c>
      <c r="D34" s="268"/>
      <c r="E34" s="259">
        <f>F29/E4</f>
        <v>33411.410634440886</v>
      </c>
      <c r="F34" s="259"/>
      <c r="G34" s="260"/>
      <c r="H34" s="261"/>
      <c r="I34" s="34">
        <f>(F4*I33)-(F5*I33)</f>
        <v>289334.76423637493</v>
      </c>
    </row>
    <row r="35" spans="2:9" ht="18" thickBot="1">
      <c r="B35" s="4"/>
      <c r="C35" s="4"/>
      <c r="D35" s="4"/>
      <c r="E35" s="4"/>
      <c r="F35" s="4"/>
      <c r="G35" s="4"/>
      <c r="H35" s="4"/>
      <c r="I35" s="34">
        <f>(F9+F15)*I33+(F19-F9-F15)</f>
        <v>126786.79087390054</v>
      </c>
    </row>
    <row r="36" spans="2:9" ht="20">
      <c r="B36" s="249" t="s">
        <v>243</v>
      </c>
      <c r="C36" s="250"/>
      <c r="D36" s="250"/>
      <c r="E36" s="251"/>
      <c r="F36" s="32"/>
      <c r="G36" s="33">
        <v>0.7</v>
      </c>
      <c r="H36" s="33">
        <v>1</v>
      </c>
      <c r="I36" s="34">
        <f>F27</f>
        <v>82691.990488095238</v>
      </c>
    </row>
    <row r="37" spans="2:9" ht="17.5">
      <c r="B37" s="121"/>
      <c r="C37" s="122">
        <v>-0.3</v>
      </c>
      <c r="D37" s="123" t="s">
        <v>157</v>
      </c>
      <c r="E37" s="124">
        <v>0.3</v>
      </c>
      <c r="F37" s="22" t="s">
        <v>63</v>
      </c>
      <c r="G37" s="34">
        <f>(F4*G36)-(F5*G36)</f>
        <v>155795.64228112495</v>
      </c>
      <c r="H37" s="34">
        <f>F6</f>
        <v>222565.20325874997</v>
      </c>
    </row>
    <row r="38" spans="2:9" ht="17.5">
      <c r="B38" s="162" t="s">
        <v>238</v>
      </c>
      <c r="C38" s="125">
        <f>(G37-G38-G39)/'Capital Inputs'!$F$35</f>
        <v>-9.8965607204528544E-2</v>
      </c>
      <c r="D38" s="125">
        <f>(H37-H38-H39)/'Capital Inputs'!$F$35</f>
        <v>6.1319789517499342E-2</v>
      </c>
      <c r="E38" s="126">
        <f>(I34-I35-I36)/'Capital Inputs'!$F$35</f>
        <v>0.22160518623952705</v>
      </c>
      <c r="F38" s="22" t="s">
        <v>76</v>
      </c>
      <c r="G38" s="34">
        <f>(F9+F15)*G36+(F19-F9-F15)</f>
        <v>108766.15576319958</v>
      </c>
      <c r="H38" s="34">
        <f>F19</f>
        <v>117776.47331855005</v>
      </c>
    </row>
    <row r="39" spans="2:9" ht="17.5">
      <c r="B39" s="162" t="s">
        <v>239</v>
      </c>
      <c r="C39" s="25">
        <f>(G37-G38)/G37</f>
        <v>0.30186650813418237</v>
      </c>
      <c r="D39" s="25">
        <f t="shared" ref="D39" si="8">(H37-H38)/H37</f>
        <v>0.47082261020998228</v>
      </c>
      <c r="E39" s="26">
        <f>(I34-I35)/I34</f>
        <v>0.56179897286618219</v>
      </c>
      <c r="F39" s="22" t="s">
        <v>77</v>
      </c>
      <c r="G39" s="34">
        <f>F27</f>
        <v>82691.990488095238</v>
      </c>
      <c r="H39" s="34">
        <f>F27</f>
        <v>82691.990488095238</v>
      </c>
    </row>
    <row r="40" spans="2:9" ht="17.5">
      <c r="B40" s="162" t="s">
        <v>21</v>
      </c>
      <c r="C40" s="127">
        <f>G37-G38-G39</f>
        <v>-35662.50397016987</v>
      </c>
      <c r="D40" s="127">
        <f t="shared" ref="D40" si="9">H37-H38-H39</f>
        <v>22096.739452104681</v>
      </c>
      <c r="E40" s="128">
        <f>I34-I35-I36</f>
        <v>79855.982874379173</v>
      </c>
    </row>
    <row r="41" spans="2:9" ht="18" thickBot="1">
      <c r="B41" s="163" t="s">
        <v>240</v>
      </c>
      <c r="C41" s="129">
        <f>(G38+G39)/($D$4*G36)</f>
        <v>6.8204264004848998</v>
      </c>
      <c r="D41" s="129">
        <f>(H38+H39)/($D$4*H36)</f>
        <v>4.9989843777753276</v>
      </c>
      <c r="E41" s="130">
        <f>(I35+I36)/($D$4*I33)</f>
        <v>4.0182079040086345</v>
      </c>
    </row>
  </sheetData>
  <sheetProtection sheet="1" objects="1" scenarios="1"/>
  <mergeCells count="15">
    <mergeCell ref="G34:H34"/>
    <mergeCell ref="B1:H1"/>
    <mergeCell ref="G32:H32"/>
    <mergeCell ref="G33:H33"/>
    <mergeCell ref="B36:E36"/>
    <mergeCell ref="B30:E30"/>
    <mergeCell ref="B19:E19"/>
    <mergeCell ref="B27:E27"/>
    <mergeCell ref="B29:E29"/>
    <mergeCell ref="E32:F32"/>
    <mergeCell ref="E33:F33"/>
    <mergeCell ref="E34:F34"/>
    <mergeCell ref="C32:D32"/>
    <mergeCell ref="C33:D33"/>
    <mergeCell ref="C34:D3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CA327-133B-44FB-9E86-4674D8287EEA}">
  <dimension ref="A1:M80"/>
  <sheetViews>
    <sheetView zoomScaleNormal="100" workbookViewId="0">
      <selection activeCell="F25" sqref="F25"/>
    </sheetView>
  </sheetViews>
  <sheetFormatPr defaultColWidth="0" defaultRowHeight="16.5" zeroHeight="1"/>
  <cols>
    <col min="1" max="1" width="2.3046875" style="5" customWidth="1"/>
    <col min="2" max="2" width="33.765625" style="5" customWidth="1"/>
    <col min="3" max="4" width="10.765625" style="5" customWidth="1"/>
    <col min="5" max="5" width="11.765625" style="5" customWidth="1"/>
    <col min="6" max="8" width="10.765625" style="5" customWidth="1"/>
    <col min="9" max="9" width="5.765625" style="5" customWidth="1"/>
    <col min="10" max="10" width="25.765625" style="5" customWidth="1"/>
    <col min="11" max="11" width="14.765625" style="5" bestFit="1" customWidth="1"/>
    <col min="12" max="12" width="8.765625" style="5" customWidth="1"/>
    <col min="13" max="13" width="5.765625" style="5" customWidth="1"/>
    <col min="14" max="14" width="8.84375" style="5" hidden="1" customWidth="1"/>
    <col min="15" max="16384" width="8.84375" style="5" hidden="1"/>
  </cols>
  <sheetData>
    <row r="1" spans="2:13" ht="20">
      <c r="B1" s="249" t="s">
        <v>290</v>
      </c>
      <c r="C1" s="250"/>
      <c r="D1" s="250"/>
      <c r="E1" s="250"/>
      <c r="F1" s="250"/>
      <c r="G1" s="250"/>
      <c r="H1" s="251"/>
      <c r="I1" s="4"/>
      <c r="J1" s="269" t="s">
        <v>287</v>
      </c>
      <c r="K1" s="269"/>
      <c r="L1" s="269"/>
      <c r="M1" s="70"/>
    </row>
    <row r="2" spans="2:13" ht="17.5">
      <c r="B2" s="183"/>
      <c r="C2" s="177"/>
      <c r="D2" s="178"/>
      <c r="E2" s="176"/>
      <c r="F2" s="172"/>
      <c r="G2" s="172"/>
      <c r="H2" s="173"/>
      <c r="I2" s="4"/>
      <c r="J2" s="165" t="s">
        <v>158</v>
      </c>
      <c r="K2" s="165" t="s">
        <v>11</v>
      </c>
      <c r="L2" s="165" t="s">
        <v>47</v>
      </c>
      <c r="M2" s="135"/>
    </row>
    <row r="3" spans="2:13" ht="17.5">
      <c r="B3" s="136" t="s">
        <v>252</v>
      </c>
      <c r="C3" s="137" t="s">
        <v>11</v>
      </c>
      <c r="D3" s="138" t="s">
        <v>13</v>
      </c>
      <c r="E3" s="139" t="s">
        <v>58</v>
      </c>
      <c r="F3" s="138" t="s">
        <v>0</v>
      </c>
      <c r="G3" s="138" t="s">
        <v>247</v>
      </c>
      <c r="H3" s="140" t="s">
        <v>283</v>
      </c>
      <c r="I3" s="4"/>
      <c r="J3" s="146" t="s">
        <v>170</v>
      </c>
      <c r="K3" s="166" t="s">
        <v>224</v>
      </c>
      <c r="L3" s="214">
        <v>4</v>
      </c>
      <c r="M3" s="38"/>
    </row>
    <row r="4" spans="2:13" ht="17.5">
      <c r="B4" s="15" t="s">
        <v>72</v>
      </c>
      <c r="C4" s="10" t="s">
        <v>230</v>
      </c>
      <c r="D4" s="9">
        <f>L7*'Capital Inputs'!L10*'RAS Catfish'!L9*'RAS Catfish'!L12</f>
        <v>68384.18763</v>
      </c>
      <c r="E4" s="13">
        <f>L3</f>
        <v>4</v>
      </c>
      <c r="F4" s="7">
        <f>D4*E4</f>
        <v>273536.75052</v>
      </c>
      <c r="G4" s="11">
        <f>E4</f>
        <v>4</v>
      </c>
      <c r="H4" s="26">
        <f>F4/$F$4</f>
        <v>1</v>
      </c>
      <c r="I4" s="4"/>
      <c r="J4" s="146" t="s">
        <v>160</v>
      </c>
      <c r="K4" s="166" t="s">
        <v>223</v>
      </c>
      <c r="L4" s="214">
        <v>600</v>
      </c>
      <c r="M4" s="58"/>
    </row>
    <row r="5" spans="2:13" ht="17.5">
      <c r="B5" s="15" t="s">
        <v>22</v>
      </c>
      <c r="C5" s="10" t="s">
        <v>7</v>
      </c>
      <c r="D5" s="9">
        <f>D4/L15*L14</f>
        <v>13676.837525999999</v>
      </c>
      <c r="E5" s="13">
        <f>'Operating Inputs'!D9</f>
        <v>2.25</v>
      </c>
      <c r="F5" s="182">
        <f t="shared" ref="F5" si="0">D5*E5</f>
        <v>30772.884433499999</v>
      </c>
      <c r="G5" s="29">
        <f>F5/D4</f>
        <v>0.45</v>
      </c>
      <c r="H5" s="30">
        <f t="shared" ref="H5:H15" si="1">F5/$F$4</f>
        <v>0.1125</v>
      </c>
      <c r="I5" s="4"/>
      <c r="J5" s="146" t="s">
        <v>255</v>
      </c>
      <c r="K5" s="166" t="s">
        <v>225</v>
      </c>
      <c r="L5" s="214">
        <v>0.15</v>
      </c>
      <c r="M5" s="58"/>
    </row>
    <row r="6" spans="2:13" ht="17.5">
      <c r="B6" s="154"/>
      <c r="C6" s="10"/>
      <c r="D6" s="9"/>
      <c r="E6" s="143" t="s">
        <v>253</v>
      </c>
      <c r="F6" s="23">
        <f>F4-F5</f>
        <v>242763.8660865</v>
      </c>
      <c r="G6" s="24">
        <f>G4-G5</f>
        <v>3.55</v>
      </c>
      <c r="H6" s="27">
        <f t="shared" si="1"/>
        <v>0.88749999999999996</v>
      </c>
      <c r="I6" s="4"/>
      <c r="J6" s="146" t="s">
        <v>163</v>
      </c>
      <c r="K6" s="166" t="s">
        <v>164</v>
      </c>
      <c r="L6" s="212">
        <v>0.02</v>
      </c>
      <c r="M6" s="58"/>
    </row>
    <row r="7" spans="2:13" ht="17.5">
      <c r="B7" s="154"/>
      <c r="C7" s="10"/>
      <c r="D7" s="9"/>
      <c r="E7" s="143"/>
      <c r="F7" s="23"/>
      <c r="G7" s="24"/>
      <c r="H7" s="27"/>
      <c r="I7" s="4"/>
      <c r="J7" s="38" t="s">
        <v>256</v>
      </c>
      <c r="K7" s="166" t="s">
        <v>234</v>
      </c>
      <c r="L7" s="214">
        <v>0.6</v>
      </c>
      <c r="M7" s="38"/>
    </row>
    <row r="8" spans="2:13" ht="17.5">
      <c r="B8" s="155" t="s">
        <v>10</v>
      </c>
      <c r="C8" s="137" t="s">
        <v>11</v>
      </c>
      <c r="D8" s="138" t="s">
        <v>13</v>
      </c>
      <c r="E8" s="139" t="s">
        <v>58</v>
      </c>
      <c r="F8" s="138" t="s">
        <v>0</v>
      </c>
      <c r="G8" s="138" t="s">
        <v>247</v>
      </c>
      <c r="H8" s="140" t="s">
        <v>283</v>
      </c>
      <c r="I8" s="4"/>
      <c r="J8" s="38" t="s">
        <v>257</v>
      </c>
      <c r="K8" s="166" t="s">
        <v>227</v>
      </c>
      <c r="L8" s="214">
        <v>2</v>
      </c>
      <c r="M8" s="38"/>
    </row>
    <row r="9" spans="2:13" ht="17.5">
      <c r="B9" s="15" t="s">
        <v>14</v>
      </c>
      <c r="C9" s="10" t="s">
        <v>235</v>
      </c>
      <c r="D9" s="9">
        <f>(D4-L11*D4/L8)*L10/2000/L16</f>
        <v>52.637828636250013</v>
      </c>
      <c r="E9" s="13">
        <f>L4</f>
        <v>600</v>
      </c>
      <c r="F9" s="7">
        <f t="shared" ref="F9:F10" si="2">D9*E9</f>
        <v>31582.697181750009</v>
      </c>
      <c r="G9" s="11">
        <f>F9/$D$4</f>
        <v>0.461842105263158</v>
      </c>
      <c r="H9" s="26">
        <f t="shared" si="1"/>
        <v>0.1154605263157895</v>
      </c>
      <c r="I9" s="4"/>
      <c r="J9" s="38" t="s">
        <v>259</v>
      </c>
      <c r="K9" s="166" t="s">
        <v>194</v>
      </c>
      <c r="L9" s="212">
        <v>0.9</v>
      </c>
      <c r="M9" s="38"/>
    </row>
    <row r="10" spans="2:13" ht="17.5">
      <c r="B10" s="15" t="s">
        <v>9</v>
      </c>
      <c r="C10" s="10" t="s">
        <v>236</v>
      </c>
      <c r="D10" s="21">
        <f>D4/L8/L9</f>
        <v>37991.215349999999</v>
      </c>
      <c r="E10" s="13">
        <f>L5</f>
        <v>0.15</v>
      </c>
      <c r="F10" s="7">
        <f t="shared" si="2"/>
        <v>5698.6823024999994</v>
      </c>
      <c r="G10" s="11">
        <f t="shared" ref="G10:G15" si="3">F10/$D$4</f>
        <v>8.3333333333333329E-2</v>
      </c>
      <c r="H10" s="26">
        <f t="shared" si="1"/>
        <v>2.0833333333333332E-2</v>
      </c>
      <c r="I10" s="4"/>
      <c r="J10" s="38" t="s">
        <v>228</v>
      </c>
      <c r="K10" s="166" t="s">
        <v>229</v>
      </c>
      <c r="L10" s="214">
        <v>1.5</v>
      </c>
      <c r="M10" s="38"/>
    </row>
    <row r="11" spans="2:13" ht="17.5">
      <c r="B11" s="15" t="s">
        <v>273</v>
      </c>
      <c r="C11" s="10"/>
      <c r="D11" s="20"/>
      <c r="E11" s="13"/>
      <c r="F11" s="7">
        <f>L13*'Operating Inputs'!D4</f>
        <v>40320.000000000007</v>
      </c>
      <c r="G11" s="11">
        <f t="shared" ref="G11" si="4">F11/$D$4</f>
        <v>0.58960998729934033</v>
      </c>
      <c r="H11" s="26">
        <f t="shared" ref="H11" si="5">F11/$F$4</f>
        <v>0.14740249682483508</v>
      </c>
      <c r="I11" s="4"/>
      <c r="J11" s="38" t="s">
        <v>64</v>
      </c>
      <c r="K11" s="166" t="s">
        <v>230</v>
      </c>
      <c r="L11" s="214">
        <v>0.05</v>
      </c>
      <c r="M11" s="38"/>
    </row>
    <row r="12" spans="2:13" ht="17.5">
      <c r="B12" s="15" t="s">
        <v>132</v>
      </c>
      <c r="C12" s="10"/>
      <c r="D12" s="9"/>
      <c r="E12" s="13"/>
      <c r="F12" s="7">
        <f>'Catfish Utilities'!G17+'Catfish Utilities'!O3</f>
        <v>13622.075359928607</v>
      </c>
      <c r="G12" s="11">
        <f t="shared" si="3"/>
        <v>0.19919919841166076</v>
      </c>
      <c r="H12" s="26">
        <f t="shared" si="1"/>
        <v>4.9799799602915189E-2</v>
      </c>
      <c r="I12" s="4"/>
      <c r="J12" s="38" t="s">
        <v>69</v>
      </c>
      <c r="K12" s="166" t="s">
        <v>75</v>
      </c>
      <c r="L12" s="214">
        <v>1.5</v>
      </c>
      <c r="M12" s="38"/>
    </row>
    <row r="13" spans="2:13" ht="17.5">
      <c r="B13" s="15" t="s">
        <v>59</v>
      </c>
      <c r="C13" s="10"/>
      <c r="D13" s="9"/>
      <c r="E13" s="13"/>
      <c r="F13" s="7">
        <f>'Operating Inputs'!D6*12</f>
        <v>8400</v>
      </c>
      <c r="G13" s="11">
        <f t="shared" si="3"/>
        <v>0.12283541402069588</v>
      </c>
      <c r="H13" s="26">
        <f t="shared" si="1"/>
        <v>3.070885350517397E-2</v>
      </c>
      <c r="I13" s="4"/>
      <c r="J13" s="38" t="s">
        <v>273</v>
      </c>
      <c r="K13" s="166" t="s">
        <v>237</v>
      </c>
      <c r="L13" s="215">
        <v>2250</v>
      </c>
      <c r="M13" s="38"/>
    </row>
    <row r="14" spans="2:13" ht="17.5">
      <c r="B14" s="15" t="s">
        <v>8</v>
      </c>
      <c r="C14" s="10"/>
      <c r="D14" s="9"/>
      <c r="E14" s="13"/>
      <c r="F14" s="7">
        <f>'Operating Inputs'!D7</f>
        <v>14414</v>
      </c>
      <c r="G14" s="11">
        <f t="shared" si="3"/>
        <v>0.21077972115408458</v>
      </c>
      <c r="H14" s="26">
        <f t="shared" si="1"/>
        <v>5.2694930288521145E-2</v>
      </c>
      <c r="I14" s="4"/>
      <c r="J14" s="147" t="s">
        <v>233</v>
      </c>
      <c r="K14" s="166" t="s">
        <v>232</v>
      </c>
      <c r="L14" s="216">
        <v>400</v>
      </c>
      <c r="M14" s="70"/>
    </row>
    <row r="15" spans="2:13" ht="17.5">
      <c r="B15" s="15" t="s">
        <v>62</v>
      </c>
      <c r="C15" s="10"/>
      <c r="D15" s="9"/>
      <c r="E15" s="37"/>
      <c r="F15" s="7">
        <f>F4*L6</f>
        <v>5470.7350103999997</v>
      </c>
      <c r="G15" s="11">
        <f t="shared" si="3"/>
        <v>0.08</v>
      </c>
      <c r="H15" s="26">
        <f t="shared" si="1"/>
        <v>0.02</v>
      </c>
      <c r="I15" s="4"/>
      <c r="J15" s="147" t="s">
        <v>261</v>
      </c>
      <c r="K15" s="166" t="s">
        <v>262</v>
      </c>
      <c r="L15" s="216">
        <v>2000</v>
      </c>
      <c r="M15" s="167"/>
    </row>
    <row r="16" spans="2:13" ht="17.5">
      <c r="B16" s="15" t="s">
        <v>177</v>
      </c>
      <c r="C16" s="10"/>
      <c r="D16" s="9"/>
      <c r="E16" s="13"/>
      <c r="F16" s="7">
        <f>'Operating Inputs'!D8</f>
        <v>3000</v>
      </c>
      <c r="G16" s="11">
        <f t="shared" ref="G16:G30" si="6">F16/$D$4</f>
        <v>4.3869790721677099E-2</v>
      </c>
      <c r="H16" s="26">
        <f t="shared" ref="H16:H30" si="7">F16/$F$4</f>
        <v>1.0967447680419275E-2</v>
      </c>
      <c r="I16" s="4"/>
      <c r="J16" s="22" t="s">
        <v>73</v>
      </c>
      <c r="K16" s="22">
        <v>2</v>
      </c>
      <c r="L16" s="219">
        <f>AVERAGE(L9,1)</f>
        <v>0.95</v>
      </c>
      <c r="M16" s="22">
        <v>1.5</v>
      </c>
    </row>
    <row r="17" spans="2:12" ht="17.5">
      <c r="B17" s="15" t="s">
        <v>23</v>
      </c>
      <c r="C17" s="10"/>
      <c r="D17" s="9"/>
      <c r="E17" s="13"/>
      <c r="F17" s="217">
        <v>0</v>
      </c>
      <c r="G17" s="11">
        <f t="shared" si="6"/>
        <v>0</v>
      </c>
      <c r="H17" s="26">
        <f t="shared" si="7"/>
        <v>0</v>
      </c>
      <c r="I17" s="4"/>
      <c r="L17" s="219" t="s">
        <v>74</v>
      </c>
    </row>
    <row r="18" spans="2:12" ht="17.5">
      <c r="B18" s="15" t="s">
        <v>17</v>
      </c>
      <c r="C18" s="10" t="s">
        <v>165</v>
      </c>
      <c r="D18" s="9"/>
      <c r="E18" s="19">
        <f>'Operating Inputs'!D10</f>
        <v>0.09</v>
      </c>
      <c r="F18" s="182">
        <f>SUM(F9:F16)*(1-'Operating Inputs'!D11)*E18/L12</f>
        <v>3675.2456956373585</v>
      </c>
      <c r="G18" s="29">
        <f t="shared" si="6"/>
        <v>5.3744086506118498E-2</v>
      </c>
      <c r="H18" s="30">
        <f t="shared" si="7"/>
        <v>1.3436021626529624E-2</v>
      </c>
      <c r="I18" s="4"/>
      <c r="L18" s="22">
        <v>1</v>
      </c>
    </row>
    <row r="19" spans="2:12" ht="17.5">
      <c r="B19" s="258" t="s">
        <v>16</v>
      </c>
      <c r="C19" s="254"/>
      <c r="D19" s="254"/>
      <c r="E19" s="254"/>
      <c r="F19" s="164">
        <f>SUM(F9:F18)</f>
        <v>126183.43555021597</v>
      </c>
      <c r="G19" s="24">
        <f t="shared" si="6"/>
        <v>1.8452136367100684</v>
      </c>
      <c r="H19" s="27">
        <f t="shared" si="7"/>
        <v>0.46130340917751711</v>
      </c>
      <c r="I19" s="4"/>
    </row>
    <row r="20" spans="2:12" ht="17.5">
      <c r="B20" s="169"/>
      <c r="C20" s="168"/>
      <c r="D20" s="168"/>
      <c r="E20" s="168"/>
      <c r="F20" s="164"/>
      <c r="G20" s="24"/>
      <c r="H20" s="27"/>
      <c r="I20" s="4"/>
    </row>
    <row r="21" spans="2:12" ht="17.5">
      <c r="B21" s="155" t="s">
        <v>18</v>
      </c>
      <c r="C21" s="137" t="s">
        <v>11</v>
      </c>
      <c r="D21" s="138" t="s">
        <v>13</v>
      </c>
      <c r="E21" s="139" t="s">
        <v>58</v>
      </c>
      <c r="F21" s="138" t="s">
        <v>0</v>
      </c>
      <c r="G21" s="138" t="s">
        <v>247</v>
      </c>
      <c r="H21" s="140" t="s">
        <v>283</v>
      </c>
      <c r="I21" s="4"/>
    </row>
    <row r="22" spans="2:12" ht="17.5">
      <c r="B22" s="15" t="s">
        <v>6</v>
      </c>
      <c r="C22" s="10" t="s">
        <v>204</v>
      </c>
      <c r="D22" s="14">
        <v>12</v>
      </c>
      <c r="E22" s="13"/>
      <c r="F22" s="7">
        <f>'Operating Inputs'!D14</f>
        <v>3000</v>
      </c>
      <c r="G22" s="11">
        <f t="shared" si="6"/>
        <v>4.3869790721677099E-2</v>
      </c>
      <c r="H22" s="26">
        <f t="shared" si="7"/>
        <v>1.0967447680419275E-2</v>
      </c>
      <c r="I22" s="4"/>
    </row>
    <row r="23" spans="2:12" ht="17.5">
      <c r="B23" s="15" t="s">
        <v>5</v>
      </c>
      <c r="C23" s="10" t="s">
        <v>204</v>
      </c>
      <c r="D23" s="14">
        <v>12</v>
      </c>
      <c r="E23" s="13"/>
      <c r="F23" s="7">
        <f>'Operating Inputs'!D15</f>
        <v>1000</v>
      </c>
      <c r="G23" s="11">
        <f t="shared" si="6"/>
        <v>1.4623263573892367E-2</v>
      </c>
      <c r="H23" s="26">
        <f t="shared" si="7"/>
        <v>3.6558158934730917E-3</v>
      </c>
      <c r="I23" s="4"/>
    </row>
    <row r="24" spans="2:12" ht="17.5">
      <c r="B24" s="15" t="s">
        <v>254</v>
      </c>
      <c r="C24" s="10" t="s">
        <v>204</v>
      </c>
      <c r="D24" s="14">
        <v>1</v>
      </c>
      <c r="E24" s="13"/>
      <c r="F24" s="7">
        <f>'Operating Inputs'!D16</f>
        <v>45000</v>
      </c>
      <c r="G24" s="11">
        <f t="shared" si="6"/>
        <v>0.65804686082515651</v>
      </c>
      <c r="H24" s="26">
        <f t="shared" si="7"/>
        <v>0.16451171520628913</v>
      </c>
      <c r="I24" s="4"/>
    </row>
    <row r="25" spans="2:12" ht="17.5">
      <c r="B25" s="15" t="s">
        <v>19</v>
      </c>
      <c r="C25" s="120"/>
      <c r="D25" s="14"/>
      <c r="E25" s="19">
        <f>'Operating Inputs'!D12</f>
        <v>7.0000000000000007E-2</v>
      </c>
      <c r="F25" s="7">
        <f>('Capital Inputs'!F35-(SUMPRODUCT('Capital Inputs'!E4:E15,'Capital Inputs'!H4:H15)+SUMPRODUCT('Capital Inputs'!E17:E34,'Capital Inputs'!H17:H34)))/2*E25</f>
        <v>11335.070250000002</v>
      </c>
      <c r="G25" s="11">
        <f t="shared" si="6"/>
        <v>0.16575571989433607</v>
      </c>
      <c r="H25" s="26">
        <f t="shared" si="7"/>
        <v>4.1438929973584018E-2</v>
      </c>
      <c r="I25" s="4"/>
    </row>
    <row r="26" spans="2:12" ht="17.5">
      <c r="B26" s="15" t="s">
        <v>20</v>
      </c>
      <c r="C26" s="120"/>
      <c r="D26" s="9"/>
      <c r="E26" s="13"/>
      <c r="F26" s="182">
        <f>'Capital Inputs'!I35</f>
        <v>22356.920238095237</v>
      </c>
      <c r="G26" s="29">
        <f t="shared" si="6"/>
        <v>0.32693113734215518</v>
      </c>
      <c r="H26" s="30">
        <f t="shared" si="7"/>
        <v>8.1732784335538794E-2</v>
      </c>
      <c r="I26" s="4"/>
    </row>
    <row r="27" spans="2:12" ht="17.5">
      <c r="B27" s="258" t="s">
        <v>4</v>
      </c>
      <c r="C27" s="254"/>
      <c r="D27" s="254"/>
      <c r="E27" s="254"/>
      <c r="F27" s="164">
        <f>SUM(F22:F26)</f>
        <v>82691.990488095238</v>
      </c>
      <c r="G27" s="24">
        <f t="shared" si="6"/>
        <v>1.2092267723572172</v>
      </c>
      <c r="H27" s="27">
        <f t="shared" si="7"/>
        <v>0.3023066930893043</v>
      </c>
      <c r="I27" s="4"/>
    </row>
    <row r="28" spans="2:12" ht="17.5">
      <c r="B28" s="15"/>
      <c r="C28" s="120"/>
      <c r="D28" s="8"/>
      <c r="E28" s="8"/>
      <c r="F28" s="7"/>
      <c r="G28" s="11"/>
      <c r="H28" s="28"/>
      <c r="I28" s="4"/>
    </row>
    <row r="29" spans="2:12" ht="17.5">
      <c r="B29" s="258" t="s">
        <v>3</v>
      </c>
      <c r="C29" s="254"/>
      <c r="D29" s="254"/>
      <c r="E29" s="254"/>
      <c r="F29" s="23">
        <f>SUM(F27,F19)</f>
        <v>208875.42603831121</v>
      </c>
      <c r="G29" s="24">
        <f t="shared" si="6"/>
        <v>3.0544404090672854</v>
      </c>
      <c r="H29" s="27">
        <f t="shared" si="7"/>
        <v>0.76361010226682136</v>
      </c>
      <c r="I29" s="4"/>
    </row>
    <row r="30" spans="2:12" ht="17.5">
      <c r="B30" s="258" t="s">
        <v>21</v>
      </c>
      <c r="C30" s="254"/>
      <c r="D30" s="254"/>
      <c r="E30" s="254"/>
      <c r="F30" s="23">
        <f>F6-F29</f>
        <v>33888.440048188786</v>
      </c>
      <c r="G30" s="24">
        <f t="shared" si="6"/>
        <v>0.49555959093271434</v>
      </c>
      <c r="H30" s="27">
        <f t="shared" si="7"/>
        <v>0.12388989773317859</v>
      </c>
      <c r="I30" s="4"/>
    </row>
    <row r="31" spans="2:12" ht="18" thickBot="1">
      <c r="B31" s="184"/>
      <c r="C31" s="185"/>
      <c r="D31" s="185"/>
      <c r="E31" s="185"/>
      <c r="F31" s="158"/>
      <c r="G31" s="158"/>
      <c r="H31" s="159"/>
      <c r="I31" s="4"/>
    </row>
    <row r="32" spans="2:12" ht="17.5">
      <c r="B32" s="188"/>
      <c r="C32" s="273" t="s">
        <v>43</v>
      </c>
      <c r="D32" s="273"/>
      <c r="E32" s="273" t="s">
        <v>44</v>
      </c>
      <c r="F32" s="273"/>
      <c r="G32" s="273"/>
      <c r="H32" s="274"/>
      <c r="I32" s="6"/>
    </row>
    <row r="33" spans="2:12" ht="17.5">
      <c r="B33" s="17" t="s">
        <v>32</v>
      </c>
      <c r="C33" s="267">
        <f>F19/D4</f>
        <v>1.8452136367100684</v>
      </c>
      <c r="D33" s="267"/>
      <c r="E33" s="275">
        <f>F19/E4</f>
        <v>31545.858887553994</v>
      </c>
      <c r="F33" s="275"/>
      <c r="G33" s="276"/>
      <c r="H33" s="277"/>
      <c r="I33" s="33">
        <v>1.3</v>
      </c>
    </row>
    <row r="34" spans="2:12" ht="18" thickBot="1">
      <c r="B34" s="18" t="s">
        <v>33</v>
      </c>
      <c r="C34" s="268">
        <f>F29/D4</f>
        <v>3.0544404090672854</v>
      </c>
      <c r="D34" s="268"/>
      <c r="E34" s="270">
        <f>F29/E4</f>
        <v>52218.856509577803</v>
      </c>
      <c r="F34" s="270"/>
      <c r="G34" s="271"/>
      <c r="H34" s="272"/>
      <c r="J34" s="218"/>
      <c r="K34" s="218"/>
      <c r="L34" s="218"/>
    </row>
    <row r="35" spans="2:12" ht="18" thickBot="1">
      <c r="B35" s="4"/>
      <c r="C35" s="4"/>
      <c r="D35" s="4"/>
      <c r="E35" s="4"/>
      <c r="F35" s="4"/>
      <c r="G35" s="4"/>
      <c r="H35" s="4"/>
      <c r="J35" s="218"/>
      <c r="K35" s="218"/>
      <c r="L35" s="218"/>
    </row>
    <row r="36" spans="2:12" ht="20">
      <c r="B36" s="249" t="s">
        <v>243</v>
      </c>
      <c r="C36" s="250"/>
      <c r="D36" s="250"/>
      <c r="E36" s="251"/>
      <c r="F36" s="32"/>
      <c r="G36" s="33">
        <v>0.7</v>
      </c>
      <c r="H36" s="33">
        <v>1</v>
      </c>
      <c r="I36" s="22"/>
      <c r="J36" s="218"/>
      <c r="K36" s="218"/>
      <c r="L36" s="218"/>
    </row>
    <row r="37" spans="2:12" ht="17.5">
      <c r="B37" s="121"/>
      <c r="C37" s="122">
        <v>-0.3</v>
      </c>
      <c r="D37" s="123" t="s">
        <v>157</v>
      </c>
      <c r="E37" s="124">
        <v>0.3</v>
      </c>
      <c r="F37" s="22" t="s">
        <v>63</v>
      </c>
      <c r="G37" s="34">
        <f>(F4*G36)-(F5*G36)</f>
        <v>169934.70626054998</v>
      </c>
      <c r="H37" s="34">
        <f>F6</f>
        <v>242763.8660865</v>
      </c>
      <c r="I37" s="34">
        <f>(F4*I33)-(F5*I33)</f>
        <v>315593.02591244999</v>
      </c>
      <c r="J37" s="218"/>
      <c r="K37" s="218"/>
      <c r="L37" s="218"/>
    </row>
    <row r="38" spans="2:12" ht="17.5">
      <c r="B38" s="162" t="s">
        <v>238</v>
      </c>
      <c r="C38" s="125">
        <f>(G37-G38-G39)/'Capital Inputs'!$F$35</f>
        <v>-7.7215199339858126E-2</v>
      </c>
      <c r="D38" s="125">
        <f>(H37-H38-H39)/'Capital Inputs'!$F$35</f>
        <v>9.4042472435153873E-2</v>
      </c>
      <c r="E38" s="126">
        <f>(I37-I38-I39)/'Capital Inputs'!$F$35</f>
        <v>0.26530014421016579</v>
      </c>
      <c r="F38" s="22" t="s">
        <v>76</v>
      </c>
      <c r="G38" s="34">
        <f>(F9+F15)*G36+(F19-F9-F15)</f>
        <v>115067.40589257097</v>
      </c>
      <c r="H38" s="34">
        <f>F19</f>
        <v>126183.43555021597</v>
      </c>
      <c r="I38" s="34">
        <f>(F9+F15)*I33+(F19-F9-F15)</f>
        <v>137299.46520786098</v>
      </c>
      <c r="J38" s="218"/>
      <c r="K38" s="218"/>
      <c r="L38" s="218"/>
    </row>
    <row r="39" spans="2:12" ht="17.5">
      <c r="B39" s="162" t="s">
        <v>239</v>
      </c>
      <c r="C39" s="25">
        <f>(G37-G38)/G37</f>
        <v>0.3228728349572953</v>
      </c>
      <c r="D39" s="25">
        <f t="shared" ref="D39" si="8">(H37-H38)/H37</f>
        <v>0.4802215107858962</v>
      </c>
      <c r="E39" s="26">
        <f>(I37-I38)/I37</f>
        <v>0.56494772084745049</v>
      </c>
      <c r="F39" s="22" t="s">
        <v>77</v>
      </c>
      <c r="G39" s="34">
        <f>F27</f>
        <v>82691.990488095238</v>
      </c>
      <c r="H39" s="34">
        <f>F27</f>
        <v>82691.990488095238</v>
      </c>
      <c r="I39" s="34">
        <f>F27</f>
        <v>82691.990488095238</v>
      </c>
      <c r="J39" s="218"/>
      <c r="K39" s="218"/>
      <c r="L39" s="218"/>
    </row>
    <row r="40" spans="2:12" ht="17.5">
      <c r="B40" s="162" t="s">
        <v>21</v>
      </c>
      <c r="C40" s="127">
        <f>G37-G38-G39</f>
        <v>-27824.690120116225</v>
      </c>
      <c r="D40" s="127">
        <f t="shared" ref="D40" si="9">H37-H38-H39</f>
        <v>33888.440048188786</v>
      </c>
      <c r="E40" s="128">
        <f>I37-I38-I39</f>
        <v>95601.570216493768</v>
      </c>
      <c r="G40" s="218"/>
      <c r="H40" s="218"/>
      <c r="I40" s="218"/>
      <c r="J40" s="218"/>
      <c r="K40" s="218"/>
      <c r="L40" s="218"/>
    </row>
    <row r="41" spans="2:12" ht="18" thickBot="1">
      <c r="B41" s="163" t="s">
        <v>240</v>
      </c>
      <c r="C41" s="129">
        <f>(G38+G39)/($D$4*G36)</f>
        <v>4.1312682535547696</v>
      </c>
      <c r="D41" s="129">
        <f>(H38+H39)/($D$4*H36)</f>
        <v>3.0544404090672854</v>
      </c>
      <c r="E41" s="130">
        <f>(I38+I39)/($D$4*I33)</f>
        <v>2.4746100312663333</v>
      </c>
    </row>
    <row r="49" s="5" customFormat="1" hidden="1"/>
    <row r="50" s="5" customFormat="1" hidden="1"/>
    <row r="51" s="5" customFormat="1" hidden="1"/>
    <row r="52" s="5" customFormat="1" hidden="1"/>
    <row r="53" s="5" customFormat="1" hidden="1"/>
    <row r="54" s="5" customFormat="1" hidden="1"/>
    <row r="55" s="5" customFormat="1" hidden="1"/>
    <row r="56" s="5" customFormat="1" hidden="1"/>
    <row r="57" s="5" customFormat="1" hidden="1"/>
    <row r="58" s="5" customFormat="1" hidden="1"/>
    <row r="59" s="5" customFormat="1" hidden="1"/>
    <row r="60" s="5" customFormat="1" hidden="1"/>
    <row r="61" s="5" customFormat="1" hidden="1"/>
    <row r="62" s="5" customFormat="1" hidden="1"/>
    <row r="63" s="5" customFormat="1" hidden="1"/>
    <row r="64" s="5" customFormat="1" hidden="1"/>
    <row r="65" s="5" customFormat="1" hidden="1"/>
    <row r="66" s="5" customFormat="1" hidden="1"/>
    <row r="67" s="5" customFormat="1" hidden="1"/>
    <row r="68" s="5" customFormat="1" hidden="1"/>
    <row r="69" s="5" customFormat="1" hidden="1"/>
    <row r="70" s="5" customFormat="1" hidden="1"/>
    <row r="71" s="5" customFormat="1" hidden="1"/>
    <row r="72" s="5" customFormat="1" hidden="1"/>
    <row r="73" s="5" customFormat="1" hidden="1"/>
    <row r="74" s="5" customFormat="1" hidden="1"/>
    <row r="75" s="5" customFormat="1" hidden="1"/>
    <row r="76" s="5" customFormat="1" hidden="1"/>
    <row r="77" s="5" customFormat="1" hidden="1"/>
    <row r="78" s="5" customFormat="1" hidden="1"/>
    <row r="79" s="5" customFormat="1" hidden="1"/>
    <row r="80" s="5" customFormat="1" hidden="1"/>
  </sheetData>
  <sheetProtection sheet="1" objects="1" scenarios="1"/>
  <mergeCells count="16">
    <mergeCell ref="B36:E36"/>
    <mergeCell ref="B30:E30"/>
    <mergeCell ref="C32:D32"/>
    <mergeCell ref="E32:F32"/>
    <mergeCell ref="G32:H32"/>
    <mergeCell ref="C33:D33"/>
    <mergeCell ref="E33:F33"/>
    <mergeCell ref="G33:H33"/>
    <mergeCell ref="C34:D34"/>
    <mergeCell ref="B1:H1"/>
    <mergeCell ref="J1:L1"/>
    <mergeCell ref="E34:F34"/>
    <mergeCell ref="G34:H34"/>
    <mergeCell ref="B19:E19"/>
    <mergeCell ref="B27:E27"/>
    <mergeCell ref="B29:E2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08CD7-0147-43DF-8959-307582E9C5D5}">
  <dimension ref="A1:M41"/>
  <sheetViews>
    <sheetView zoomScaleNormal="100" workbookViewId="0">
      <selection activeCell="J24" sqref="J24"/>
    </sheetView>
  </sheetViews>
  <sheetFormatPr defaultColWidth="0" defaultRowHeight="16.5" zeroHeight="1"/>
  <cols>
    <col min="1" max="1" width="2.3046875" style="5" customWidth="1"/>
    <col min="2" max="2" width="33.765625" style="5" customWidth="1"/>
    <col min="3" max="4" width="10.765625" style="5" customWidth="1"/>
    <col min="5" max="5" width="11.765625" style="5" customWidth="1"/>
    <col min="6" max="8" width="10.765625" style="5" customWidth="1"/>
    <col min="9" max="9" width="5.765625" style="5" customWidth="1"/>
    <col min="10" max="10" width="25.765625" style="5" customWidth="1"/>
    <col min="11" max="11" width="17.07421875" style="5" bestFit="1" customWidth="1"/>
    <col min="12" max="12" width="10" style="5" bestFit="1" customWidth="1"/>
    <col min="13" max="13" width="5.765625" style="5" customWidth="1"/>
    <col min="14" max="14" width="8.84375" style="5" hidden="1" customWidth="1"/>
    <col min="15" max="16384" width="8.84375" style="5" hidden="1"/>
  </cols>
  <sheetData>
    <row r="1" spans="2:13" ht="20">
      <c r="B1" s="249" t="s">
        <v>291</v>
      </c>
      <c r="C1" s="250"/>
      <c r="D1" s="250"/>
      <c r="E1" s="250"/>
      <c r="F1" s="250"/>
      <c r="G1" s="250"/>
      <c r="H1" s="251"/>
      <c r="I1" s="4"/>
      <c r="J1" s="269" t="s">
        <v>288</v>
      </c>
      <c r="K1" s="269"/>
      <c r="L1" s="269"/>
      <c r="M1" s="70"/>
    </row>
    <row r="2" spans="2:13" ht="17.5">
      <c r="B2" s="183"/>
      <c r="C2" s="177"/>
      <c r="D2" s="176"/>
      <c r="E2" s="176"/>
      <c r="F2" s="172"/>
      <c r="G2" s="172"/>
      <c r="H2" s="173"/>
      <c r="I2" s="4"/>
      <c r="J2" s="165" t="s">
        <v>158</v>
      </c>
      <c r="K2" s="165" t="s">
        <v>11</v>
      </c>
      <c r="L2" s="165" t="s">
        <v>47</v>
      </c>
      <c r="M2" s="135"/>
    </row>
    <row r="3" spans="2:13" ht="17.5">
      <c r="B3" s="136" t="s">
        <v>252</v>
      </c>
      <c r="C3" s="137" t="s">
        <v>11</v>
      </c>
      <c r="D3" s="138" t="s">
        <v>13</v>
      </c>
      <c r="E3" s="139" t="s">
        <v>58</v>
      </c>
      <c r="F3" s="138" t="s">
        <v>0</v>
      </c>
      <c r="G3" s="138" t="s">
        <v>247</v>
      </c>
      <c r="H3" s="140" t="s">
        <v>283</v>
      </c>
      <c r="I3" s="4"/>
      <c r="J3" s="146" t="s">
        <v>171</v>
      </c>
      <c r="K3" s="166" t="s">
        <v>224</v>
      </c>
      <c r="L3" s="214">
        <v>20</v>
      </c>
      <c r="M3" s="38"/>
    </row>
    <row r="4" spans="2:13" ht="17.5">
      <c r="B4" s="15" t="s">
        <v>71</v>
      </c>
      <c r="C4" s="10" t="s">
        <v>230</v>
      </c>
      <c r="D4" s="9">
        <f>L7*'Capital Inputs'!L10*'RAS Shrimp'!L9*'RAS Shrimp'!L12</f>
        <v>15513.079601250001</v>
      </c>
      <c r="E4" s="13">
        <f>L3</f>
        <v>20</v>
      </c>
      <c r="F4" s="7">
        <f>D4*E4</f>
        <v>310261.59202500002</v>
      </c>
      <c r="G4" s="11">
        <f>E4</f>
        <v>20</v>
      </c>
      <c r="H4" s="26">
        <f>F4/$F$4</f>
        <v>1</v>
      </c>
      <c r="I4" s="4"/>
      <c r="J4" s="146" t="s">
        <v>172</v>
      </c>
      <c r="K4" s="166" t="s">
        <v>223</v>
      </c>
      <c r="L4" s="214">
        <v>2400</v>
      </c>
      <c r="M4" s="58"/>
    </row>
    <row r="5" spans="2:13" ht="17.5">
      <c r="B5" s="15" t="s">
        <v>22</v>
      </c>
      <c r="C5" s="10" t="s">
        <v>7</v>
      </c>
      <c r="D5" s="9">
        <f>D4/L15*L14</f>
        <v>12410.463681000001</v>
      </c>
      <c r="E5" s="13">
        <f>'Operating Inputs'!D9</f>
        <v>2.25</v>
      </c>
      <c r="F5" s="182">
        <f t="shared" ref="F5" si="0">D5*E5</f>
        <v>27923.543282250001</v>
      </c>
      <c r="G5" s="29">
        <f>F5/D4</f>
        <v>1.7999999999999998</v>
      </c>
      <c r="H5" s="30">
        <f t="shared" ref="H5:H15" si="1">F5/$F$4</f>
        <v>0.09</v>
      </c>
      <c r="I5" s="4"/>
      <c r="J5" s="146" t="s">
        <v>67</v>
      </c>
      <c r="K5" s="166" t="s">
        <v>241</v>
      </c>
      <c r="L5" s="214">
        <v>0.1</v>
      </c>
      <c r="M5" s="58"/>
    </row>
    <row r="6" spans="2:13" ht="17.5">
      <c r="B6" s="154"/>
      <c r="C6" s="10"/>
      <c r="D6" s="9"/>
      <c r="E6" s="179" t="s">
        <v>253</v>
      </c>
      <c r="F6" s="23">
        <f>F4-F5</f>
        <v>282338.04874275002</v>
      </c>
      <c r="G6" s="24">
        <f>G4-G5</f>
        <v>18.2</v>
      </c>
      <c r="H6" s="27">
        <f t="shared" si="1"/>
        <v>0.91</v>
      </c>
      <c r="I6" s="4"/>
      <c r="J6" s="146" t="s">
        <v>163</v>
      </c>
      <c r="K6" s="166" t="s">
        <v>164</v>
      </c>
      <c r="L6" s="212">
        <v>0.02</v>
      </c>
      <c r="M6" s="58"/>
    </row>
    <row r="7" spans="2:13" ht="17.5">
      <c r="B7" s="154"/>
      <c r="C7" s="10"/>
      <c r="D7" s="9"/>
      <c r="E7" s="143"/>
      <c r="F7" s="23"/>
      <c r="G7" s="24"/>
      <c r="H7" s="27"/>
      <c r="I7" s="4"/>
      <c r="J7" s="38" t="s">
        <v>68</v>
      </c>
      <c r="K7" s="166" t="s">
        <v>234</v>
      </c>
      <c r="L7" s="214">
        <v>7.0000000000000007E-2</v>
      </c>
      <c r="M7" s="38"/>
    </row>
    <row r="8" spans="2:13" ht="17.5">
      <c r="B8" s="155" t="s">
        <v>10</v>
      </c>
      <c r="C8" s="137" t="s">
        <v>11</v>
      </c>
      <c r="D8" s="138" t="s">
        <v>13</v>
      </c>
      <c r="E8" s="139" t="s">
        <v>58</v>
      </c>
      <c r="F8" s="138" t="s">
        <v>0</v>
      </c>
      <c r="G8" s="138" t="s">
        <v>247</v>
      </c>
      <c r="H8" s="140" t="s">
        <v>283</v>
      </c>
      <c r="I8" s="4"/>
      <c r="J8" s="38" t="s">
        <v>258</v>
      </c>
      <c r="K8" s="166" t="s">
        <v>174</v>
      </c>
      <c r="L8" s="214">
        <v>22</v>
      </c>
      <c r="M8" s="38"/>
    </row>
    <row r="9" spans="2:13" ht="17.5">
      <c r="B9" s="15" t="s">
        <v>14</v>
      </c>
      <c r="C9" s="10" t="s">
        <v>235</v>
      </c>
      <c r="D9" s="9">
        <f>(D4-L11*D4/L8)*L10/2000/L16</f>
        <v>11.677118099850002</v>
      </c>
      <c r="E9" s="13">
        <f>L4</f>
        <v>2400</v>
      </c>
      <c r="F9" s="7">
        <f t="shared" ref="F9:F10" si="2">D9*E9</f>
        <v>28025.083439640006</v>
      </c>
      <c r="G9" s="11">
        <f>F9/$D$4</f>
        <v>1.8065454545454547</v>
      </c>
      <c r="H9" s="26">
        <f t="shared" si="1"/>
        <v>9.0327272727272742E-2</v>
      </c>
      <c r="I9" s="4"/>
      <c r="J9" s="38" t="s">
        <v>259</v>
      </c>
      <c r="K9" s="166" t="s">
        <v>194</v>
      </c>
      <c r="L9" s="212">
        <v>0.75</v>
      </c>
      <c r="M9" s="38"/>
    </row>
    <row r="10" spans="2:13" ht="17.5">
      <c r="B10" s="15" t="s">
        <v>70</v>
      </c>
      <c r="C10" s="10" t="s">
        <v>281</v>
      </c>
      <c r="D10" s="21">
        <f>D4/L8/L9*453.6</f>
        <v>426468.66103800008</v>
      </c>
      <c r="E10" s="13">
        <f>L5</f>
        <v>0.1</v>
      </c>
      <c r="F10" s="7">
        <f t="shared" si="2"/>
        <v>42646.866103800014</v>
      </c>
      <c r="G10" s="11">
        <f t="shared" ref="G10:G15" si="3">F10/$D$4</f>
        <v>2.7490909090909099</v>
      </c>
      <c r="H10" s="26">
        <f t="shared" si="1"/>
        <v>0.1374545454545455</v>
      </c>
      <c r="I10" s="4"/>
      <c r="J10" s="38" t="s">
        <v>228</v>
      </c>
      <c r="K10" s="166" t="s">
        <v>229</v>
      </c>
      <c r="L10" s="214">
        <v>1.4</v>
      </c>
      <c r="M10" s="38"/>
    </row>
    <row r="11" spans="2:13" ht="17.5">
      <c r="B11" s="15" t="s">
        <v>273</v>
      </c>
      <c r="C11" s="10"/>
      <c r="D11" s="20"/>
      <c r="E11" s="13"/>
      <c r="F11" s="7">
        <f>L13*'Operating Inputs'!D4</f>
        <v>31360.000000000004</v>
      </c>
      <c r="G11" s="11">
        <f t="shared" ref="G11" si="4">F11/$D$4</f>
        <v>2.0215199564548807</v>
      </c>
      <c r="H11" s="26">
        <f t="shared" ref="H11" si="5">F11/$F$4</f>
        <v>0.10107599782274404</v>
      </c>
      <c r="I11" s="4"/>
      <c r="J11" s="38" t="s">
        <v>248</v>
      </c>
      <c r="K11" s="166" t="s">
        <v>174</v>
      </c>
      <c r="L11" s="214">
        <v>1.3</v>
      </c>
      <c r="M11" s="38"/>
    </row>
    <row r="12" spans="2:13" ht="17.5">
      <c r="B12" s="15" t="s">
        <v>132</v>
      </c>
      <c r="C12" s="10"/>
      <c r="D12" s="9"/>
      <c r="E12" s="13"/>
      <c r="F12" s="61">
        <f>'Shrimp Utilities'!G17+'Shrimp Utilities'!O3</f>
        <v>13583.836239632252</v>
      </c>
      <c r="G12" s="11">
        <f t="shared" si="3"/>
        <v>0.87563762894233477</v>
      </c>
      <c r="H12" s="26">
        <f t="shared" si="1"/>
        <v>4.3781881447116741E-2</v>
      </c>
      <c r="I12" s="4"/>
      <c r="J12" s="38" t="s">
        <v>69</v>
      </c>
      <c r="K12" s="166" t="s">
        <v>75</v>
      </c>
      <c r="L12" s="214">
        <v>3.5</v>
      </c>
      <c r="M12" s="38"/>
    </row>
    <row r="13" spans="2:13" ht="17.5">
      <c r="B13" s="15" t="s">
        <v>59</v>
      </c>
      <c r="C13" s="10"/>
      <c r="D13" s="9"/>
      <c r="E13" s="13"/>
      <c r="F13" s="7">
        <f>'Operating Inputs'!D6*12</f>
        <v>8400</v>
      </c>
      <c r="G13" s="11">
        <f t="shared" si="3"/>
        <v>0.54147855976470016</v>
      </c>
      <c r="H13" s="26">
        <f t="shared" si="1"/>
        <v>2.7073927988235009E-2</v>
      </c>
      <c r="I13" s="4"/>
      <c r="J13" s="38" t="s">
        <v>273</v>
      </c>
      <c r="K13" s="166" t="s">
        <v>237</v>
      </c>
      <c r="L13" s="215">
        <v>1750</v>
      </c>
      <c r="M13" s="38"/>
    </row>
    <row r="14" spans="2:13" ht="17.5">
      <c r="B14" s="15" t="s">
        <v>8</v>
      </c>
      <c r="C14" s="10"/>
      <c r="D14" s="9"/>
      <c r="E14" s="13"/>
      <c r="F14" s="7">
        <f>'Operating Inputs'!D7</f>
        <v>14414</v>
      </c>
      <c r="G14" s="11">
        <f t="shared" si="3"/>
        <v>0.92915142386290339</v>
      </c>
      <c r="H14" s="26">
        <f t="shared" si="1"/>
        <v>4.645757119314517E-2</v>
      </c>
      <c r="I14" s="4"/>
      <c r="J14" s="147" t="s">
        <v>233</v>
      </c>
      <c r="K14" s="166" t="s">
        <v>232</v>
      </c>
      <c r="L14" s="216">
        <v>400</v>
      </c>
      <c r="M14" s="70"/>
    </row>
    <row r="15" spans="2:13" ht="17.5">
      <c r="B15" s="15" t="s">
        <v>62</v>
      </c>
      <c r="C15" s="10"/>
      <c r="D15" s="9"/>
      <c r="E15" s="36"/>
      <c r="F15" s="7">
        <f>L6*F4</f>
        <v>6205.2318405000005</v>
      </c>
      <c r="G15" s="11">
        <f t="shared" si="3"/>
        <v>0.4</v>
      </c>
      <c r="H15" s="26">
        <f t="shared" si="1"/>
        <v>0.02</v>
      </c>
      <c r="I15" s="4"/>
      <c r="J15" s="147" t="s">
        <v>261</v>
      </c>
      <c r="K15" s="166" t="s">
        <v>263</v>
      </c>
      <c r="L15" s="216">
        <v>500</v>
      </c>
    </row>
    <row r="16" spans="2:13" ht="17.5">
      <c r="B16" s="15" t="s">
        <v>177</v>
      </c>
      <c r="C16" s="10"/>
      <c r="D16" s="9"/>
      <c r="E16" s="13"/>
      <c r="F16" s="7">
        <f>'Operating Inputs'!D8</f>
        <v>3000</v>
      </c>
      <c r="G16" s="11">
        <f t="shared" ref="G16:G30" si="6">F16/$D$4</f>
        <v>0.19338519991596434</v>
      </c>
      <c r="H16" s="26">
        <f t="shared" ref="H16:H30" si="7">F16/$F$4</f>
        <v>9.6692599957982177E-3</v>
      </c>
      <c r="I16" s="4"/>
      <c r="L16" s="219">
        <f>AVERAGE(L9,1)</f>
        <v>0.875</v>
      </c>
    </row>
    <row r="17" spans="2:12" ht="17.5">
      <c r="B17" s="15" t="s">
        <v>23</v>
      </c>
      <c r="C17" s="10"/>
      <c r="D17" s="9"/>
      <c r="E17" s="13"/>
      <c r="F17" s="217">
        <v>0</v>
      </c>
      <c r="G17" s="11">
        <f t="shared" si="6"/>
        <v>0</v>
      </c>
      <c r="H17" s="26">
        <f t="shared" si="7"/>
        <v>0</v>
      </c>
      <c r="I17" s="4"/>
      <c r="L17" s="219"/>
    </row>
    <row r="18" spans="2:12" ht="17.5">
      <c r="B18" s="15" t="s">
        <v>17</v>
      </c>
      <c r="C18" s="10" t="s">
        <v>165</v>
      </c>
      <c r="D18" s="9"/>
      <c r="E18" s="19">
        <f>'Operating Inputs'!D10</f>
        <v>0.09</v>
      </c>
      <c r="F18" s="182">
        <f>SUM(F9:F16)*(1-'Operating Inputs'!D11)*E18/L12</f>
        <v>1898.1645123030719</v>
      </c>
      <c r="G18" s="29">
        <f t="shared" si="6"/>
        <v>0.12235897456170618</v>
      </c>
      <c r="H18" s="30">
        <f t="shared" si="7"/>
        <v>6.1179487280853088E-3</v>
      </c>
      <c r="I18" s="4"/>
    </row>
    <row r="19" spans="2:12" ht="17.5">
      <c r="B19" s="258" t="s">
        <v>16</v>
      </c>
      <c r="C19" s="254"/>
      <c r="D19" s="254"/>
      <c r="E19" s="254"/>
      <c r="F19" s="164">
        <f>SUM(F9:F18)</f>
        <v>149533.18213587534</v>
      </c>
      <c r="G19" s="24">
        <f t="shared" si="6"/>
        <v>9.639168107138854</v>
      </c>
      <c r="H19" s="27">
        <f t="shared" si="7"/>
        <v>0.48195840535694268</v>
      </c>
      <c r="I19" s="4"/>
    </row>
    <row r="20" spans="2:12" ht="17.5">
      <c r="B20" s="169"/>
      <c r="C20" s="168"/>
      <c r="D20" s="168"/>
      <c r="E20" s="168"/>
      <c r="F20" s="164"/>
      <c r="G20" s="24"/>
      <c r="H20" s="27"/>
      <c r="I20" s="4"/>
    </row>
    <row r="21" spans="2:12" ht="17.5">
      <c r="B21" s="155" t="s">
        <v>18</v>
      </c>
      <c r="C21" s="137" t="s">
        <v>11</v>
      </c>
      <c r="D21" s="138" t="s">
        <v>13</v>
      </c>
      <c r="E21" s="139" t="s">
        <v>58</v>
      </c>
      <c r="F21" s="138" t="s">
        <v>0</v>
      </c>
      <c r="G21" s="138" t="s">
        <v>247</v>
      </c>
      <c r="H21" s="140" t="s">
        <v>283</v>
      </c>
      <c r="I21" s="4"/>
    </row>
    <row r="22" spans="2:12" ht="17.5">
      <c r="B22" s="15" t="s">
        <v>6</v>
      </c>
      <c r="C22" s="10" t="s">
        <v>204</v>
      </c>
      <c r="D22" s="14">
        <v>12</v>
      </c>
      <c r="E22" s="13"/>
      <c r="F22" s="7">
        <f>'Operating Inputs'!D14</f>
        <v>3000</v>
      </c>
      <c r="G22" s="11">
        <f t="shared" si="6"/>
        <v>0.19338519991596434</v>
      </c>
      <c r="H22" s="26">
        <f t="shared" si="7"/>
        <v>9.6692599957982177E-3</v>
      </c>
      <c r="I22" s="4"/>
      <c r="L22" s="7"/>
    </row>
    <row r="23" spans="2:12" ht="17.5">
      <c r="B23" s="15" t="s">
        <v>5</v>
      </c>
      <c r="C23" s="10" t="s">
        <v>204</v>
      </c>
      <c r="D23" s="14">
        <v>12</v>
      </c>
      <c r="E23" s="13"/>
      <c r="F23" s="7">
        <f>'Operating Inputs'!D15</f>
        <v>1000</v>
      </c>
      <c r="G23" s="11">
        <f t="shared" si="6"/>
        <v>6.4461733305321456E-2</v>
      </c>
      <c r="H23" s="26">
        <f t="shared" si="7"/>
        <v>3.2230866652660727E-3</v>
      </c>
      <c r="I23" s="4"/>
    </row>
    <row r="24" spans="2:12" ht="17.5">
      <c r="B24" s="15" t="s">
        <v>254</v>
      </c>
      <c r="C24" s="10" t="s">
        <v>204</v>
      </c>
      <c r="D24" s="14">
        <v>1</v>
      </c>
      <c r="E24" s="13"/>
      <c r="F24" s="7">
        <f>'Operating Inputs'!D16</f>
        <v>45000</v>
      </c>
      <c r="G24" s="11">
        <f t="shared" si="6"/>
        <v>2.9007779987394651</v>
      </c>
      <c r="H24" s="26">
        <f t="shared" si="7"/>
        <v>0.14503889993697328</v>
      </c>
      <c r="I24" s="4"/>
    </row>
    <row r="25" spans="2:12" ht="17.5">
      <c r="B25" s="15" t="s">
        <v>19</v>
      </c>
      <c r="C25" s="10"/>
      <c r="D25" s="14"/>
      <c r="E25" s="19">
        <f>'Operating Inputs'!D12</f>
        <v>7.0000000000000007E-2</v>
      </c>
      <c r="F25" s="7">
        <f>('Capital Inputs'!F35-(SUMPRODUCT('Capital Inputs'!E4:E15,'Capital Inputs'!H4:H15)+SUMPRODUCT('Capital Inputs'!E17:E34,'Capital Inputs'!H17:H34)))/2*E25</f>
        <v>11335.070250000002</v>
      </c>
      <c r="G25" s="11">
        <f t="shared" si="6"/>
        <v>0.73067827545258346</v>
      </c>
      <c r="H25" s="26">
        <f t="shared" si="7"/>
        <v>3.6533913772629177E-2</v>
      </c>
      <c r="I25" s="4"/>
    </row>
    <row r="26" spans="2:12" ht="17.5">
      <c r="B26" s="15" t="s">
        <v>20</v>
      </c>
      <c r="C26" s="10"/>
      <c r="D26" s="9"/>
      <c r="E26" s="13"/>
      <c r="F26" s="182">
        <f>'Capital Inputs'!I35</f>
        <v>22356.920238095237</v>
      </c>
      <c r="G26" s="29">
        <f t="shared" si="6"/>
        <v>1.4411658299164389</v>
      </c>
      <c r="H26" s="30">
        <f t="shared" si="7"/>
        <v>7.2058291495821949E-2</v>
      </c>
      <c r="I26" s="4"/>
    </row>
    <row r="27" spans="2:12" ht="17.5">
      <c r="B27" s="258" t="s">
        <v>4</v>
      </c>
      <c r="C27" s="254"/>
      <c r="D27" s="254"/>
      <c r="E27" s="254"/>
      <c r="F27" s="164">
        <f>SUM(F22:F26)</f>
        <v>82691.990488095238</v>
      </c>
      <c r="G27" s="24">
        <f t="shared" si="6"/>
        <v>5.330469037329773</v>
      </c>
      <c r="H27" s="27">
        <f t="shared" si="7"/>
        <v>0.26652345186648868</v>
      </c>
      <c r="I27" s="4"/>
    </row>
    <row r="28" spans="2:12" ht="17.5">
      <c r="B28" s="186"/>
      <c r="C28" s="180"/>
      <c r="D28" s="181"/>
      <c r="E28" s="181"/>
      <c r="F28" s="7"/>
      <c r="G28" s="11"/>
      <c r="H28" s="28"/>
      <c r="I28" s="4"/>
    </row>
    <row r="29" spans="2:12" ht="17.5">
      <c r="B29" s="258" t="s">
        <v>3</v>
      </c>
      <c r="C29" s="254"/>
      <c r="D29" s="254"/>
      <c r="E29" s="254"/>
      <c r="F29" s="23">
        <f>SUM(F27,F19)</f>
        <v>232225.17262397057</v>
      </c>
      <c r="G29" s="24">
        <f t="shared" si="6"/>
        <v>14.969637144468626</v>
      </c>
      <c r="H29" s="27">
        <f t="shared" si="7"/>
        <v>0.74848185722343141</v>
      </c>
      <c r="I29" s="4"/>
    </row>
    <row r="30" spans="2:12" ht="17.5">
      <c r="B30" s="258" t="s">
        <v>21</v>
      </c>
      <c r="C30" s="254"/>
      <c r="D30" s="254"/>
      <c r="E30" s="254"/>
      <c r="F30" s="23">
        <f>F6-F29</f>
        <v>50112.876118779444</v>
      </c>
      <c r="G30" s="24">
        <f t="shared" si="6"/>
        <v>3.2303628555313728</v>
      </c>
      <c r="H30" s="27">
        <f t="shared" si="7"/>
        <v>0.16151814277656865</v>
      </c>
      <c r="I30" s="4"/>
    </row>
    <row r="31" spans="2:12" ht="18" thickBot="1">
      <c r="B31" s="156"/>
      <c r="C31" s="157"/>
      <c r="D31" s="157"/>
      <c r="E31" s="157"/>
      <c r="F31" s="158"/>
      <c r="G31" s="158"/>
      <c r="H31" s="159"/>
      <c r="I31" s="4"/>
    </row>
    <row r="32" spans="2:12" ht="17.5">
      <c r="B32" s="187"/>
      <c r="C32" s="278" t="s">
        <v>43</v>
      </c>
      <c r="D32" s="278"/>
      <c r="E32" s="278" t="s">
        <v>44</v>
      </c>
      <c r="F32" s="278"/>
      <c r="G32" s="278"/>
      <c r="H32" s="279"/>
      <c r="I32" s="6"/>
    </row>
    <row r="33" spans="2:9" ht="17.5">
      <c r="B33" s="17" t="s">
        <v>32</v>
      </c>
      <c r="C33" s="267">
        <f>F19/D4</f>
        <v>9.639168107138854</v>
      </c>
      <c r="D33" s="267"/>
      <c r="E33" s="255">
        <f>F19/E4</f>
        <v>7476.659106793767</v>
      </c>
      <c r="F33" s="255"/>
      <c r="G33" s="263"/>
      <c r="H33" s="264"/>
      <c r="I33" s="33">
        <v>1.3</v>
      </c>
    </row>
    <row r="34" spans="2:9" ht="18" thickBot="1">
      <c r="B34" s="18" t="s">
        <v>33</v>
      </c>
      <c r="C34" s="268">
        <f>F29/D4</f>
        <v>14.969637144468626</v>
      </c>
      <c r="D34" s="268"/>
      <c r="E34" s="259">
        <f>F29/E4</f>
        <v>11611.258631198529</v>
      </c>
      <c r="F34" s="259"/>
      <c r="G34" s="260"/>
      <c r="H34" s="261"/>
      <c r="I34" s="34">
        <f>(F4*I33)-(F5*I33)</f>
        <v>367039.46336557507</v>
      </c>
    </row>
    <row r="35" spans="2:9" ht="18" thickBot="1">
      <c r="B35" s="4"/>
      <c r="C35" s="4"/>
      <c r="D35" s="4"/>
      <c r="E35" s="4"/>
      <c r="F35" s="4"/>
      <c r="H35" s="4"/>
      <c r="I35" s="34">
        <f>(F9+F15)*I33+(F19-F9-F15)</f>
        <v>159802.27671991734</v>
      </c>
    </row>
    <row r="36" spans="2:9" ht="20">
      <c r="B36" s="249" t="s">
        <v>243</v>
      </c>
      <c r="C36" s="250"/>
      <c r="D36" s="250"/>
      <c r="E36" s="251"/>
      <c r="F36" s="32"/>
      <c r="G36" s="33">
        <v>0.7</v>
      </c>
      <c r="H36" s="33">
        <v>1</v>
      </c>
      <c r="I36" s="34">
        <f>F27</f>
        <v>82691.990488095238</v>
      </c>
    </row>
    <row r="37" spans="2:9" ht="17.5">
      <c r="B37" s="121"/>
      <c r="C37" s="122">
        <v>-0.3</v>
      </c>
      <c r="D37" s="123" t="s">
        <v>157</v>
      </c>
      <c r="E37" s="124">
        <v>0.3</v>
      </c>
      <c r="F37" s="22" t="s">
        <v>63</v>
      </c>
      <c r="G37" s="34">
        <f>(F4*G36)-(F5*G36)</f>
        <v>197636.634119925</v>
      </c>
      <c r="H37" s="34">
        <f>F6</f>
        <v>282338.04874275002</v>
      </c>
    </row>
    <row r="38" spans="2:9" ht="17.5">
      <c r="B38" s="162" t="s">
        <v>238</v>
      </c>
      <c r="C38" s="125">
        <f>(G37-G38-G39)/'Capital Inputs'!$F$35</f>
        <v>-6.7487928958460314E-2</v>
      </c>
      <c r="D38" s="125">
        <f>(H37-H38-H39)/'Capital Inputs'!$F$35</f>
        <v>0.13906626461250982</v>
      </c>
      <c r="E38" s="126">
        <f>(I34-I35-I36)/'Capital Inputs'!$F$35</f>
        <v>0.34562045818348003</v>
      </c>
      <c r="F38" s="22" t="s">
        <v>76</v>
      </c>
      <c r="G38" s="34">
        <f>(F9+F15)*G36+(F19-F9-F15)</f>
        <v>139264.08755183333</v>
      </c>
      <c r="H38" s="34">
        <f>F19</f>
        <v>149533.18213587534</v>
      </c>
    </row>
    <row r="39" spans="2:9" ht="17.5">
      <c r="B39" s="162" t="s">
        <v>239</v>
      </c>
      <c r="C39" s="25">
        <f>(G37-G38)/G37</f>
        <v>0.29535286728608967</v>
      </c>
      <c r="D39" s="25">
        <f t="shared" ref="D39" si="8">(H37-H38)/H37</f>
        <v>0.47037537872863439</v>
      </c>
      <c r="E39" s="26">
        <f>(I34-I35)/I34</f>
        <v>0.56461826950538929</v>
      </c>
      <c r="F39" s="22" t="s">
        <v>77</v>
      </c>
      <c r="G39" s="34">
        <f>F27</f>
        <v>82691.990488095238</v>
      </c>
      <c r="H39" s="34">
        <f>F27</f>
        <v>82691.990488095238</v>
      </c>
    </row>
    <row r="40" spans="2:9" ht="17.5">
      <c r="B40" s="162" t="s">
        <v>21</v>
      </c>
      <c r="C40" s="127">
        <f>G37-G38-G39</f>
        <v>-24319.44392000357</v>
      </c>
      <c r="D40" s="127">
        <f t="shared" ref="D40" si="9">H37-H38-H39</f>
        <v>50112.876118779444</v>
      </c>
      <c r="E40" s="128">
        <f>I34-I35-I36</f>
        <v>124545.19615756249</v>
      </c>
    </row>
    <row r="41" spans="2:9" ht="18" thickBot="1">
      <c r="B41" s="163" t="s">
        <v>240</v>
      </c>
      <c r="C41" s="129">
        <f>(G38+G39)/($D$4*G36)</f>
        <v>20.43953358300713</v>
      </c>
      <c r="D41" s="129">
        <f>(H38+H39)/($D$4*H36)</f>
        <v>14.969637144468626</v>
      </c>
      <c r="E41" s="130">
        <f>(I35+I36)/($D$4*I33)</f>
        <v>12.024308292947895</v>
      </c>
    </row>
  </sheetData>
  <sheetProtection sheet="1" objects="1" scenarios="1"/>
  <mergeCells count="16">
    <mergeCell ref="B36:E36"/>
    <mergeCell ref="B30:E30"/>
    <mergeCell ref="C32:D32"/>
    <mergeCell ref="E32:F32"/>
    <mergeCell ref="G32:H32"/>
    <mergeCell ref="C33:D33"/>
    <mergeCell ref="E33:F33"/>
    <mergeCell ref="G33:H33"/>
    <mergeCell ref="C34:D34"/>
    <mergeCell ref="B1:H1"/>
    <mergeCell ref="J1:L1"/>
    <mergeCell ref="E34:F34"/>
    <mergeCell ref="G34:H34"/>
    <mergeCell ref="B19:E19"/>
    <mergeCell ref="B27:E27"/>
    <mergeCell ref="B29:E2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ECE01-C272-4A2A-8936-8F8CD5A22353}">
  <dimension ref="A1:U37"/>
  <sheetViews>
    <sheetView zoomScale="80" zoomScaleNormal="80" workbookViewId="0">
      <selection activeCell="M7" sqref="M7:O7"/>
    </sheetView>
  </sheetViews>
  <sheetFormatPr defaultColWidth="0" defaultRowHeight="17.25" customHeight="1" zeroHeight="1"/>
  <cols>
    <col min="1" max="1" width="28.53515625" style="38" bestFit="1" customWidth="1"/>
    <col min="2" max="2" width="14.53515625" style="38" bestFit="1" customWidth="1"/>
    <col min="3" max="3" width="10" style="38" customWidth="1"/>
    <col min="4" max="4" width="3.765625" style="38" customWidth="1"/>
    <col min="5" max="5" width="23.53515625" style="38" customWidth="1"/>
    <col min="6" max="17" width="12.765625" style="38" customWidth="1"/>
    <col min="18" max="18" width="3.765625" style="38" customWidth="1"/>
    <col min="19" max="21" width="0" style="38" hidden="1" customWidth="1"/>
    <col min="22" max="16384" width="8.84375" style="38" hidden="1"/>
  </cols>
  <sheetData>
    <row r="1" spans="1:20" ht="17.5">
      <c r="A1" s="280" t="s">
        <v>244</v>
      </c>
      <c r="B1" s="281"/>
      <c r="C1" s="282"/>
      <c r="D1" s="91"/>
      <c r="E1" s="280" t="s">
        <v>213</v>
      </c>
      <c r="F1" s="281"/>
      <c r="G1" s="282"/>
      <c r="I1" s="280" t="s">
        <v>215</v>
      </c>
      <c r="J1" s="281"/>
      <c r="K1" s="281"/>
      <c r="M1" s="286" t="s">
        <v>275</v>
      </c>
      <c r="N1" s="286"/>
      <c r="O1" s="286"/>
    </row>
    <row r="2" spans="1:20" ht="17.5">
      <c r="A2" s="47" t="s">
        <v>12</v>
      </c>
      <c r="B2" s="47" t="s">
        <v>11</v>
      </c>
      <c r="C2" s="93" t="s">
        <v>13</v>
      </c>
      <c r="E2" s="92" t="s">
        <v>113</v>
      </c>
      <c r="F2" s="97" t="s">
        <v>217</v>
      </c>
      <c r="G2" s="93" t="s">
        <v>180</v>
      </c>
      <c r="I2" s="97" t="s">
        <v>221</v>
      </c>
      <c r="J2" s="97"/>
      <c r="K2" s="97"/>
      <c r="M2" s="38" t="s">
        <v>276</v>
      </c>
      <c r="N2" s="38" t="s">
        <v>277</v>
      </c>
      <c r="O2" s="38" t="s">
        <v>180</v>
      </c>
    </row>
    <row r="3" spans="1:20" ht="17.5">
      <c r="A3" s="39" t="s">
        <v>176</v>
      </c>
      <c r="B3" s="83" t="s">
        <v>190</v>
      </c>
      <c r="C3" s="89">
        <f>'Capital Inputs'!D5+'Capital Inputs'!$D$8</f>
        <v>6940</v>
      </c>
      <c r="D3" s="70"/>
      <c r="E3" s="39" t="s">
        <v>15</v>
      </c>
      <c r="F3" s="112">
        <f>SUM($F$24:$Q$24)/G14/K13</f>
        <v>61116.030478138062</v>
      </c>
      <c r="G3" s="89">
        <f>F3*K4</f>
        <v>6722.7633525951869</v>
      </c>
      <c r="I3" s="39" t="s">
        <v>105</v>
      </c>
      <c r="J3" s="109" t="s">
        <v>212</v>
      </c>
      <c r="K3" s="102">
        <f>'Operating Inputs'!D20</f>
        <v>53.6</v>
      </c>
      <c r="M3" s="38" t="s">
        <v>266</v>
      </c>
      <c r="N3" s="119">
        <f>'RAS Catfish'!$D$4*'Catfish Utilities'!$B$37/(24*365)</f>
        <v>1.9516035282534248</v>
      </c>
      <c r="O3" s="119">
        <f t="shared" ref="O3" si="0">N3/1.33*24*365*$K$4</f>
        <v>1413.9587667857145</v>
      </c>
    </row>
    <row r="4" spans="1:20" ht="17.5">
      <c r="A4" s="39" t="s">
        <v>109</v>
      </c>
      <c r="B4" s="83" t="s">
        <v>208</v>
      </c>
      <c r="C4" s="89">
        <f>'Operating Inputs'!D25</f>
        <v>12</v>
      </c>
      <c r="E4" s="39" t="s">
        <v>60</v>
      </c>
      <c r="F4" s="112">
        <f>SUM($F$24:$Q$24)/G15/K14/10</f>
        <v>212.2591891051502</v>
      </c>
      <c r="G4" s="89">
        <f>F4*K7</f>
        <v>3290.0174311298279</v>
      </c>
      <c r="I4" s="39" t="s">
        <v>124</v>
      </c>
      <c r="J4" s="109" t="s">
        <v>220</v>
      </c>
      <c r="K4" s="102">
        <f>'Operating Inputs'!D19</f>
        <v>0.11</v>
      </c>
      <c r="N4" s="119"/>
      <c r="O4" s="119"/>
    </row>
    <row r="5" spans="1:20" ht="18" thickBot="1">
      <c r="A5" s="39" t="s">
        <v>78</v>
      </c>
      <c r="B5" s="83" t="s">
        <v>82</v>
      </c>
      <c r="C5" s="89">
        <f>'Operating Inputs'!G18</f>
        <v>85</v>
      </c>
      <c r="E5" s="68" t="s">
        <v>114</v>
      </c>
      <c r="F5" s="112">
        <f>SUM($F$24:$Q$24)/G16/K15</f>
        <v>2405.5515628296735</v>
      </c>
      <c r="G5" s="106">
        <f>F5*K9</f>
        <v>4450.2703912348961</v>
      </c>
      <c r="I5" s="97" t="s">
        <v>222</v>
      </c>
      <c r="J5" s="97"/>
      <c r="K5" s="97"/>
      <c r="N5" s="119"/>
      <c r="O5" s="119"/>
    </row>
    <row r="6" spans="1:20" ht="17.5">
      <c r="A6" s="39" t="s">
        <v>131</v>
      </c>
      <c r="B6" s="83"/>
      <c r="C6" s="40" t="str">
        <f>'Operating Inputs'!D18</f>
        <v>Natural gas</v>
      </c>
      <c r="E6" s="280" t="s">
        <v>214</v>
      </c>
      <c r="F6" s="281"/>
      <c r="G6" s="282"/>
      <c r="I6" s="39" t="s">
        <v>105</v>
      </c>
      <c r="J6" s="109" t="s">
        <v>106</v>
      </c>
      <c r="K6" s="102">
        <f>'Operating Inputs'!D22</f>
        <v>53.6</v>
      </c>
      <c r="N6" s="119"/>
      <c r="O6" s="119"/>
    </row>
    <row r="7" spans="1:20" ht="17.5">
      <c r="A7" s="39" t="s">
        <v>81</v>
      </c>
      <c r="B7" s="83" t="s">
        <v>153</v>
      </c>
      <c r="C7" s="71">
        <v>0.5</v>
      </c>
      <c r="E7" s="92" t="s">
        <v>12</v>
      </c>
      <c r="F7" s="92" t="s">
        <v>121</v>
      </c>
      <c r="G7" s="93" t="s">
        <v>180</v>
      </c>
      <c r="I7" s="39" t="s">
        <v>117</v>
      </c>
      <c r="J7" s="109" t="s">
        <v>219</v>
      </c>
      <c r="K7" s="102">
        <f>'Operating Inputs'!D21</f>
        <v>15.5</v>
      </c>
      <c r="M7" s="286"/>
      <c r="N7" s="286"/>
      <c r="O7" s="286"/>
      <c r="P7" s="70"/>
    </row>
    <row r="8" spans="1:20" ht="17.5">
      <c r="A8" s="39" t="s">
        <v>133</v>
      </c>
      <c r="B8" s="83" t="s">
        <v>134</v>
      </c>
      <c r="C8" s="64">
        <v>0.02</v>
      </c>
      <c r="E8" s="39" t="s">
        <v>118</v>
      </c>
      <c r="F8" s="111" t="str">
        <f>ROUND(B25*B26*24*365/1000,0) &amp; " kWh"</f>
        <v>11622 kWh</v>
      </c>
      <c r="G8" s="89">
        <f>B25*B26*24*365/1000*K4</f>
        <v>1278.4079601990047</v>
      </c>
      <c r="I8" s="97" t="s">
        <v>114</v>
      </c>
      <c r="J8" s="97"/>
      <c r="K8" s="97"/>
    </row>
    <row r="9" spans="1:20" ht="18" thickBot="1">
      <c r="A9" s="39" t="s">
        <v>111</v>
      </c>
      <c r="B9" s="83" t="s">
        <v>209</v>
      </c>
      <c r="C9" s="64">
        <v>0.25</v>
      </c>
      <c r="E9" s="39" t="s">
        <v>119</v>
      </c>
      <c r="F9" s="83" t="str">
        <f>C12 &amp; " hours per day"</f>
        <v>16 hours per day</v>
      </c>
      <c r="G9" s="89">
        <f>C12*C3*C13/1000*K4*365</f>
        <v>5572.8200000000006</v>
      </c>
      <c r="I9" s="68" t="s">
        <v>116</v>
      </c>
      <c r="J9" s="110" t="s">
        <v>218</v>
      </c>
      <c r="K9" s="103">
        <f>'Operating Inputs'!D23</f>
        <v>1.85</v>
      </c>
    </row>
    <row r="10" spans="1:20" ht="18" thickBot="1">
      <c r="A10" s="39" t="s">
        <v>152</v>
      </c>
      <c r="B10" s="83" t="s">
        <v>153</v>
      </c>
      <c r="C10" s="117">
        <v>1</v>
      </c>
      <c r="E10" s="39" t="s">
        <v>80</v>
      </c>
      <c r="F10" s="83" t="str">
        <f>ROUND(B21,0) &amp; " CFM"</f>
        <v>708 CFM</v>
      </c>
      <c r="G10" s="89">
        <f>B21/C16*24*365*K4</f>
        <v>505.47120181405899</v>
      </c>
      <c r="T10" s="44"/>
    </row>
    <row r="11" spans="1:20" ht="18" thickBot="1">
      <c r="A11" s="39" t="s">
        <v>269</v>
      </c>
      <c r="B11" s="83" t="s">
        <v>270</v>
      </c>
      <c r="C11" s="117">
        <v>5</v>
      </c>
      <c r="E11" s="68" t="s">
        <v>120</v>
      </c>
      <c r="F11" s="85" t="str">
        <f>C14 &amp; " kWh"</f>
        <v>2500 kWh</v>
      </c>
      <c r="G11" s="106">
        <f>C14*K4</f>
        <v>275</v>
      </c>
      <c r="I11" s="280" t="s">
        <v>216</v>
      </c>
      <c r="J11" s="281"/>
      <c r="K11" s="282"/>
      <c r="T11" s="72"/>
    </row>
    <row r="12" spans="1:20" ht="18" thickBot="1">
      <c r="A12" s="39" t="s">
        <v>189</v>
      </c>
      <c r="B12" s="83" t="s">
        <v>122</v>
      </c>
      <c r="C12" s="113">
        <f>'Operating Inputs'!D30</f>
        <v>16</v>
      </c>
      <c r="E12" s="283" t="s">
        <v>245</v>
      </c>
      <c r="F12" s="283"/>
      <c r="G12" s="284"/>
      <c r="I12" s="47" t="s">
        <v>113</v>
      </c>
      <c r="J12" s="47" t="s">
        <v>11</v>
      </c>
      <c r="K12" s="93" t="s">
        <v>13</v>
      </c>
    </row>
    <row r="13" spans="1:20" ht="17.5">
      <c r="A13" s="39" t="s">
        <v>125</v>
      </c>
      <c r="B13" s="83" t="s">
        <v>211</v>
      </c>
      <c r="C13" s="94">
        <v>1.25</v>
      </c>
      <c r="E13" s="92" t="s">
        <v>79</v>
      </c>
      <c r="F13" s="92" t="s">
        <v>11</v>
      </c>
      <c r="G13" s="93" t="s">
        <v>123</v>
      </c>
      <c r="I13" s="39" t="s">
        <v>115</v>
      </c>
      <c r="J13" s="83" t="s">
        <v>194</v>
      </c>
      <c r="K13" s="64">
        <v>0.95</v>
      </c>
    </row>
    <row r="14" spans="1:20" ht="17.5">
      <c r="A14" s="39" t="s">
        <v>126</v>
      </c>
      <c r="B14" s="83" t="s">
        <v>127</v>
      </c>
      <c r="C14" s="96">
        <v>2500</v>
      </c>
      <c r="E14" s="39" t="s">
        <v>15</v>
      </c>
      <c r="F14" s="83" t="s">
        <v>103</v>
      </c>
      <c r="G14" s="170">
        <v>3412</v>
      </c>
      <c r="I14" s="39" t="s">
        <v>60</v>
      </c>
      <c r="J14" s="83" t="s">
        <v>194</v>
      </c>
      <c r="K14" s="64">
        <v>0.9</v>
      </c>
    </row>
    <row r="15" spans="1:20" ht="18" thickBot="1">
      <c r="A15" s="39" t="s">
        <v>100</v>
      </c>
      <c r="B15" s="83" t="s">
        <v>65</v>
      </c>
      <c r="C15" s="114">
        <v>0.24</v>
      </c>
      <c r="E15" s="39" t="s">
        <v>60</v>
      </c>
      <c r="F15" s="83" t="s">
        <v>107</v>
      </c>
      <c r="G15" s="170">
        <v>103700</v>
      </c>
      <c r="I15" s="68" t="s">
        <v>114</v>
      </c>
      <c r="J15" s="85" t="s">
        <v>194</v>
      </c>
      <c r="K15" s="108">
        <v>0.9</v>
      </c>
    </row>
    <row r="16" spans="1:20" ht="18" thickBot="1">
      <c r="A16" s="68" t="s">
        <v>128</v>
      </c>
      <c r="B16" s="85" t="s">
        <v>129</v>
      </c>
      <c r="C16" s="95">
        <v>1350</v>
      </c>
      <c r="E16" s="68" t="s">
        <v>116</v>
      </c>
      <c r="F16" s="85" t="s">
        <v>104</v>
      </c>
      <c r="G16" s="171">
        <v>91502</v>
      </c>
    </row>
    <row r="17" spans="1:17" ht="17.5">
      <c r="A17" s="70"/>
      <c r="C17" s="74"/>
      <c r="F17" s="75" t="s">
        <v>130</v>
      </c>
      <c r="G17" s="107">
        <f>IF(C6=E3,G3,IF(C6=E4,G4,G5))+SUM(G8:G11)+K3*12+K6*12</f>
        <v>12208.116593142893</v>
      </c>
    </row>
    <row r="18" spans="1:17" ht="18" thickBot="1">
      <c r="C18" s="74"/>
    </row>
    <row r="19" spans="1:17" ht="18" thickBot="1">
      <c r="A19" s="38" t="s">
        <v>96</v>
      </c>
      <c r="B19" s="98">
        <f>C3*C4</f>
        <v>83280</v>
      </c>
      <c r="E19" s="285" t="s">
        <v>95</v>
      </c>
      <c r="F19" s="283"/>
      <c r="G19" s="283"/>
      <c r="H19" s="283"/>
      <c r="I19" s="283"/>
      <c r="J19" s="283"/>
      <c r="K19" s="283"/>
      <c r="L19" s="283"/>
      <c r="M19" s="283"/>
      <c r="N19" s="283"/>
      <c r="O19" s="283"/>
      <c r="P19" s="283"/>
      <c r="Q19" s="284"/>
    </row>
    <row r="20" spans="1:17" ht="17.5">
      <c r="A20" s="38" t="s">
        <v>97</v>
      </c>
      <c r="B20" s="98">
        <f>B19*24*(C7)/(1-C8)</f>
        <v>1019755.1020408163</v>
      </c>
      <c r="E20" s="39"/>
      <c r="F20" s="115" t="s">
        <v>83</v>
      </c>
      <c r="G20" s="115" t="s">
        <v>84</v>
      </c>
      <c r="H20" s="115" t="s">
        <v>85</v>
      </c>
      <c r="I20" s="115" t="s">
        <v>86</v>
      </c>
      <c r="J20" s="115" t="s">
        <v>87</v>
      </c>
      <c r="K20" s="115" t="s">
        <v>88</v>
      </c>
      <c r="L20" s="115" t="s">
        <v>89</v>
      </c>
      <c r="M20" s="115" t="s">
        <v>90</v>
      </c>
      <c r="N20" s="115" t="s">
        <v>91</v>
      </c>
      <c r="O20" s="115" t="s">
        <v>92</v>
      </c>
      <c r="P20" s="115" t="s">
        <v>93</v>
      </c>
      <c r="Q20" s="116" t="s">
        <v>94</v>
      </c>
    </row>
    <row r="21" spans="1:17" ht="17.5">
      <c r="A21" s="38" t="s">
        <v>110</v>
      </c>
      <c r="B21" s="98">
        <f>B20/24/60</f>
        <v>708.16326530612241</v>
      </c>
      <c r="E21" s="43" t="s">
        <v>98</v>
      </c>
      <c r="F21" s="38">
        <f>'Operating Inputs'!G2</f>
        <v>30</v>
      </c>
      <c r="G21" s="38">
        <f>'Operating Inputs'!G3</f>
        <v>34</v>
      </c>
      <c r="H21" s="38">
        <f>'Operating Inputs'!G4</f>
        <v>44</v>
      </c>
      <c r="I21" s="38">
        <f>'Operating Inputs'!G5</f>
        <v>55</v>
      </c>
      <c r="J21" s="38">
        <f>'Operating Inputs'!G6</f>
        <v>63</v>
      </c>
      <c r="K21" s="38">
        <f>'Operating Inputs'!G7</f>
        <v>73</v>
      </c>
      <c r="L21" s="38">
        <f>'Operating Inputs'!G8</f>
        <v>77</v>
      </c>
      <c r="M21" s="38">
        <f>'Operating Inputs'!G9</f>
        <v>76</v>
      </c>
      <c r="N21" s="38">
        <f>'Operating Inputs'!G10</f>
        <v>67</v>
      </c>
      <c r="O21" s="38">
        <f>'Operating Inputs'!G11</f>
        <v>56</v>
      </c>
      <c r="P21" s="38">
        <f>'Operating Inputs'!G12</f>
        <v>44</v>
      </c>
      <c r="Q21" s="40">
        <f>'Operating Inputs'!G13</f>
        <v>33</v>
      </c>
    </row>
    <row r="22" spans="1:17" ht="17.5">
      <c r="A22" s="38" t="s">
        <v>100</v>
      </c>
      <c r="B22" s="38">
        <f>C15</f>
        <v>0.24</v>
      </c>
      <c r="E22" s="43" t="s">
        <v>102</v>
      </c>
      <c r="F22" s="52">
        <v>31</v>
      </c>
      <c r="G22" s="99">
        <v>28.25</v>
      </c>
      <c r="H22" s="52">
        <v>31</v>
      </c>
      <c r="I22" s="52">
        <v>30</v>
      </c>
      <c r="J22" s="52">
        <v>31</v>
      </c>
      <c r="K22" s="52">
        <v>30</v>
      </c>
      <c r="L22" s="52">
        <v>31</v>
      </c>
      <c r="M22" s="52">
        <v>31</v>
      </c>
      <c r="N22" s="52">
        <v>30</v>
      </c>
      <c r="O22" s="52">
        <v>31</v>
      </c>
      <c r="P22" s="52">
        <v>30</v>
      </c>
      <c r="Q22" s="63">
        <v>31</v>
      </c>
    </row>
    <row r="23" spans="1:17" ht="17.5">
      <c r="A23" s="38" t="s">
        <v>108</v>
      </c>
      <c r="B23" s="74">
        <f>MAX(F24:Q24)/31/24</f>
        <v>43747.493877551016</v>
      </c>
      <c r="E23" s="43" t="s">
        <v>99</v>
      </c>
      <c r="F23" s="38">
        <v>7.8E-2</v>
      </c>
      <c r="G23" s="38">
        <v>7.8E-2</v>
      </c>
      <c r="H23" s="38">
        <v>7.5999999999999998E-2</v>
      </c>
      <c r="I23" s="38">
        <v>7.3999999999999996E-2</v>
      </c>
      <c r="J23" s="38">
        <v>7.2999999999999995E-2</v>
      </c>
      <c r="K23" s="38">
        <v>7.1999999999999995E-2</v>
      </c>
      <c r="L23" s="38">
        <v>7.0999999999999994E-2</v>
      </c>
      <c r="M23" s="38">
        <v>7.0999999999999994E-2</v>
      </c>
      <c r="N23" s="38">
        <v>7.2999999999999995E-2</v>
      </c>
      <c r="O23" s="38">
        <v>7.3999999999999996E-2</v>
      </c>
      <c r="P23" s="38">
        <v>7.5999999999999998E-2</v>
      </c>
      <c r="Q23" s="40">
        <v>7.8E-2</v>
      </c>
    </row>
    <row r="24" spans="1:17" ht="17.5">
      <c r="A24" s="38" t="s">
        <v>112</v>
      </c>
      <c r="B24" s="74">
        <f>B23*(1+C9)</f>
        <v>54684.367346938772</v>
      </c>
      <c r="E24" s="43" t="s">
        <v>101</v>
      </c>
      <c r="F24" s="74">
        <f t="shared" ref="F24:Q24" si="1">IF(F25=$F$28,ABS(($C$5-F21)*$B$22*F23*$B$20*F22),0)</f>
        <v>32548135.444897953</v>
      </c>
      <c r="G24" s="74">
        <f t="shared" si="1"/>
        <v>27503651.696326531</v>
      </c>
      <c r="H24" s="74">
        <f t="shared" si="1"/>
        <v>23641023.320816323</v>
      </c>
      <c r="I24" s="74">
        <f t="shared" si="1"/>
        <v>16299765.551020406</v>
      </c>
      <c r="J24" s="74">
        <f t="shared" si="1"/>
        <v>12184686.602448978</v>
      </c>
      <c r="K24" s="74">
        <f t="shared" si="1"/>
        <v>6343692.5387755102</v>
      </c>
      <c r="L24" s="74">
        <f t="shared" si="1"/>
        <v>0</v>
      </c>
      <c r="M24" s="74">
        <f t="shared" si="1"/>
        <v>0</v>
      </c>
      <c r="N24" s="74">
        <f t="shared" si="1"/>
        <v>9647699.0693877544</v>
      </c>
      <c r="O24" s="74">
        <f t="shared" si="1"/>
        <v>16281654.700408163</v>
      </c>
      <c r="P24" s="74">
        <f t="shared" si="1"/>
        <v>22878409.665306121</v>
      </c>
      <c r="Q24" s="73">
        <f t="shared" si="1"/>
        <v>30772782.602448985</v>
      </c>
    </row>
    <row r="25" spans="1:17" ht="18" customHeight="1" thickBot="1">
      <c r="A25" s="38" t="s">
        <v>268</v>
      </c>
      <c r="B25" s="118">
        <f>C11*B26/3960/1.34/B26*1000</f>
        <v>0.94225840494497204</v>
      </c>
      <c r="E25" s="45" t="s">
        <v>182</v>
      </c>
      <c r="F25" s="100" t="s">
        <v>183</v>
      </c>
      <c r="G25" s="100" t="s">
        <v>183</v>
      </c>
      <c r="H25" s="100" t="s">
        <v>183</v>
      </c>
      <c r="I25" s="100" t="s">
        <v>183</v>
      </c>
      <c r="J25" s="100" t="s">
        <v>183</v>
      </c>
      <c r="K25" s="100" t="s">
        <v>183</v>
      </c>
      <c r="L25" s="100" t="s">
        <v>184</v>
      </c>
      <c r="M25" s="100" t="s">
        <v>184</v>
      </c>
      <c r="N25" s="100" t="s">
        <v>183</v>
      </c>
      <c r="O25" s="100" t="s">
        <v>183</v>
      </c>
      <c r="P25" s="100" t="s">
        <v>183</v>
      </c>
      <c r="Q25" s="101" t="s">
        <v>183</v>
      </c>
    </row>
    <row r="26" spans="1:17" ht="17.5">
      <c r="A26" s="39" t="s">
        <v>271</v>
      </c>
      <c r="B26" s="38">
        <f>ROUNDUP(C10*'Capital Inputs'!L10/60,0)</f>
        <v>1408</v>
      </c>
      <c r="E26" s="83" t="s">
        <v>210</v>
      </c>
    </row>
    <row r="28" spans="1:17" ht="17.5" hidden="1">
      <c r="F28" s="76" t="s">
        <v>183</v>
      </c>
    </row>
    <row r="29" spans="1:17" ht="17.5" hidden="1">
      <c r="F29" s="76" t="s">
        <v>184</v>
      </c>
    </row>
    <row r="37" spans="1:2" ht="17.5">
      <c r="A37" s="38" t="s">
        <v>274</v>
      </c>
      <c r="B37" s="38">
        <v>0.25</v>
      </c>
    </row>
  </sheetData>
  <mergeCells count="9">
    <mergeCell ref="I11:K11"/>
    <mergeCell ref="E12:G12"/>
    <mergeCell ref="E19:Q19"/>
    <mergeCell ref="A1:C1"/>
    <mergeCell ref="E1:G1"/>
    <mergeCell ref="I1:K1"/>
    <mergeCell ref="M1:O1"/>
    <mergeCell ref="E6:G6"/>
    <mergeCell ref="M7:O7"/>
  </mergeCells>
  <dataValidations count="2">
    <dataValidation type="list" allowBlank="1" showInputMessage="1" showErrorMessage="1" sqref="C6" xr:uid="{0B3EF009-BB6B-43ED-BA08-78A7ED7051AC}">
      <formula1>$E$3:$E$5</formula1>
    </dataValidation>
    <dataValidation type="list" allowBlank="1" showInputMessage="1" showErrorMessage="1" sqref="F25:Q25" xr:uid="{3772D90D-F956-4575-ABF9-678E305CAB69}">
      <formula1>$F$28:$F$29</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A9A52-F91B-43F6-AECD-8068630B7F7A}">
  <dimension ref="A1:U37"/>
  <sheetViews>
    <sheetView zoomScale="80" zoomScaleNormal="80" workbookViewId="0">
      <selection activeCell="G17" sqref="G17"/>
    </sheetView>
  </sheetViews>
  <sheetFormatPr defaultColWidth="0" defaultRowHeight="17.5" zeroHeight="1"/>
  <cols>
    <col min="1" max="1" width="28.53515625" style="38" bestFit="1" customWidth="1"/>
    <col min="2" max="2" width="14.53515625" style="38" bestFit="1" customWidth="1"/>
    <col min="3" max="3" width="10" style="38" customWidth="1"/>
    <col min="4" max="4" width="3.765625" style="38" customWidth="1"/>
    <col min="5" max="5" width="23.53515625" style="38" customWidth="1"/>
    <col min="6" max="17" width="12.765625" style="38" customWidth="1"/>
    <col min="18" max="18" width="3.765625" style="38" customWidth="1"/>
    <col min="19" max="21" width="0" style="38" hidden="1" customWidth="1"/>
    <col min="22" max="16384" width="8.84375" style="38" hidden="1"/>
  </cols>
  <sheetData>
    <row r="1" spans="1:20">
      <c r="A1" s="280" t="s">
        <v>244</v>
      </c>
      <c r="B1" s="281"/>
      <c r="C1" s="282"/>
      <c r="D1" s="91"/>
      <c r="E1" s="280" t="s">
        <v>213</v>
      </c>
      <c r="F1" s="281"/>
      <c r="G1" s="282"/>
      <c r="I1" s="280" t="s">
        <v>215</v>
      </c>
      <c r="J1" s="281"/>
      <c r="K1" s="281"/>
      <c r="M1" s="286" t="s">
        <v>275</v>
      </c>
      <c r="N1" s="286"/>
      <c r="O1" s="286"/>
    </row>
    <row r="2" spans="1:20">
      <c r="A2" s="47" t="s">
        <v>12</v>
      </c>
      <c r="B2" s="47" t="s">
        <v>11</v>
      </c>
      <c r="C2" s="93" t="s">
        <v>13</v>
      </c>
      <c r="E2" s="92" t="s">
        <v>113</v>
      </c>
      <c r="F2" s="97" t="s">
        <v>217</v>
      </c>
      <c r="G2" s="93" t="s">
        <v>180</v>
      </c>
      <c r="I2" s="97" t="s">
        <v>221</v>
      </c>
      <c r="J2" s="97"/>
      <c r="K2" s="97"/>
      <c r="M2" s="38" t="s">
        <v>276</v>
      </c>
      <c r="N2" s="38" t="s">
        <v>277</v>
      </c>
      <c r="O2" s="38" t="s">
        <v>180</v>
      </c>
    </row>
    <row r="3" spans="1:20">
      <c r="A3" s="39" t="s">
        <v>176</v>
      </c>
      <c r="B3" s="83" t="s">
        <v>190</v>
      </c>
      <c r="C3" s="89">
        <f>'Capital Inputs'!D5+'Capital Inputs'!$D$8</f>
        <v>6940</v>
      </c>
      <c r="D3" s="70"/>
      <c r="E3" s="39" t="s">
        <v>15</v>
      </c>
      <c r="F3" s="112">
        <f>SUM($F$24:$Q$24)/G14/K13</f>
        <v>62837.72843933649</v>
      </c>
      <c r="G3" s="89">
        <f>F3*K4</f>
        <v>6912.1501283270136</v>
      </c>
      <c r="I3" s="39" t="s">
        <v>105</v>
      </c>
      <c r="J3" s="109" t="s">
        <v>212</v>
      </c>
      <c r="K3" s="102">
        <f>'Operating Inputs'!D20</f>
        <v>53.6</v>
      </c>
      <c r="M3" s="38" t="s">
        <v>264</v>
      </c>
      <c r="N3" s="119">
        <f>'RAS Talapia'!D4*'Tilapia Utilities'!B37/(24*365)</f>
        <v>4.0658406838613015</v>
      </c>
      <c r="O3" s="119">
        <f>N3/1.33*24*365*$K$4</f>
        <v>2945.7474308035712</v>
      </c>
    </row>
    <row r="4" spans="1:20">
      <c r="A4" s="39" t="s">
        <v>109</v>
      </c>
      <c r="B4" s="83" t="s">
        <v>208</v>
      </c>
      <c r="C4" s="89">
        <f>'Operating Inputs'!D25</f>
        <v>12</v>
      </c>
      <c r="E4" s="39" t="s">
        <v>60</v>
      </c>
      <c r="F4" s="112">
        <f>SUM($F$24:$Q$24)/G15/K14/10</f>
        <v>218.23873670123785</v>
      </c>
      <c r="G4" s="89">
        <f>F4*K7</f>
        <v>3382.7004188691867</v>
      </c>
      <c r="I4" s="39" t="s">
        <v>124</v>
      </c>
      <c r="J4" s="109" t="s">
        <v>220</v>
      </c>
      <c r="K4" s="102">
        <f>'Operating Inputs'!D19</f>
        <v>0.11</v>
      </c>
      <c r="N4" s="119"/>
      <c r="O4" s="119"/>
    </row>
    <row r="5" spans="1:20" ht="18" thickBot="1">
      <c r="A5" s="39" t="s">
        <v>78</v>
      </c>
      <c r="B5" s="83" t="s">
        <v>82</v>
      </c>
      <c r="C5" s="89">
        <f>'Operating Inputs'!G16</f>
        <v>86</v>
      </c>
      <c r="E5" s="68" t="s">
        <v>114</v>
      </c>
      <c r="F5" s="112">
        <f>SUM($F$24:$Q$24)/G16/K15</f>
        <v>2473.3182876787796</v>
      </c>
      <c r="G5" s="106">
        <f>F5*K9</f>
        <v>4575.6388322057428</v>
      </c>
      <c r="I5" s="97" t="s">
        <v>222</v>
      </c>
      <c r="J5" s="97"/>
      <c r="K5" s="97"/>
      <c r="N5" s="119"/>
      <c r="O5" s="119"/>
    </row>
    <row r="6" spans="1:20">
      <c r="A6" s="39" t="s">
        <v>131</v>
      </c>
      <c r="B6" s="83"/>
      <c r="C6" s="40" t="str">
        <f>'Operating Inputs'!D18</f>
        <v>Natural gas</v>
      </c>
      <c r="E6" s="280" t="s">
        <v>214</v>
      </c>
      <c r="F6" s="281"/>
      <c r="G6" s="282"/>
      <c r="I6" s="39" t="s">
        <v>105</v>
      </c>
      <c r="J6" s="109" t="s">
        <v>106</v>
      </c>
      <c r="K6" s="102">
        <f>'Operating Inputs'!D22</f>
        <v>53.6</v>
      </c>
      <c r="N6" s="119"/>
      <c r="O6" s="119"/>
    </row>
    <row r="7" spans="1:20">
      <c r="A7" s="39" t="s">
        <v>81</v>
      </c>
      <c r="B7" s="83" t="s">
        <v>153</v>
      </c>
      <c r="C7" s="71">
        <v>0.5</v>
      </c>
      <c r="E7" s="92" t="s">
        <v>12</v>
      </c>
      <c r="F7" s="92" t="s">
        <v>121</v>
      </c>
      <c r="G7" s="93" t="s">
        <v>180</v>
      </c>
      <c r="I7" s="39" t="s">
        <v>117</v>
      </c>
      <c r="J7" s="109" t="s">
        <v>219</v>
      </c>
      <c r="K7" s="102">
        <f>'Operating Inputs'!D21</f>
        <v>15.5</v>
      </c>
      <c r="M7" s="286"/>
      <c r="N7" s="286"/>
      <c r="O7" s="286"/>
      <c r="P7" s="70"/>
    </row>
    <row r="8" spans="1:20">
      <c r="A8" s="39" t="s">
        <v>133</v>
      </c>
      <c r="B8" s="83" t="s">
        <v>134</v>
      </c>
      <c r="C8" s="64">
        <v>0.02</v>
      </c>
      <c r="E8" s="39" t="s">
        <v>118</v>
      </c>
      <c r="F8" s="111" t="str">
        <f>ROUND(B25*B26*24*365/1000,0) &amp; " kWh"</f>
        <v>11622 kWh</v>
      </c>
      <c r="G8" s="89">
        <f>B25*B26*24*365/1000*K4</f>
        <v>1278.4079601990047</v>
      </c>
      <c r="I8" s="97" t="s">
        <v>114</v>
      </c>
      <c r="J8" s="97"/>
      <c r="K8" s="97"/>
    </row>
    <row r="9" spans="1:20" ht="18" thickBot="1">
      <c r="A9" s="39" t="s">
        <v>111</v>
      </c>
      <c r="B9" s="83" t="s">
        <v>209</v>
      </c>
      <c r="C9" s="64">
        <v>0.25</v>
      </c>
      <c r="E9" s="39" t="s">
        <v>119</v>
      </c>
      <c r="F9" s="83" t="str">
        <f>C12 &amp; " hours per day"</f>
        <v>16 hours per day</v>
      </c>
      <c r="G9" s="89">
        <f>C12*C3*C13/1000*K4*365</f>
        <v>5572.8200000000006</v>
      </c>
      <c r="I9" s="68" t="s">
        <v>116</v>
      </c>
      <c r="J9" s="110" t="s">
        <v>218</v>
      </c>
      <c r="K9" s="103">
        <f>'Operating Inputs'!D23</f>
        <v>1.85</v>
      </c>
    </row>
    <row r="10" spans="1:20" ht="18" thickBot="1">
      <c r="A10" s="39" t="s">
        <v>152</v>
      </c>
      <c r="B10" s="83" t="s">
        <v>153</v>
      </c>
      <c r="C10" s="117">
        <v>1</v>
      </c>
      <c r="E10" s="39" t="s">
        <v>80</v>
      </c>
      <c r="F10" s="83" t="str">
        <f>ROUND(B21,0) &amp; " CFM"</f>
        <v>708 CFM</v>
      </c>
      <c r="G10" s="89">
        <f>B21/C16*24*365*K4</f>
        <v>505.47120181405899</v>
      </c>
      <c r="T10" s="44"/>
    </row>
    <row r="11" spans="1:20" ht="18" thickBot="1">
      <c r="A11" s="39" t="s">
        <v>269</v>
      </c>
      <c r="B11" s="83" t="s">
        <v>270</v>
      </c>
      <c r="C11" s="117">
        <v>5</v>
      </c>
      <c r="E11" s="68" t="s">
        <v>120</v>
      </c>
      <c r="F11" s="85" t="str">
        <f>C14 &amp; " kWh"</f>
        <v>2500 kWh</v>
      </c>
      <c r="G11" s="106">
        <f>C14*K4</f>
        <v>275</v>
      </c>
      <c r="I11" s="280" t="s">
        <v>216</v>
      </c>
      <c r="J11" s="281"/>
      <c r="K11" s="282"/>
      <c r="T11" s="72"/>
    </row>
    <row r="12" spans="1:20" ht="18" thickBot="1">
      <c r="A12" s="39" t="s">
        <v>189</v>
      </c>
      <c r="B12" s="83" t="s">
        <v>122</v>
      </c>
      <c r="C12" s="113">
        <f>'Operating Inputs'!D30</f>
        <v>16</v>
      </c>
      <c r="E12" s="283" t="s">
        <v>245</v>
      </c>
      <c r="F12" s="283"/>
      <c r="G12" s="284"/>
      <c r="I12" s="47" t="s">
        <v>113</v>
      </c>
      <c r="J12" s="47" t="s">
        <v>11</v>
      </c>
      <c r="K12" s="93" t="s">
        <v>13</v>
      </c>
    </row>
    <row r="13" spans="1:20">
      <c r="A13" s="39" t="s">
        <v>125</v>
      </c>
      <c r="B13" s="83" t="s">
        <v>211</v>
      </c>
      <c r="C13" s="94">
        <v>1.25</v>
      </c>
      <c r="E13" s="92" t="s">
        <v>79</v>
      </c>
      <c r="F13" s="92" t="s">
        <v>11</v>
      </c>
      <c r="G13" s="93" t="s">
        <v>123</v>
      </c>
      <c r="I13" s="39" t="s">
        <v>115</v>
      </c>
      <c r="J13" s="83" t="s">
        <v>194</v>
      </c>
      <c r="K13" s="64">
        <v>0.95</v>
      </c>
    </row>
    <row r="14" spans="1:20">
      <c r="A14" s="39" t="s">
        <v>126</v>
      </c>
      <c r="B14" s="83" t="s">
        <v>127</v>
      </c>
      <c r="C14" s="96">
        <v>2500</v>
      </c>
      <c r="E14" s="39" t="s">
        <v>15</v>
      </c>
      <c r="F14" s="83" t="s">
        <v>103</v>
      </c>
      <c r="G14" s="170">
        <v>3412</v>
      </c>
      <c r="I14" s="39" t="s">
        <v>60</v>
      </c>
      <c r="J14" s="83" t="s">
        <v>194</v>
      </c>
      <c r="K14" s="64">
        <v>0.9</v>
      </c>
    </row>
    <row r="15" spans="1:20" ht="18" thickBot="1">
      <c r="A15" s="39" t="s">
        <v>100</v>
      </c>
      <c r="B15" s="83" t="s">
        <v>65</v>
      </c>
      <c r="C15" s="114">
        <v>0.24</v>
      </c>
      <c r="E15" s="39" t="s">
        <v>60</v>
      </c>
      <c r="F15" s="83" t="s">
        <v>107</v>
      </c>
      <c r="G15" s="170">
        <v>103700</v>
      </c>
      <c r="I15" s="68" t="s">
        <v>114</v>
      </c>
      <c r="J15" s="85" t="s">
        <v>194</v>
      </c>
      <c r="K15" s="108">
        <v>0.9</v>
      </c>
    </row>
    <row r="16" spans="1:20" ht="18" thickBot="1">
      <c r="A16" s="68" t="s">
        <v>128</v>
      </c>
      <c r="B16" s="85" t="s">
        <v>129</v>
      </c>
      <c r="C16" s="95">
        <v>1350</v>
      </c>
      <c r="E16" s="68" t="s">
        <v>116</v>
      </c>
      <c r="F16" s="85" t="s">
        <v>104</v>
      </c>
      <c r="G16" s="171">
        <v>91502</v>
      </c>
    </row>
    <row r="17" spans="1:17">
      <c r="A17" s="70"/>
      <c r="C17" s="74"/>
      <c r="F17" s="75" t="s">
        <v>130</v>
      </c>
      <c r="G17" s="107">
        <f>IF(C6=E3,G3,IF(C6=E4,G4,G5))+SUM(G8:G11)+K3*12+K6*12</f>
        <v>12300.799580882252</v>
      </c>
    </row>
    <row r="18" spans="1:17" ht="18" thickBot="1">
      <c r="C18" s="74"/>
    </row>
    <row r="19" spans="1:17" ht="18" thickBot="1">
      <c r="A19" s="38" t="s">
        <v>96</v>
      </c>
      <c r="B19" s="98">
        <f>C3*C4</f>
        <v>83280</v>
      </c>
      <c r="E19" s="285" t="s">
        <v>95</v>
      </c>
      <c r="F19" s="283"/>
      <c r="G19" s="283"/>
      <c r="H19" s="283"/>
      <c r="I19" s="283"/>
      <c r="J19" s="283"/>
      <c r="K19" s="283"/>
      <c r="L19" s="283"/>
      <c r="M19" s="283"/>
      <c r="N19" s="283"/>
      <c r="O19" s="283"/>
      <c r="P19" s="283"/>
      <c r="Q19" s="284"/>
    </row>
    <row r="20" spans="1:17">
      <c r="A20" s="38" t="s">
        <v>97</v>
      </c>
      <c r="B20" s="98">
        <f>B19*24*(C7)/(1-C8)</f>
        <v>1019755.1020408163</v>
      </c>
      <c r="E20" s="39"/>
      <c r="F20" s="115" t="s">
        <v>83</v>
      </c>
      <c r="G20" s="115" t="s">
        <v>84</v>
      </c>
      <c r="H20" s="115" t="s">
        <v>85</v>
      </c>
      <c r="I20" s="115" t="s">
        <v>86</v>
      </c>
      <c r="J20" s="115" t="s">
        <v>87</v>
      </c>
      <c r="K20" s="115" t="s">
        <v>88</v>
      </c>
      <c r="L20" s="115" t="s">
        <v>89</v>
      </c>
      <c r="M20" s="115" t="s">
        <v>90</v>
      </c>
      <c r="N20" s="115" t="s">
        <v>91</v>
      </c>
      <c r="O20" s="115" t="s">
        <v>92</v>
      </c>
      <c r="P20" s="115" t="s">
        <v>93</v>
      </c>
      <c r="Q20" s="116" t="s">
        <v>94</v>
      </c>
    </row>
    <row r="21" spans="1:17">
      <c r="A21" s="38" t="s">
        <v>110</v>
      </c>
      <c r="B21" s="98">
        <f>B20/24/60</f>
        <v>708.16326530612241</v>
      </c>
      <c r="E21" s="43" t="s">
        <v>98</v>
      </c>
      <c r="F21" s="38">
        <f>'Operating Inputs'!G2</f>
        <v>30</v>
      </c>
      <c r="G21" s="38">
        <f>'Operating Inputs'!G3</f>
        <v>34</v>
      </c>
      <c r="H21" s="38">
        <f>'Operating Inputs'!G4</f>
        <v>44</v>
      </c>
      <c r="I21" s="38">
        <f>'Operating Inputs'!G5</f>
        <v>55</v>
      </c>
      <c r="J21" s="38">
        <f>'Operating Inputs'!G6</f>
        <v>63</v>
      </c>
      <c r="K21" s="38">
        <f>'Operating Inputs'!G7</f>
        <v>73</v>
      </c>
      <c r="L21" s="38">
        <f>'Operating Inputs'!G8</f>
        <v>77</v>
      </c>
      <c r="M21" s="38">
        <f>'Operating Inputs'!G9</f>
        <v>76</v>
      </c>
      <c r="N21" s="38">
        <f>'Operating Inputs'!G10</f>
        <v>67</v>
      </c>
      <c r="O21" s="38">
        <f>'Operating Inputs'!G11</f>
        <v>56</v>
      </c>
      <c r="P21" s="38">
        <f>'Operating Inputs'!G12</f>
        <v>44</v>
      </c>
      <c r="Q21" s="40">
        <f>'Operating Inputs'!G13</f>
        <v>33</v>
      </c>
    </row>
    <row r="22" spans="1:17">
      <c r="A22" s="38" t="s">
        <v>100</v>
      </c>
      <c r="B22" s="38">
        <f>C15</f>
        <v>0.24</v>
      </c>
      <c r="E22" s="43" t="s">
        <v>102</v>
      </c>
      <c r="F22" s="52">
        <v>31</v>
      </c>
      <c r="G22" s="99">
        <v>28.25</v>
      </c>
      <c r="H22" s="52">
        <v>31</v>
      </c>
      <c r="I22" s="52">
        <v>30</v>
      </c>
      <c r="J22" s="52">
        <v>31</v>
      </c>
      <c r="K22" s="52">
        <v>30</v>
      </c>
      <c r="L22" s="52">
        <v>31</v>
      </c>
      <c r="M22" s="52">
        <v>31</v>
      </c>
      <c r="N22" s="52">
        <v>30</v>
      </c>
      <c r="O22" s="52">
        <v>31</v>
      </c>
      <c r="P22" s="52">
        <v>30</v>
      </c>
      <c r="Q22" s="63">
        <v>31</v>
      </c>
    </row>
    <row r="23" spans="1:17">
      <c r="A23" s="38" t="s">
        <v>108</v>
      </c>
      <c r="B23" s="74">
        <f>MAX(F24:Q24)/31/24</f>
        <v>44542.90285714285</v>
      </c>
      <c r="E23" s="43" t="s">
        <v>99</v>
      </c>
      <c r="F23" s="38">
        <v>7.8E-2</v>
      </c>
      <c r="G23" s="38">
        <v>7.8E-2</v>
      </c>
      <c r="H23" s="38">
        <v>7.5999999999999998E-2</v>
      </c>
      <c r="I23" s="38">
        <v>7.3999999999999996E-2</v>
      </c>
      <c r="J23" s="38">
        <v>7.2999999999999995E-2</v>
      </c>
      <c r="K23" s="38">
        <v>7.1999999999999995E-2</v>
      </c>
      <c r="L23" s="38">
        <v>7.0999999999999994E-2</v>
      </c>
      <c r="M23" s="38">
        <v>7.0999999999999994E-2</v>
      </c>
      <c r="N23" s="38">
        <v>7.2999999999999995E-2</v>
      </c>
      <c r="O23" s="38">
        <v>7.3999999999999996E-2</v>
      </c>
      <c r="P23" s="38">
        <v>7.5999999999999998E-2</v>
      </c>
      <c r="Q23" s="40">
        <v>7.8E-2</v>
      </c>
    </row>
    <row r="24" spans="1:17">
      <c r="A24" s="38" t="s">
        <v>112</v>
      </c>
      <c r="B24" s="74">
        <f>B23*(1+C9)</f>
        <v>55678.628571428562</v>
      </c>
      <c r="E24" s="43" t="s">
        <v>101</v>
      </c>
      <c r="F24" s="74">
        <f t="shared" ref="F24:Q24" si="0">IF(F25=$F$28,ABS(($C$5-F21)*$B$22*F23*$B$20*F22),0)</f>
        <v>33139919.725714281</v>
      </c>
      <c r="G24" s="74">
        <f t="shared" si="0"/>
        <v>28042938.984489799</v>
      </c>
      <c r="H24" s="74">
        <f t="shared" si="0"/>
        <v>24217633.645714287</v>
      </c>
      <c r="I24" s="74">
        <f t="shared" si="0"/>
        <v>16843091.069387753</v>
      </c>
      <c r="J24" s="74">
        <f t="shared" si="0"/>
        <v>12738535.993469385</v>
      </c>
      <c r="K24" s="74">
        <f t="shared" si="0"/>
        <v>6872333.5836734688</v>
      </c>
      <c r="L24" s="74">
        <f t="shared" si="0"/>
        <v>0</v>
      </c>
      <c r="M24" s="74">
        <f t="shared" si="0"/>
        <v>0</v>
      </c>
      <c r="N24" s="74">
        <f t="shared" si="0"/>
        <v>10183682.351020407</v>
      </c>
      <c r="O24" s="74">
        <f t="shared" si="0"/>
        <v>16843091.069387753</v>
      </c>
      <c r="P24" s="74">
        <f t="shared" si="0"/>
        <v>23436419.657142859</v>
      </c>
      <c r="Q24" s="73">
        <f t="shared" si="0"/>
        <v>31364566.883265302</v>
      </c>
    </row>
    <row r="25" spans="1:17" ht="18" customHeight="1" thickBot="1">
      <c r="A25" s="38" t="s">
        <v>268</v>
      </c>
      <c r="B25" s="118">
        <f>C11*B26/3960/1.34/B26*1000</f>
        <v>0.94225840494497204</v>
      </c>
      <c r="E25" s="45" t="s">
        <v>182</v>
      </c>
      <c r="F25" s="100" t="s">
        <v>183</v>
      </c>
      <c r="G25" s="100" t="s">
        <v>183</v>
      </c>
      <c r="H25" s="100" t="s">
        <v>183</v>
      </c>
      <c r="I25" s="100" t="s">
        <v>183</v>
      </c>
      <c r="J25" s="100" t="s">
        <v>183</v>
      </c>
      <c r="K25" s="100" t="s">
        <v>183</v>
      </c>
      <c r="L25" s="100" t="s">
        <v>184</v>
      </c>
      <c r="M25" s="100" t="s">
        <v>184</v>
      </c>
      <c r="N25" s="100" t="s">
        <v>183</v>
      </c>
      <c r="O25" s="100" t="s">
        <v>183</v>
      </c>
      <c r="P25" s="100" t="s">
        <v>183</v>
      </c>
      <c r="Q25" s="101" t="s">
        <v>183</v>
      </c>
    </row>
    <row r="26" spans="1:17">
      <c r="A26" s="39" t="s">
        <v>271</v>
      </c>
      <c r="B26" s="38">
        <f>ROUNDUP(C10*'Capital Inputs'!L10/60,0)</f>
        <v>1408</v>
      </c>
      <c r="E26" s="83" t="s">
        <v>210</v>
      </c>
    </row>
    <row r="28" spans="1:17" hidden="1">
      <c r="F28" s="76" t="s">
        <v>183</v>
      </c>
    </row>
    <row r="29" spans="1:17" hidden="1">
      <c r="F29" s="76" t="s">
        <v>184</v>
      </c>
    </row>
    <row r="37" spans="1:2">
      <c r="A37" s="38" t="s">
        <v>274</v>
      </c>
      <c r="B37" s="38">
        <v>0.25</v>
      </c>
    </row>
  </sheetData>
  <mergeCells count="9">
    <mergeCell ref="E19:Q19"/>
    <mergeCell ref="A1:C1"/>
    <mergeCell ref="E1:G1"/>
    <mergeCell ref="E6:G6"/>
    <mergeCell ref="E12:G12"/>
    <mergeCell ref="I11:K11"/>
    <mergeCell ref="I1:K1"/>
    <mergeCell ref="M1:O1"/>
    <mergeCell ref="M7:O7"/>
  </mergeCells>
  <dataValidations count="2">
    <dataValidation type="list" allowBlank="1" showInputMessage="1" showErrorMessage="1" sqref="C6" xr:uid="{7C8009EB-6057-441C-88CC-F9ED411E9C41}">
      <formula1>$E$3:$E$5</formula1>
    </dataValidation>
    <dataValidation type="list" allowBlank="1" showInputMessage="1" showErrorMessage="1" sqref="F25:Q25" xr:uid="{C08FC9D0-A097-4C5B-AF56-941519ACF351}">
      <formula1>$F$28:$F$29</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feaba0f-363c-487a-9eab-504fb0ae0068">
      <Terms xmlns="http://schemas.microsoft.com/office/infopath/2007/PartnerControls"/>
    </lcf76f155ced4ddcb4097134ff3c332f>
    <TaxCatchAll xmlns="3cf54786-5cbe-4eed-9d82-be7bae57988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E272BA2EC307A4F840456AFB3F4BF30" ma:contentTypeVersion="14" ma:contentTypeDescription="Create a new document." ma:contentTypeScope="" ma:versionID="971d982661a3229b4f5b06bad9bd83ce">
  <xsd:schema xmlns:xsd="http://www.w3.org/2001/XMLSchema" xmlns:xs="http://www.w3.org/2001/XMLSchema" xmlns:p="http://schemas.microsoft.com/office/2006/metadata/properties" xmlns:ns2="afeaba0f-363c-487a-9eab-504fb0ae0068" xmlns:ns3="3cf54786-5cbe-4eed-9d82-be7bae57988e" targetNamespace="http://schemas.microsoft.com/office/2006/metadata/properties" ma:root="true" ma:fieldsID="76061db5591fa8807d06033b64eab8eb" ns2:_="" ns3:_="">
    <xsd:import namespace="afeaba0f-363c-487a-9eab-504fb0ae0068"/>
    <xsd:import namespace="3cf54786-5cbe-4eed-9d82-be7bae57988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eaba0f-363c-487a-9eab-504fb0ae00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cf54786-5cbe-4eed-9d82-be7bae57988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22560828-92f4-433d-b2dd-f0bd0e5db71c}" ma:internalName="TaxCatchAll" ma:showField="CatchAllData" ma:web="3cf54786-5cbe-4eed-9d82-be7bae5798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3D3EDA-020C-47D0-8938-D32235B622D3}">
  <ds:schemaRefs>
    <ds:schemaRef ds:uri="http://www.w3.org/XML/1998/namespace"/>
    <ds:schemaRef ds:uri="http://schemas.microsoft.com/office/2006/metadata/properties"/>
    <ds:schemaRef ds:uri="http://schemas.microsoft.com/office/2006/documentManagement/types"/>
    <ds:schemaRef ds:uri="afeaba0f-363c-487a-9eab-504fb0ae0068"/>
    <ds:schemaRef ds:uri="http://purl.org/dc/dcmitype/"/>
    <ds:schemaRef ds:uri="http://schemas.microsoft.com/office/infopath/2007/PartnerControls"/>
    <ds:schemaRef ds:uri="http://purl.org/dc/terms/"/>
    <ds:schemaRef ds:uri="http://schemas.openxmlformats.org/package/2006/metadata/core-properties"/>
    <ds:schemaRef ds:uri="3cf54786-5cbe-4eed-9d82-be7bae57988e"/>
    <ds:schemaRef ds:uri="http://purl.org/dc/elements/1.1/"/>
  </ds:schemaRefs>
</ds:datastoreItem>
</file>

<file path=customXml/itemProps2.xml><?xml version="1.0" encoding="utf-8"?>
<ds:datastoreItem xmlns:ds="http://schemas.openxmlformats.org/officeDocument/2006/customXml" ds:itemID="{AA127D21-AC21-421E-97AF-5A63993A3A66}">
  <ds:schemaRefs>
    <ds:schemaRef ds:uri="http://schemas.microsoft.com/sharepoint/v3/contenttype/forms"/>
  </ds:schemaRefs>
</ds:datastoreItem>
</file>

<file path=customXml/itemProps3.xml><?xml version="1.0" encoding="utf-8"?>
<ds:datastoreItem xmlns:ds="http://schemas.openxmlformats.org/officeDocument/2006/customXml" ds:itemID="{4F942129-BBED-485C-A2C6-C3CD4708B4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eaba0f-363c-487a-9eab-504fb0ae0068"/>
    <ds:schemaRef ds:uri="3cf54786-5cbe-4eed-9d82-be7bae5798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Introduction</vt:lpstr>
      <vt:lpstr>Operating Inputs</vt:lpstr>
      <vt:lpstr>Capital Inputs</vt:lpstr>
      <vt:lpstr>RAS Talapia</vt:lpstr>
      <vt:lpstr>RAS Bass</vt:lpstr>
      <vt:lpstr>RAS Catfish</vt:lpstr>
      <vt:lpstr>RAS Shrimp</vt:lpstr>
      <vt:lpstr>Catfish Utilities</vt:lpstr>
      <vt:lpstr>Tilapia Utilities</vt:lpstr>
      <vt:lpstr>LMB Utilities</vt:lpstr>
      <vt:lpstr>Shrimp Utilities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Aquaculture Budgets</dc:title>
  <dc:creator>Horner, Joe L.</dc:creator>
  <cp:lastModifiedBy>Washburn, TaylorAnn</cp:lastModifiedBy>
  <cp:lastPrinted>2017-10-17T14:03:18Z</cp:lastPrinted>
  <dcterms:created xsi:type="dcterms:W3CDTF">1999-09-03T12:55:45Z</dcterms:created>
  <dcterms:modified xsi:type="dcterms:W3CDTF">2024-06-27T13:09:24Z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0x010100CE272BA2EC307A4F840456AFB3F4BF30</vt:lpwstr>
  </property>
  <property fmtid="{D5CDD505-2E9C-101B-9397-08002B2CF9AE}" pid="3" name="MediaServiceImageTags">
    <vt:lpwstr/>
  </property>
</Properties>
</file>