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Z:\extensiondata\Pro\Swine\Docs\"/>
    </mc:Choice>
  </mc:AlternateContent>
  <bookViews>
    <workbookView xWindow="0" yWindow="0" windowWidth="28770" windowHeight="10860" tabRatio="877"/>
  </bookViews>
  <sheets>
    <sheet name="Introduction" sheetId="7" r:id="rId1"/>
    <sheet name="Input" sheetId="2" r:id="rId2"/>
    <sheet name="Fields" sheetId="5" r:id="rId3"/>
    <sheet name="Manure Costs" sheetId="4" r:id="rId4"/>
    <sheet name="Machinery Costs" sheetId="3" r:id="rId5"/>
    <sheet name="Workspace" sheetId="6" state="hidden" r:id="rId6"/>
  </sheets>
  <definedNames>
    <definedName name="_Table1_In1" hidden="1">#REF!</definedName>
    <definedName name="_Table2_In1" hidden="1">#REF!</definedName>
    <definedName name="_Table2_In2" hidden="1">#REF!</definedName>
    <definedName name="A">Input!$C$2:$F$10</definedName>
    <definedName name="ACRES">Fields!$E$11</definedName>
    <definedName name="acres1">Input!$D$22</definedName>
    <definedName name="AppCost">Fields!$D$15</definedName>
    <definedName name="AppTime">Fields!$D$19</definedName>
    <definedName name="B">Input!$C$34:$D$39</definedName>
    <definedName name="C_">Input!$C$20:$F$27</definedName>
    <definedName name="copy">Fields!$D$11:$D$27</definedName>
    <definedName name="CostField">'Manure Costs'!$D$27</definedName>
    <definedName name="CostRoad">'Manure Costs'!$D$26</definedName>
    <definedName name="COSTS">'Machinery Costs'!$A$44</definedName>
    <definedName name="D">'Machinery Costs'!#REF!</definedName>
    <definedName name="data">'Manure Costs'!$D$24:$D$33</definedName>
    <definedName name="DIESEL1">Input!$D$36</definedName>
    <definedName name="DISTRIBUTE">'Manure Costs'!$A$25:$H$47</definedName>
    <definedName name="E">'Manure Costs'!$C$13:$F$33</definedName>
    <definedName name="ENTRY">Fields!#REF!</definedName>
    <definedName name="FLDSPEED1">Input!$D$25</definedName>
    <definedName name="HINT1">Input!#REF!</definedName>
    <definedName name="INPUT">Input!$B$2:$L$81</definedName>
    <definedName name="INSURANCE1">Input!$D$39</definedName>
    <definedName name="INTEREST1">Input!$D$38</definedName>
    <definedName name="LABOR1">Input!$D$37</definedName>
    <definedName name="LOADTIME">Input!$D$30</definedName>
    <definedName name="miles">Fields!$E$12</definedName>
    <definedName name="MILES1">Input!$D$23</definedName>
    <definedName name="_xlnm.Print_Area" localSheetId="2">Fields!$B$2:$X$32</definedName>
    <definedName name="_xlnm.Print_Area" localSheetId="1">Input!$B$2:$G$46</definedName>
    <definedName name="_xlnm.Print_Area" localSheetId="0">Introduction!$B$2:$D$21</definedName>
    <definedName name="_xlnm.Print_Area" localSheetId="4">'Machinery Costs'!$B$2:$J$64</definedName>
    <definedName name="_xlnm.Print_Area" localSheetId="3">'Manure Costs'!$B$2:$G$35</definedName>
    <definedName name="_xlnm.Print_Area" localSheetId="5">Workspace!$A$1:$J$36</definedName>
    <definedName name="_xlnm.Print_Area">Workspace!$A$1:$J$36</definedName>
    <definedName name="RateApply1">Input!$D$27</definedName>
    <definedName name="results">Fields!$E$15:$AQ$23</definedName>
    <definedName name="ROADSPEED1">Input!$D$24</definedName>
    <definedName name="SCAPACITY1">Input!$D$18</definedName>
    <definedName name="SPRICE1">Input!$D$15</definedName>
    <definedName name="STORAGE">Workspace!$A$1</definedName>
    <definedName name="SWIDTH1">Input!$D$26</definedName>
    <definedName name="SYEARS1">Input!$D$16</definedName>
    <definedName name="THOURS1">Input!$D$9</definedName>
    <definedName name="TimeApplication">'Manure Costs'!$D$32</definedName>
    <definedName name="TimeField">'Manure Costs'!$D$31</definedName>
    <definedName name="TimeFieldTravel">'Manure Costs'!$D$31</definedName>
    <definedName name="TimeLoad">'Manure Costs'!$D$29</definedName>
    <definedName name="TimeRoad">'Manure Costs'!$D$30</definedName>
    <definedName name="totalacre">Fields!$D$11</definedName>
    <definedName name="totalacre1">Input!$D$17</definedName>
    <definedName name="TOTALCOST">'Manure Costs'!$D$24</definedName>
    <definedName name="TOTALTIME">'Manure Costs'!$D$33</definedName>
    <definedName name="TotalTime1">'Machinery Costs'!$D$9</definedName>
    <definedName name="TOTALTONS1">Input!$D$31</definedName>
    <definedName name="TPRICE1">Input!$D$7</definedName>
    <definedName name="TPTO1">Input!$D$10</definedName>
    <definedName name="TYEARS1">Input!$D$8</definedName>
  </definedNames>
  <calcPr calcId="162913" concurrentCalc="0"/>
</workbook>
</file>

<file path=xl/calcChain.xml><?xml version="1.0" encoding="utf-8"?>
<calcChain xmlns="http://schemas.openxmlformats.org/spreadsheetml/2006/main">
  <c r="D28" i="2" l="1"/>
  <c r="D29" i="2"/>
  <c r="D32" i="2"/>
  <c r="D33" i="2"/>
  <c r="I7" i="5"/>
  <c r="I6" i="5"/>
  <c r="E8" i="5"/>
  <c r="D11" i="5"/>
  <c r="D30" i="3"/>
  <c r="I12" i="2"/>
  <c r="C13" i="5"/>
  <c r="F32" i="2"/>
  <c r="F13" i="4"/>
  <c r="C30" i="5"/>
  <c r="F27" i="2"/>
  <c r="E8" i="4"/>
  <c r="F31" i="2"/>
  <c r="E7" i="4"/>
  <c r="F18" i="2"/>
  <c r="D19" i="5"/>
  <c r="D8" i="3"/>
  <c r="D9" i="3"/>
  <c r="D15" i="5"/>
  <c r="D30" i="5"/>
  <c r="G25" i="5"/>
  <c r="G26" i="5"/>
  <c r="I25" i="5"/>
  <c r="I26" i="5"/>
  <c r="K25" i="5"/>
  <c r="K26" i="5"/>
  <c r="M25" i="5"/>
  <c r="M26" i="5"/>
  <c r="O25" i="5"/>
  <c r="Q25" i="5"/>
  <c r="Q26" i="5"/>
  <c r="S25" i="5"/>
  <c r="S26" i="5"/>
  <c r="U25" i="5"/>
  <c r="U26" i="5"/>
  <c r="W25" i="5"/>
  <c r="Y25" i="5"/>
  <c r="Y26" i="5"/>
  <c r="AA25" i="5"/>
  <c r="AA26" i="5"/>
  <c r="AC25" i="5"/>
  <c r="AC26" i="5"/>
  <c r="AE25" i="5"/>
  <c r="E25" i="5"/>
  <c r="E26" i="5"/>
  <c r="AG25" i="5"/>
  <c r="AG26" i="5"/>
  <c r="AI25" i="5"/>
  <c r="AI26" i="5"/>
  <c r="AK25" i="5"/>
  <c r="AM25" i="5"/>
  <c r="AM26" i="5"/>
  <c r="AO25" i="5"/>
  <c r="AO26" i="5"/>
  <c r="AQ25" i="5"/>
  <c r="AQ26" i="5"/>
  <c r="E34" i="6"/>
  <c r="C27" i="6"/>
  <c r="D33" i="3"/>
  <c r="D34" i="3"/>
  <c r="D30" i="4"/>
  <c r="E30" i="4"/>
  <c r="F30" i="4"/>
  <c r="D29" i="4"/>
  <c r="D19" i="3"/>
  <c r="D54" i="3"/>
  <c r="D20" i="3"/>
  <c r="D55" i="3"/>
  <c r="D31" i="3"/>
  <c r="D32" i="4"/>
  <c r="E32" i="4"/>
  <c r="F32" i="4"/>
  <c r="C18" i="6"/>
  <c r="C19" i="6"/>
  <c r="C17" i="6"/>
  <c r="C21" i="6"/>
  <c r="AQ27" i="5"/>
  <c r="AO27" i="5"/>
  <c r="AM27" i="5"/>
  <c r="AK27" i="5"/>
  <c r="AI27" i="5"/>
  <c r="AG27" i="5"/>
  <c r="AE27" i="5"/>
  <c r="AC27" i="5"/>
  <c r="AA27" i="5"/>
  <c r="Y27" i="5"/>
  <c r="W27" i="5"/>
  <c r="U27" i="5"/>
  <c r="S27" i="5"/>
  <c r="Q27" i="5"/>
  <c r="O27" i="5"/>
  <c r="E27" i="5"/>
  <c r="G27" i="5"/>
  <c r="I27" i="5"/>
  <c r="K27" i="5"/>
  <c r="M27" i="5"/>
  <c r="O26" i="5"/>
  <c r="W26" i="5"/>
  <c r="AE26" i="5"/>
  <c r="AK26" i="5"/>
  <c r="D23" i="5"/>
  <c r="D22" i="5"/>
  <c r="D21" i="5"/>
  <c r="D20" i="5"/>
  <c r="D17" i="5"/>
  <c r="D16" i="5"/>
  <c r="D29" i="3"/>
  <c r="D6" i="3"/>
  <c r="D7" i="3"/>
  <c r="D10" i="3"/>
  <c r="E29" i="4"/>
  <c r="F29" i="4"/>
  <c r="D9" i="4"/>
  <c r="D8" i="4"/>
  <c r="D7" i="4"/>
  <c r="K6" i="5"/>
  <c r="K7" i="5"/>
  <c r="C22" i="6"/>
  <c r="D25" i="5"/>
  <c r="E35" i="6"/>
  <c r="D26" i="5"/>
  <c r="D27" i="5"/>
  <c r="D29" i="5"/>
  <c r="C20" i="6"/>
  <c r="C25" i="6"/>
  <c r="C24" i="6"/>
  <c r="C23" i="6"/>
  <c r="D36" i="3"/>
  <c r="D39" i="3"/>
  <c r="D14" i="4"/>
  <c r="D35" i="3"/>
  <c r="D37" i="3"/>
  <c r="D42" i="3"/>
  <c r="D44" i="3"/>
  <c r="D31" i="4"/>
  <c r="D33" i="4"/>
  <c r="D43" i="2"/>
  <c r="C15" i="6"/>
  <c r="D15" i="6"/>
  <c r="D12" i="3"/>
  <c r="C34" i="6"/>
  <c r="D18" i="3"/>
  <c r="D21" i="3"/>
  <c r="B15" i="6"/>
  <c r="D27" i="3"/>
  <c r="G44" i="3"/>
  <c r="E14" i="4"/>
  <c r="F14" i="4"/>
  <c r="D20" i="4"/>
  <c r="E31" i="4"/>
  <c r="F31" i="4"/>
  <c r="F33" i="4"/>
  <c r="D16" i="4"/>
  <c r="D15" i="4"/>
  <c r="G42" i="3"/>
  <c r="D56" i="3"/>
  <c r="G36" i="3"/>
  <c r="G34" i="3"/>
  <c r="G35" i="3"/>
  <c r="G33" i="3"/>
  <c r="G37" i="3"/>
  <c r="D53" i="3"/>
  <c r="D13" i="3"/>
  <c r="D15" i="3"/>
  <c r="D14" i="3"/>
  <c r="E20" i="4"/>
  <c r="F20" i="4"/>
  <c r="E33" i="4"/>
  <c r="D16" i="3"/>
  <c r="D51" i="3"/>
  <c r="D48" i="3"/>
  <c r="D49" i="3"/>
  <c r="E15" i="4"/>
  <c r="F15" i="4"/>
  <c r="D17" i="4"/>
  <c r="E17" i="4"/>
  <c r="F17" i="4"/>
  <c r="E16" i="4"/>
  <c r="D50" i="3"/>
  <c r="D21" i="4"/>
  <c r="E21" i="4"/>
  <c r="D22" i="4"/>
  <c r="D23" i="3"/>
  <c r="D58" i="3"/>
  <c r="F16" i="4"/>
  <c r="D61" i="3"/>
  <c r="D62" i="3"/>
  <c r="F21" i="4"/>
  <c r="D23" i="4"/>
  <c r="E22" i="4"/>
  <c r="D26" i="4"/>
  <c r="D60" i="3"/>
  <c r="F22" i="4"/>
  <c r="F26" i="4"/>
  <c r="E26" i="4"/>
  <c r="D24" i="4"/>
  <c r="E23" i="4"/>
  <c r="F23" i="4"/>
  <c r="E24" i="4"/>
  <c r="D27" i="4"/>
  <c r="D44" i="2"/>
  <c r="E27" i="4"/>
  <c r="F24" i="4"/>
  <c r="F27" i="4"/>
</calcChain>
</file>

<file path=xl/comments1.xml><?xml version="1.0" encoding="utf-8"?>
<comments xmlns="http://schemas.openxmlformats.org/spreadsheetml/2006/main">
  <authors>
    <author>Ray Massey</author>
  </authors>
  <commentList>
    <comment ref="E8" authorId="0" shapeId="0">
      <text>
        <r>
          <rPr>
            <b/>
            <sz val="8"/>
            <color indexed="81"/>
            <rFont val="Tahoma"/>
            <family val="2"/>
          </rPr>
          <t>Ray Massey:</t>
        </r>
        <r>
          <rPr>
            <sz val="8"/>
            <color indexed="81"/>
            <rFont val="Tahoma"/>
            <family val="2"/>
          </rPr>
          <t xml:space="preserve">
If you have too many fields, enter 0 in the last fields of row 11 until the message goes away.  If you have too much manure, add more fields until the message goes away.</t>
        </r>
      </text>
    </comment>
  </commentList>
</comments>
</file>

<file path=xl/sharedStrings.xml><?xml version="1.0" encoding="utf-8"?>
<sst xmlns="http://schemas.openxmlformats.org/spreadsheetml/2006/main" count="246" uniqueCount="153">
  <si>
    <t>Manure Distribution Cost Analyzer</t>
  </si>
  <si>
    <t>Tractor</t>
  </si>
  <si>
    <t>Spreader</t>
  </si>
  <si>
    <t>/hour</t>
  </si>
  <si>
    <t>years</t>
  </si>
  <si>
    <t>acres</t>
  </si>
  <si>
    <t>hours</t>
  </si>
  <si>
    <t>miles</t>
  </si>
  <si>
    <t>miles/hour</t>
  </si>
  <si>
    <t>feet</t>
  </si>
  <si>
    <t>minutes/load</t>
  </si>
  <si>
    <t>/acre</t>
  </si>
  <si>
    <t xml:space="preserve"> Total Ownership Costs</t>
  </si>
  <si>
    <t xml:space="preserve"> Total Operating Costs</t>
  </si>
  <si>
    <t>Total</t>
  </si>
  <si>
    <t>Per Acre</t>
  </si>
  <si>
    <t xml:space="preserve"> Operating Costs</t>
  </si>
  <si>
    <t xml:space="preserve"> Spreader</t>
  </si>
  <si>
    <t xml:space="preserve"> Acres Covered</t>
  </si>
  <si>
    <t xml:space="preserve"> Tractor in Field</t>
  </si>
  <si>
    <t xml:space="preserve"> Tractor on Road</t>
  </si>
  <si>
    <t xml:space="preserve"> Ownership Costs</t>
  </si>
  <si>
    <t xml:space="preserve"> Total Cost</t>
  </si>
  <si>
    <t xml:space="preserve"> Road Costs</t>
  </si>
  <si>
    <t xml:space="preserve"> Field Costs</t>
  </si>
  <si>
    <t>Loading Time (hours)</t>
  </si>
  <si>
    <t xml:space="preserve"> Road Travel Time (hours)</t>
  </si>
  <si>
    <t xml:space="preserve"> Field Travel Time (hours)</t>
  </si>
  <si>
    <t xml:space="preserve"> Field Application Time (hours)</t>
  </si>
  <si>
    <t xml:space="preserve"> Total Hours Application Time</t>
  </si>
  <si>
    <t>Engineering Factors</t>
  </si>
  <si>
    <t>Default</t>
  </si>
  <si>
    <t>Depreciation Factors (source: 1991 ASAE Standards)</t>
  </si>
  <si>
    <t>DF1</t>
  </si>
  <si>
    <t>DF2</t>
  </si>
  <si>
    <t>Repair Coefficients (used grain cart coefficients for spreader)</t>
  </si>
  <si>
    <t>RF1</t>
  </si>
  <si>
    <t>RF2</t>
  </si>
  <si>
    <t>Engine Loading</t>
  </si>
  <si>
    <t>Tractor Salvage Value Table</t>
  </si>
  <si>
    <t>&lt;80 hp</t>
  </si>
  <si>
    <t>80-149 hp</t>
  </si>
  <si>
    <t>&gt;150 hp</t>
  </si>
  <si>
    <t>FieldLength</t>
  </si>
  <si>
    <t>Field Width</t>
  </si>
  <si>
    <t>Load Length (R)</t>
  </si>
  <si>
    <t>NumberLengths (m)</t>
  </si>
  <si>
    <t>Loads per tier (n)</t>
  </si>
  <si>
    <t>Acresperlength</t>
  </si>
  <si>
    <t>n'</t>
  </si>
  <si>
    <t>w'</t>
  </si>
  <si>
    <t>R'</t>
  </si>
  <si>
    <t>Field Efficiency</t>
  </si>
  <si>
    <t xml:space="preserve"> Acres per Hour</t>
  </si>
  <si>
    <t xml:space="preserve"> Add'l Acres Needing Commercial Fertilizer</t>
  </si>
  <si>
    <t xml:space="preserve"> Add'l Acres Needed to Use All Manure</t>
  </si>
  <si>
    <t xml:space="preserve"> Age at Trade</t>
  </si>
  <si>
    <t>Commercial Agriculture Program</t>
  </si>
  <si>
    <t>Hours Required</t>
  </si>
  <si>
    <t>Total Cost</t>
  </si>
  <si>
    <t>Loads per field</t>
  </si>
  <si>
    <t>200 hp tractor</t>
  </si>
  <si>
    <t>acres/hour</t>
  </si>
  <si>
    <t>Tractor and Spreader</t>
  </si>
  <si>
    <t xml:space="preserve">Developed by </t>
  </si>
  <si>
    <t>Raymond E. Massey, Crops Economist</t>
  </si>
  <si>
    <t>University of Missouri</t>
  </si>
  <si>
    <t>Department of Agricultural Economics</t>
  </si>
  <si>
    <t>The Manure Distribution Cost Analyzer is intended to be used by livestock producers to estimate the cost of distributing manure on land.  It allows the user to enter farm specific information such as the equipment being used, the distance to land receiving the manure, and market prices.  The program then computes the cost and time required to distribute manure on the land.</t>
  </si>
  <si>
    <t>The Manure Distribution Cost Analyzer does not take into account any costs of manure storage and handling prior to land application.  It assumes that regardless of how you apply the manure you have to store it and eventually load it on a spreader for land application.  The relevant question is how much time and money does it take me to load the spreader, drive to the field, and spread the manure.</t>
  </si>
  <si>
    <t>Start by going to the sheet titled "Input." Enter the appropriate numbers in the tan shaded cells. The critical results of time required and total dollars are shown on this page.  This page only does a single field at a time.  You must estimate how many acres the spreader is used for a year (not just the field you are considering).</t>
  </si>
  <si>
    <t>This worksheet is for educational purposes only.  Its use is not supported by the University of Missouri and the user assumes all risks associated with its use.</t>
  </si>
  <si>
    <t>percent/year</t>
  </si>
  <si>
    <t>dollars/gallon</t>
  </si>
  <si>
    <t>dollars/hour</t>
  </si>
  <si>
    <t>Equipment:</t>
  </si>
  <si>
    <t>Manure handling system</t>
  </si>
  <si>
    <t>Liquid</t>
  </si>
  <si>
    <t>Dry</t>
  </si>
  <si>
    <t>Annual tractor use other than manure application</t>
  </si>
  <si>
    <t>List price</t>
  </si>
  <si>
    <t>Years to replace</t>
  </si>
  <si>
    <t>Annual spreader use</t>
  </si>
  <si>
    <t>Description of Livestock and Farming Situation:</t>
  </si>
  <si>
    <t>Acres in the field</t>
  </si>
  <si>
    <t>Distance to field</t>
  </si>
  <si>
    <t>Road speed</t>
  </si>
  <si>
    <t>Field speed</t>
  </si>
  <si>
    <t>Spreader capacity</t>
  </si>
  <si>
    <t>Swath width</t>
  </si>
  <si>
    <t>Manure application rate</t>
  </si>
  <si>
    <t>Loading time per load</t>
  </si>
  <si>
    <t>Prices:</t>
  </si>
  <si>
    <t>Results:</t>
  </si>
  <si>
    <t>Fuel</t>
  </si>
  <si>
    <t>Labor</t>
  </si>
  <si>
    <t xml:space="preserve">Interest </t>
  </si>
  <si>
    <t xml:space="preserve">Insurance </t>
  </si>
  <si>
    <t>6,000 gallon tank</t>
  </si>
  <si>
    <t>Acres in field</t>
  </si>
  <si>
    <t>Cropping system</t>
  </si>
  <si>
    <t>Field number</t>
  </si>
  <si>
    <t>Total application time (hours)</t>
  </si>
  <si>
    <t>Total cost</t>
  </si>
  <si>
    <t>Road costs</t>
  </si>
  <si>
    <t>Field costs</t>
  </si>
  <si>
    <t>Loading time (hours)</t>
  </si>
  <si>
    <t>Road travel time (hours)</t>
  </si>
  <si>
    <t>Field travel time (hours)</t>
  </si>
  <si>
    <t>Field application time (hours)</t>
  </si>
  <si>
    <t>Total loaded miles</t>
  </si>
  <si>
    <t>Total road miles</t>
  </si>
  <si>
    <t>Distance to field (miles)</t>
  </si>
  <si>
    <t>Annual use other than manure application</t>
  </si>
  <si>
    <t>Annual use with manure application</t>
  </si>
  <si>
    <t>PTO HP</t>
  </si>
  <si>
    <t>Salvage value</t>
  </si>
  <si>
    <t>Depreciation</t>
  </si>
  <si>
    <t>Interest</t>
  </si>
  <si>
    <t>Insurance</t>
  </si>
  <si>
    <t>Total ownership costs</t>
  </si>
  <si>
    <t>Repair</t>
  </si>
  <si>
    <t>Total operating costs</t>
  </si>
  <si>
    <t>Total Costs</t>
  </si>
  <si>
    <t xml:space="preserve">Annual use </t>
  </si>
  <si>
    <t>Acres per hour</t>
  </si>
  <si>
    <t>Fixed cost as a percent of total costs</t>
  </si>
  <si>
    <t>Fuel cost as a percent of total costs</t>
  </si>
  <si>
    <t>Labor cost as a percent of total costs</t>
  </si>
  <si>
    <t>Cost of manure distribution calculations:</t>
  </si>
  <si>
    <t>Cost of transporting and distributing manure</t>
  </si>
  <si>
    <t>Average distance hauled (miles)</t>
  </si>
  <si>
    <t>Costs:</t>
  </si>
  <si>
    <t>Description of operation:</t>
  </si>
  <si>
    <t>To determine the cost of spreading on all fields in a particular year click on the sheet titled "Fields."  Enter the appropriate information for all of the fields that will receive manure during the year and click on the button labeled "Compute."  The program will enter all of the information into the appropriate locations and give information for each field and for the total.  Note: you must enable your macros to run this spreadsheet.</t>
  </si>
  <si>
    <t>Discriptions and units</t>
  </si>
  <si>
    <t>PTO hp</t>
  </si>
  <si>
    <t>Tractor Size</t>
  </si>
  <si>
    <t>Corn Field 1</t>
  </si>
  <si>
    <t>SB Field 1</t>
  </si>
  <si>
    <t>Corn Field 2</t>
  </si>
  <si>
    <t>SB Field 2</t>
  </si>
  <si>
    <t>Total manure applied</t>
  </si>
  <si>
    <t>Total manure available</t>
  </si>
  <si>
    <t>Total manure spread given input above</t>
  </si>
  <si>
    <t>Total Manure Applied</t>
  </si>
  <si>
    <t>Application Rate</t>
  </si>
  <si>
    <t>Acres</t>
  </si>
  <si>
    <t xml:space="preserve">Breakdown of Ownership and Operating Costs </t>
  </si>
  <si>
    <t>Corn Field 3</t>
  </si>
  <si>
    <t>Updated: 8/2008</t>
  </si>
  <si>
    <t>Calculated manure discharge rate</t>
  </si>
  <si>
    <t>gallons/minute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</si>
</sst>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6" formatCode="&quot;$&quot;#,##0_);[Red]\(&quot;$&quot;#,##0\)"/>
    <numFmt numFmtId="7" formatCode="&quot;$&quot;#,##0.00_);\(&quot;$&quot;#,##0.00\)"/>
    <numFmt numFmtId="8" formatCode="&quot;$&quot;#,##0.00_);[Red]\(&quot;$&quot;#,##0.00\)"/>
    <numFmt numFmtId="43" formatCode="_(* #,##0.00_);_(* \(#,##0.00\);_(* &quot;-&quot;??_);_(@_)"/>
    <numFmt numFmtId="164" formatCode="0_)"/>
    <numFmt numFmtId="165" formatCode="0.0_)"/>
    <numFmt numFmtId="166" formatCode="0.00_)"/>
    <numFmt numFmtId="167" formatCode="0.0"/>
    <numFmt numFmtId="168" formatCode="_(* #,##0_);_(* \(#,##0\);_(* &quot;-&quot;??_);_(@_)"/>
    <numFmt numFmtId="169" formatCode="&quot;$&quot;#,##0"/>
    <numFmt numFmtId="170" formatCode="&quot;$&quot;#,##0.00"/>
    <numFmt numFmtId="171" formatCode="#,##0.0"/>
  </numFmts>
  <fonts count="30" x14ac:knownFonts="1">
    <font>
      <sz val="10"/>
      <name val="Arial"/>
    </font>
    <font>
      <sz val="10"/>
      <name val="Arial"/>
      <family val="2"/>
    </font>
    <font>
      <sz val="10"/>
      <color indexed="8"/>
      <name val="Arial"/>
      <family val="2"/>
    </font>
    <font>
      <b/>
      <sz val="14"/>
      <color indexed="9"/>
      <name val="Times New Roman"/>
      <family val="1"/>
    </font>
    <font>
      <sz val="12"/>
      <color indexed="8"/>
      <name val="Times New Roman"/>
      <family val="1"/>
    </font>
    <font>
      <sz val="11"/>
      <color indexed="8"/>
      <name val="Arial"/>
      <family val="2"/>
    </font>
    <font>
      <sz val="10"/>
      <name val="Arial"/>
      <family val="2"/>
    </font>
    <font>
      <b/>
      <sz val="10"/>
      <name val="Arial"/>
      <family val="2"/>
    </font>
    <font>
      <sz val="14"/>
      <name val="Arial"/>
      <family val="2"/>
    </font>
    <font>
      <sz val="8"/>
      <name val="Arial"/>
      <family val="2"/>
    </font>
    <font>
      <sz val="9"/>
      <name val="Arial"/>
      <family val="2"/>
    </font>
    <font>
      <b/>
      <sz val="10"/>
      <color indexed="8"/>
      <name val="Arial"/>
      <family val="2"/>
    </font>
    <font>
      <sz val="1"/>
      <color indexed="8"/>
      <name val="Arial"/>
      <family val="2"/>
    </font>
    <font>
      <sz val="1"/>
      <name val="Arial"/>
      <family val="2"/>
    </font>
    <font>
      <b/>
      <sz val="1"/>
      <color indexed="8"/>
      <name val="Arial"/>
      <family val="2"/>
    </font>
    <font>
      <sz val="5"/>
      <name val="Arial"/>
      <family val="2"/>
    </font>
    <font>
      <sz val="5"/>
      <color indexed="8"/>
      <name val="Arial"/>
      <family val="2"/>
    </font>
    <font>
      <b/>
      <sz val="1"/>
      <name val="Arial"/>
      <family val="2"/>
    </font>
    <font>
      <sz val="8"/>
      <color indexed="81"/>
      <name val="Tahoma"/>
      <family val="2"/>
    </font>
    <font>
      <b/>
      <sz val="8"/>
      <color indexed="81"/>
      <name val="Tahoma"/>
      <family val="2"/>
    </font>
    <font>
      <sz val="10"/>
      <color theme="3" tint="-0.499984740745262"/>
      <name val="Arial"/>
      <family val="2"/>
    </font>
    <font>
      <sz val="10"/>
      <color theme="0"/>
      <name val="Arial"/>
      <family val="2"/>
    </font>
    <font>
      <sz val="5"/>
      <color theme="0"/>
      <name val="Arial"/>
      <family val="2"/>
    </font>
    <font>
      <b/>
      <sz val="10"/>
      <color theme="0"/>
      <name val="Arial"/>
      <family val="2"/>
    </font>
    <font>
      <b/>
      <sz val="1"/>
      <color theme="0"/>
      <name val="Arial"/>
      <family val="2"/>
    </font>
    <font>
      <sz val="5"/>
      <color theme="3" tint="-0.499984740745262"/>
      <name val="Arial"/>
      <family val="2"/>
    </font>
    <font>
      <b/>
      <sz val="16"/>
      <color theme="0"/>
      <name val="Arial"/>
      <family val="2"/>
    </font>
    <font>
      <b/>
      <sz val="14"/>
      <color theme="0"/>
      <name val="Arial"/>
      <family val="2"/>
    </font>
    <font>
      <sz val="16"/>
      <color theme="0"/>
      <name val="Arial"/>
      <family val="2"/>
    </font>
    <font>
      <sz val="12"/>
      <color theme="0"/>
      <name val="Arial"/>
      <family val="2"/>
    </font>
  </fonts>
  <fills count="15">
    <fill>
      <patternFill patternType="none"/>
    </fill>
    <fill>
      <patternFill patternType="gray125"/>
    </fill>
    <fill>
      <patternFill patternType="solid">
        <fgColor indexed="9"/>
        <bgColor indexed="9"/>
      </patternFill>
    </fill>
    <fill>
      <patternFill patternType="solid">
        <fgColor indexed="18"/>
        <bgColor indexed="18"/>
      </patternFill>
    </fill>
    <fill>
      <patternFill patternType="solid">
        <fgColor indexed="43"/>
        <bgColor indexed="43"/>
      </patternFill>
    </fill>
    <fill>
      <patternFill patternType="solid">
        <fgColor theme="0"/>
        <bgColor indexed="64"/>
      </patternFill>
    </fill>
    <fill>
      <patternFill patternType="solid">
        <fgColor theme="2" tint="-9.9978637043366805E-2"/>
        <bgColor indexed="64"/>
      </patternFill>
    </fill>
    <fill>
      <patternFill patternType="solid">
        <fgColor theme="0"/>
        <bgColor indexed="22"/>
      </patternFill>
    </fill>
    <fill>
      <patternFill patternType="solid">
        <fgColor theme="0"/>
        <bgColor indexed="9"/>
      </patternFill>
    </fill>
    <fill>
      <patternFill patternType="solid">
        <fgColor theme="2" tint="-9.9978637043366805E-2"/>
        <bgColor indexed="43"/>
      </patternFill>
    </fill>
    <fill>
      <patternFill patternType="solid">
        <fgColor theme="0"/>
        <bgColor indexed="43"/>
      </patternFill>
    </fill>
    <fill>
      <patternFill patternType="solid">
        <fgColor theme="0"/>
        <bgColor indexed="15"/>
      </patternFill>
    </fill>
    <fill>
      <patternFill patternType="solid">
        <fgColor theme="4" tint="-0.499984740745262"/>
        <bgColor indexed="64"/>
      </patternFill>
    </fill>
    <fill>
      <patternFill patternType="solid">
        <fgColor theme="0"/>
        <bgColor indexed="18"/>
      </patternFill>
    </fill>
    <fill>
      <patternFill patternType="solid">
        <fgColor theme="2" tint="-9.9978637043366805E-2"/>
        <bgColor indexed="9"/>
      </patternFill>
    </fill>
  </fills>
  <borders count="21">
    <border>
      <left/>
      <right/>
      <top/>
      <bottom/>
      <diagonal/>
    </border>
    <border>
      <left style="thin">
        <color indexed="8"/>
      </left>
      <right/>
      <top/>
      <bottom/>
      <diagonal/>
    </border>
    <border>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style="thin">
        <color theme="2" tint="-0.499984740745262"/>
      </top>
      <bottom/>
      <diagonal/>
    </border>
    <border>
      <left/>
      <right/>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style="thin">
        <color theme="2" tint="-0.499984740745262"/>
      </top>
      <bottom style="thin">
        <color indexed="64"/>
      </bottom>
      <diagonal/>
    </border>
    <border>
      <left style="thin">
        <color theme="2" tint="-0.499984740745262"/>
      </left>
      <right/>
      <top style="thin">
        <color theme="2" tint="-0.499984740745262"/>
      </top>
      <bottom style="thin">
        <color theme="2" tint="-0.499984740745262"/>
      </bottom>
      <diagonal/>
    </border>
    <border>
      <left/>
      <right style="thin">
        <color theme="2" tint="-0.499984740745262"/>
      </right>
      <top/>
      <bottom/>
      <diagonal/>
    </border>
    <border>
      <left style="thin">
        <color theme="2" tint="-0.499984740745262"/>
      </left>
      <right/>
      <top/>
      <bottom style="thin">
        <color theme="2" tint="-0.499984740745262"/>
      </bottom>
      <diagonal/>
    </border>
    <border>
      <left/>
      <right style="thin">
        <color theme="2" tint="-0.499984740745262"/>
      </right>
      <top/>
      <bottom style="thin">
        <color theme="2" tint="-0.499984740745262"/>
      </bottom>
      <diagonal/>
    </border>
  </borders>
  <cellStyleXfs count="5">
    <xf numFmtId="0" fontId="0" fillId="0" borderId="0"/>
    <xf numFmtId="43" fontId="1" fillId="0" borderId="0" applyFont="0" applyFill="0" applyBorder="0" applyAlignment="0" applyProtection="0"/>
    <xf numFmtId="0" fontId="6" fillId="0" borderId="0"/>
    <xf numFmtId="0" fontId="6" fillId="0" borderId="0"/>
    <xf numFmtId="9" fontId="1" fillId="0" borderId="0" applyFont="0" applyFill="0" applyBorder="0" applyAlignment="0" applyProtection="0"/>
  </cellStyleXfs>
  <cellXfs count="196">
    <xf numFmtId="0" fontId="0" fillId="0" borderId="0" xfId="0"/>
    <xf numFmtId="0" fontId="4" fillId="2" borderId="1" xfId="0" applyFont="1" applyFill="1" applyBorder="1" applyAlignment="1" applyProtection="1">
      <alignment horizontal="left"/>
    </xf>
    <xf numFmtId="0" fontId="4" fillId="2" borderId="0" xfId="0" applyFont="1" applyFill="1" applyAlignment="1" applyProtection="1">
      <alignment horizontal="right"/>
    </xf>
    <xf numFmtId="0" fontId="4" fillId="2" borderId="2" xfId="0" applyFont="1" applyFill="1" applyBorder="1" applyAlignment="1" applyProtection="1">
      <alignment horizontal="right"/>
    </xf>
    <xf numFmtId="0" fontId="3" fillId="3" borderId="3" xfId="0" applyFont="1" applyFill="1" applyBorder="1" applyAlignment="1" applyProtection="1">
      <alignment horizontal="centerContinuous"/>
    </xf>
    <xf numFmtId="0" fontId="3" fillId="3" borderId="4" xfId="0" applyFont="1" applyFill="1" applyBorder="1" applyAlignment="1" applyProtection="1">
      <alignment horizontal="centerContinuous"/>
    </xf>
    <xf numFmtId="0" fontId="3" fillId="3" borderId="5" xfId="0" applyFont="1" applyFill="1" applyBorder="1" applyAlignment="1" applyProtection="1">
      <alignment horizontal="centerContinuous"/>
    </xf>
    <xf numFmtId="0" fontId="5" fillId="2" borderId="1" xfId="0" applyFont="1" applyFill="1" applyBorder="1" applyAlignment="1" applyProtection="1">
      <alignment horizontal="left"/>
    </xf>
    <xf numFmtId="0" fontId="5" fillId="2" borderId="2" xfId="0" applyFont="1" applyFill="1" applyBorder="1" applyAlignment="1" applyProtection="1">
      <alignment horizontal="left"/>
    </xf>
    <xf numFmtId="0" fontId="5" fillId="2" borderId="0" xfId="0" applyFont="1" applyFill="1" applyAlignment="1" applyProtection="1">
      <alignment horizontal="left"/>
    </xf>
    <xf numFmtId="0" fontId="2" fillId="0" borderId="0" xfId="0" applyFont="1" applyProtection="1"/>
    <xf numFmtId="0" fontId="5" fillId="2" borderId="0" xfId="0" applyFont="1" applyFill="1" applyProtection="1"/>
    <xf numFmtId="0" fontId="6" fillId="0" borderId="0" xfId="0" applyFont="1" applyProtection="1"/>
    <xf numFmtId="0" fontId="4" fillId="4" borderId="0" xfId="0" applyFont="1" applyFill="1" applyAlignment="1" applyProtection="1">
      <alignment horizontal="right"/>
      <protection locked="0"/>
    </xf>
    <xf numFmtId="0" fontId="4" fillId="4" borderId="2" xfId="0" applyFont="1" applyFill="1" applyBorder="1" applyAlignment="1" applyProtection="1">
      <alignment horizontal="right"/>
      <protection locked="0"/>
    </xf>
    <xf numFmtId="0" fontId="4" fillId="4" borderId="0" xfId="0" applyFont="1" applyFill="1" applyAlignment="1" applyProtection="1">
      <alignment horizontal="right"/>
    </xf>
    <xf numFmtId="5" fontId="4" fillId="4" borderId="6" xfId="0" applyNumberFormat="1" applyFont="1" applyFill="1" applyBorder="1" applyAlignment="1" applyProtection="1">
      <alignment horizontal="right"/>
      <protection locked="0"/>
    </xf>
    <xf numFmtId="5" fontId="4" fillId="4" borderId="6" xfId="0" applyNumberFormat="1" applyFont="1" applyFill="1" applyBorder="1" applyAlignment="1" applyProtection="1">
      <alignment horizontal="right"/>
    </xf>
    <xf numFmtId="5" fontId="4" fillId="4" borderId="7" xfId="0" applyNumberFormat="1" applyFont="1" applyFill="1" applyBorder="1" applyAlignment="1" applyProtection="1">
      <alignment horizontal="right"/>
    </xf>
    <xf numFmtId="166" fontId="5" fillId="2" borderId="0" xfId="0" applyNumberFormat="1" applyFont="1" applyFill="1" applyProtection="1"/>
    <xf numFmtId="39" fontId="5" fillId="2" borderId="0" xfId="0" applyNumberFormat="1" applyFont="1" applyFill="1" applyProtection="1"/>
    <xf numFmtId="0" fontId="5" fillId="0" borderId="0" xfId="0" applyFont="1" applyProtection="1"/>
    <xf numFmtId="0" fontId="0" fillId="5" borderId="0" xfId="0" applyFill="1"/>
    <xf numFmtId="0" fontId="9" fillId="5" borderId="0" xfId="0" applyFont="1" applyFill="1" applyAlignment="1">
      <alignment horizontal="right"/>
    </xf>
    <xf numFmtId="0" fontId="10" fillId="5" borderId="0" xfId="0" applyFont="1" applyFill="1" applyAlignment="1">
      <alignment horizontal="right"/>
    </xf>
    <xf numFmtId="0" fontId="7" fillId="5" borderId="0" xfId="0" quotePrefix="1" applyFont="1" applyFill="1" applyAlignment="1">
      <alignment horizontal="left" indent="4"/>
    </xf>
    <xf numFmtId="0" fontId="7" fillId="5" borderId="0" xfId="0" quotePrefix="1" applyFont="1" applyFill="1" applyAlignment="1">
      <alignment horizontal="left" indent="8"/>
    </xf>
    <xf numFmtId="0" fontId="7" fillId="5" borderId="0" xfId="0" quotePrefix="1" applyFont="1" applyFill="1" applyAlignment="1">
      <alignment horizontal="left" indent="10"/>
    </xf>
    <xf numFmtId="0" fontId="7" fillId="5" borderId="0" xfId="0" applyFont="1" applyFill="1" applyAlignment="1">
      <alignment horizontal="left" indent="5"/>
    </xf>
    <xf numFmtId="0" fontId="6" fillId="5" borderId="0" xfId="0" applyFont="1" applyFill="1"/>
    <xf numFmtId="0" fontId="6" fillId="5" borderId="0" xfId="0" quotePrefix="1" applyFont="1" applyFill="1" applyAlignment="1">
      <alignment horizontal="left" wrapText="1"/>
    </xf>
    <xf numFmtId="0" fontId="15" fillId="5" borderId="0" xfId="0" applyFont="1" applyFill="1"/>
    <xf numFmtId="0" fontId="20" fillId="6" borderId="11" xfId="2" applyFont="1" applyFill="1" applyBorder="1" applyAlignment="1" applyProtection="1">
      <alignment horizontal="center" vertical="top" wrapText="1"/>
      <protection locked="0"/>
    </xf>
    <xf numFmtId="0" fontId="6" fillId="5" borderId="0" xfId="0" applyFont="1" applyFill="1" applyBorder="1"/>
    <xf numFmtId="0" fontId="2" fillId="7" borderId="0" xfId="0" applyFont="1" applyFill="1" applyBorder="1" applyProtection="1"/>
    <xf numFmtId="0" fontId="2" fillId="5" borderId="0" xfId="0" applyFont="1" applyFill="1" applyBorder="1" applyProtection="1"/>
    <xf numFmtId="0" fontId="2" fillId="8" borderId="0" xfId="0" applyFont="1" applyFill="1" applyBorder="1" applyProtection="1"/>
    <xf numFmtId="3" fontId="6" fillId="5" borderId="0" xfId="0" applyNumberFormat="1" applyFont="1" applyFill="1" applyBorder="1"/>
    <xf numFmtId="1" fontId="6" fillId="5" borderId="0" xfId="0" applyNumberFormat="1" applyFont="1" applyFill="1" applyBorder="1"/>
    <xf numFmtId="0" fontId="2" fillId="5" borderId="0" xfId="0" applyFont="1" applyFill="1" applyBorder="1" applyAlignment="1" applyProtection="1">
      <alignment horizontal="right"/>
    </xf>
    <xf numFmtId="167" fontId="2" fillId="5" borderId="0" xfId="0" applyNumberFormat="1" applyFont="1" applyFill="1" applyBorder="1" applyProtection="1"/>
    <xf numFmtId="0" fontId="2" fillId="8" borderId="0" xfId="0" applyFont="1" applyFill="1" applyBorder="1" applyAlignment="1" applyProtection="1">
      <alignment horizontal="left"/>
    </xf>
    <xf numFmtId="0" fontId="2" fillId="8" borderId="0" xfId="0" applyFont="1" applyFill="1" applyBorder="1" applyAlignment="1" applyProtection="1">
      <alignment horizontal="right"/>
    </xf>
    <xf numFmtId="0" fontId="21" fillId="5" borderId="0" xfId="0" applyFont="1" applyFill="1" applyBorder="1"/>
    <xf numFmtId="0" fontId="2" fillId="8" borderId="0" xfId="0" applyFont="1" applyFill="1" applyBorder="1" applyAlignment="1" applyProtection="1">
      <alignment horizontal="left" indent="1"/>
    </xf>
    <xf numFmtId="0" fontId="16" fillId="7" borderId="0" xfId="0" applyFont="1" applyFill="1" applyBorder="1" applyProtection="1"/>
    <xf numFmtId="0" fontId="16" fillId="8" borderId="0" xfId="0" applyFont="1" applyFill="1" applyBorder="1" applyProtection="1"/>
    <xf numFmtId="0" fontId="15" fillId="5" borderId="0" xfId="0" applyFont="1" applyFill="1" applyBorder="1"/>
    <xf numFmtId="0" fontId="22" fillId="5" borderId="0" xfId="0" applyFont="1" applyFill="1" applyBorder="1"/>
    <xf numFmtId="0" fontId="11" fillId="7" borderId="0" xfId="0" applyFont="1" applyFill="1" applyBorder="1" applyProtection="1"/>
    <xf numFmtId="0" fontId="7" fillId="5" borderId="0" xfId="0" applyFont="1" applyFill="1" applyBorder="1"/>
    <xf numFmtId="0" fontId="23" fillId="5" borderId="0" xfId="0" quotePrefix="1" applyFont="1" applyFill="1" applyBorder="1" applyAlignment="1">
      <alignment horizontal="center"/>
    </xf>
    <xf numFmtId="0" fontId="2" fillId="8" borderId="0" xfId="0" applyFont="1" applyFill="1" applyBorder="1" applyAlignment="1" applyProtection="1">
      <alignment horizontal="left" indent="2"/>
    </xf>
    <xf numFmtId="0" fontId="16" fillId="8" borderId="0" xfId="0" quotePrefix="1" applyFont="1" applyFill="1" applyBorder="1" applyAlignment="1" applyProtection="1">
      <alignment horizontal="left" indent="1"/>
    </xf>
    <xf numFmtId="0" fontId="2" fillId="5" borderId="12" xfId="0" applyFont="1" applyFill="1" applyBorder="1" applyAlignment="1" applyProtection="1">
      <alignment horizontal="right"/>
    </xf>
    <xf numFmtId="0" fontId="7" fillId="5" borderId="13" xfId="0" applyFont="1" applyFill="1" applyBorder="1" applyAlignment="1">
      <alignment horizontal="left"/>
    </xf>
    <xf numFmtId="0" fontId="23" fillId="5" borderId="13" xfId="0" quotePrefix="1" applyFont="1" applyFill="1" applyBorder="1" applyAlignment="1">
      <alignment horizontal="center"/>
    </xf>
    <xf numFmtId="0" fontId="11" fillId="8" borderId="13" xfId="0" quotePrefix="1" applyFont="1" applyFill="1" applyBorder="1" applyAlignment="1" applyProtection="1">
      <alignment horizontal="left"/>
    </xf>
    <xf numFmtId="0" fontId="7" fillId="5" borderId="13" xfId="0" applyFont="1" applyFill="1" applyBorder="1"/>
    <xf numFmtId="0" fontId="11" fillId="8" borderId="13" xfId="0" applyFont="1" applyFill="1" applyBorder="1" applyAlignment="1" applyProtection="1">
      <alignment horizontal="left"/>
    </xf>
    <xf numFmtId="0" fontId="2" fillId="8" borderId="13" xfId="0" applyFont="1" applyFill="1" applyBorder="1" applyAlignment="1" applyProtection="1">
      <alignment horizontal="right"/>
    </xf>
    <xf numFmtId="0" fontId="20" fillId="9" borderId="12" xfId="0" applyFont="1" applyFill="1" applyBorder="1" applyAlignment="1" applyProtection="1">
      <alignment horizontal="right" indent="1"/>
      <protection locked="0"/>
    </xf>
    <xf numFmtId="0" fontId="20" fillId="9" borderId="14" xfId="0" applyFont="1" applyFill="1" applyBorder="1" applyAlignment="1" applyProtection="1">
      <alignment horizontal="right" indent="1"/>
      <protection locked="0"/>
    </xf>
    <xf numFmtId="0" fontId="20" fillId="9" borderId="0" xfId="0" applyFont="1" applyFill="1" applyBorder="1" applyAlignment="1" applyProtection="1">
      <alignment horizontal="right" indent="1"/>
      <protection locked="0"/>
    </xf>
    <xf numFmtId="0" fontId="20" fillId="9" borderId="13" xfId="0" applyFont="1" applyFill="1" applyBorder="1" applyAlignment="1" applyProtection="1">
      <alignment horizontal="right" indent="1"/>
      <protection locked="0"/>
    </xf>
    <xf numFmtId="0" fontId="20" fillId="6" borderId="12" xfId="0" applyFont="1" applyFill="1" applyBorder="1" applyAlignment="1" applyProtection="1">
      <alignment horizontal="right" indent="1"/>
      <protection locked="0"/>
    </xf>
    <xf numFmtId="3" fontId="20" fillId="9" borderId="14" xfId="0" applyNumberFormat="1" applyFont="1" applyFill="1" applyBorder="1" applyAlignment="1" applyProtection="1">
      <alignment horizontal="right" indent="1"/>
      <protection locked="0"/>
    </xf>
    <xf numFmtId="0" fontId="24" fillId="5" borderId="0" xfId="0" quotePrefix="1" applyFont="1" applyFill="1" applyBorder="1" applyAlignment="1">
      <alignment horizontal="center"/>
    </xf>
    <xf numFmtId="0" fontId="17" fillId="5" borderId="0" xfId="0" applyFont="1" applyFill="1" applyBorder="1" applyAlignment="1">
      <alignment horizontal="left"/>
    </xf>
    <xf numFmtId="0" fontId="13" fillId="5" borderId="0" xfId="0" applyFont="1" applyFill="1" applyBorder="1"/>
    <xf numFmtId="0" fontId="14" fillId="7" borderId="0" xfId="0" applyFont="1" applyFill="1" applyBorder="1" applyProtection="1"/>
    <xf numFmtId="0" fontId="14" fillId="8" borderId="0" xfId="0" quotePrefix="1" applyFont="1" applyFill="1" applyBorder="1" applyAlignment="1" applyProtection="1">
      <alignment horizontal="left"/>
    </xf>
    <xf numFmtId="0" fontId="17" fillId="5" borderId="0" xfId="0" applyFont="1" applyFill="1" applyBorder="1"/>
    <xf numFmtId="0" fontId="14" fillId="8" borderId="0" xfId="0" applyFont="1" applyFill="1" applyBorder="1" applyAlignment="1" applyProtection="1">
      <alignment horizontal="left"/>
    </xf>
    <xf numFmtId="0" fontId="12" fillId="7" borderId="0" xfId="0" applyFont="1" applyFill="1" applyBorder="1" applyProtection="1"/>
    <xf numFmtId="0" fontId="12" fillId="8" borderId="0" xfId="0" applyFont="1" applyFill="1" applyBorder="1" applyAlignment="1" applyProtection="1">
      <alignment horizontal="right"/>
    </xf>
    <xf numFmtId="0" fontId="8" fillId="5" borderId="0" xfId="0" applyFont="1" applyFill="1" applyBorder="1"/>
    <xf numFmtId="0" fontId="6" fillId="5" borderId="0" xfId="0" applyFont="1" applyFill="1" applyBorder="1" applyAlignment="1">
      <alignment horizontal="center"/>
    </xf>
    <xf numFmtId="0" fontId="6" fillId="5" borderId="0" xfId="0" applyFont="1" applyFill="1" applyBorder="1" applyAlignment="1" applyProtection="1">
      <alignment horizontal="center"/>
    </xf>
    <xf numFmtId="0" fontId="6" fillId="10" borderId="0" xfId="0" applyFont="1" applyFill="1" applyBorder="1" applyProtection="1"/>
    <xf numFmtId="0" fontId="6" fillId="5" borderId="0" xfId="0" applyFont="1" applyFill="1" applyBorder="1" applyProtection="1"/>
    <xf numFmtId="165" fontId="6" fillId="5" borderId="0" xfId="0" applyNumberFormat="1" applyFont="1" applyFill="1" applyBorder="1" applyProtection="1"/>
    <xf numFmtId="5" fontId="6" fillId="5" borderId="0" xfId="0" applyNumberFormat="1" applyFont="1" applyFill="1" applyBorder="1" applyProtection="1"/>
    <xf numFmtId="169" fontId="6" fillId="5" borderId="0" xfId="0" applyNumberFormat="1" applyFont="1" applyFill="1" applyBorder="1" applyAlignment="1" applyProtection="1">
      <alignment horizontal="right"/>
    </xf>
    <xf numFmtId="167" fontId="6" fillId="5" borderId="0" xfId="0" applyNumberFormat="1" applyFont="1" applyFill="1" applyBorder="1" applyProtection="1"/>
    <xf numFmtId="7" fontId="2" fillId="8" borderId="0" xfId="0" applyNumberFormat="1" applyFont="1" applyFill="1" applyBorder="1" applyAlignment="1" applyProtection="1">
      <alignment horizontal="left"/>
    </xf>
    <xf numFmtId="169" fontId="6" fillId="5" borderId="0" xfId="0" applyNumberFormat="1" applyFont="1" applyFill="1" applyBorder="1" applyAlignment="1" applyProtection="1">
      <alignment horizontal="right" indent="1"/>
    </xf>
    <xf numFmtId="0" fontId="6" fillId="5" borderId="0" xfId="0" applyFont="1" applyFill="1" applyBorder="1" applyAlignment="1" applyProtection="1">
      <alignment horizontal="left"/>
    </xf>
    <xf numFmtId="167" fontId="6" fillId="5" borderId="0" xfId="0" applyNumberFormat="1" applyFont="1" applyFill="1" applyBorder="1" applyAlignment="1" applyProtection="1">
      <alignment horizontal="right" indent="1"/>
    </xf>
    <xf numFmtId="0" fontId="6" fillId="5" borderId="0" xfId="0" applyFont="1" applyFill="1" applyBorder="1" applyAlignment="1" applyProtection="1">
      <alignment horizontal="right" indent="1"/>
    </xf>
    <xf numFmtId="165" fontId="6" fillId="5" borderId="0" xfId="0" applyNumberFormat="1" applyFont="1" applyFill="1" applyBorder="1" applyAlignment="1" applyProtection="1">
      <alignment horizontal="right" indent="1"/>
    </xf>
    <xf numFmtId="165" fontId="6" fillId="5" borderId="0" xfId="0" applyNumberFormat="1" applyFont="1" applyFill="1" applyBorder="1" applyAlignment="1" applyProtection="1">
      <alignment horizontal="right" indent="2"/>
    </xf>
    <xf numFmtId="6" fontId="6" fillId="5" borderId="0" xfId="0" applyNumberFormat="1" applyFont="1" applyFill="1" applyBorder="1" applyAlignment="1">
      <alignment horizontal="right" indent="2"/>
    </xf>
    <xf numFmtId="0" fontId="1" fillId="7" borderId="0" xfId="0" applyFont="1" applyFill="1" applyProtection="1"/>
    <xf numFmtId="0" fontId="1" fillId="5" borderId="0" xfId="0" applyFont="1" applyFill="1"/>
    <xf numFmtId="7" fontId="1" fillId="7" borderId="0" xfId="0" applyNumberFormat="1" applyFont="1" applyFill="1" applyProtection="1"/>
    <xf numFmtId="9" fontId="1" fillId="7" borderId="0" xfId="0" applyNumberFormat="1" applyFont="1" applyFill="1" applyProtection="1"/>
    <xf numFmtId="0" fontId="15" fillId="7" borderId="0" xfId="0" applyFont="1" applyFill="1" applyProtection="1"/>
    <xf numFmtId="0" fontId="1" fillId="7" borderId="0" xfId="0" applyFont="1" applyFill="1" applyAlignment="1" applyProtection="1">
      <alignment horizontal="left" indent="1"/>
    </xf>
    <xf numFmtId="0" fontId="1" fillId="8" borderId="0" xfId="0" applyFont="1" applyFill="1" applyBorder="1" applyAlignment="1" applyProtection="1">
      <alignment horizontal="left" indent="2"/>
    </xf>
    <xf numFmtId="0" fontId="15" fillId="8" borderId="0" xfId="0" applyFont="1" applyFill="1" applyBorder="1" applyAlignment="1" applyProtection="1">
      <alignment horizontal="left" indent="2"/>
    </xf>
    <xf numFmtId="0" fontId="15" fillId="11" borderId="0" xfId="0" applyFont="1" applyFill="1" applyBorder="1" applyAlignment="1" applyProtection="1">
      <alignment horizontal="right"/>
    </xf>
    <xf numFmtId="5" fontId="1" fillId="8" borderId="0" xfId="0" applyNumberFormat="1" applyFont="1" applyFill="1" applyBorder="1" applyAlignment="1" applyProtection="1">
      <alignment horizontal="right"/>
    </xf>
    <xf numFmtId="0" fontId="1" fillId="8" borderId="0" xfId="0" applyFont="1" applyFill="1" applyBorder="1" applyAlignment="1" applyProtection="1">
      <alignment horizontal="left"/>
    </xf>
    <xf numFmtId="7" fontId="1" fillId="8" borderId="0" xfId="0" applyNumberFormat="1" applyFont="1" applyFill="1" applyBorder="1" applyAlignment="1" applyProtection="1">
      <alignment horizontal="right"/>
    </xf>
    <xf numFmtId="0" fontId="1" fillId="5" borderId="0" xfId="0" applyFont="1" applyFill="1" applyBorder="1"/>
    <xf numFmtId="0" fontId="1" fillId="7" borderId="0" xfId="0" applyFont="1" applyFill="1" applyBorder="1" applyProtection="1"/>
    <xf numFmtId="0" fontId="15" fillId="7" borderId="0" xfId="0" applyFont="1" applyFill="1" applyBorder="1" applyProtection="1"/>
    <xf numFmtId="0" fontId="15" fillId="5" borderId="0" xfId="0" applyFont="1" applyFill="1" applyBorder="1" applyAlignment="1">
      <alignment horizontal="right"/>
    </xf>
    <xf numFmtId="5" fontId="1" fillId="11" borderId="0" xfId="0" applyNumberFormat="1" applyFont="1" applyFill="1" applyBorder="1" applyProtection="1"/>
    <xf numFmtId="0" fontId="1" fillId="11" borderId="0" xfId="0" applyFont="1" applyFill="1" applyBorder="1" applyProtection="1"/>
    <xf numFmtId="0" fontId="1" fillId="8" borderId="0" xfId="0" applyFont="1" applyFill="1" applyBorder="1" applyAlignment="1" applyProtection="1">
      <alignment horizontal="left" indent="1"/>
    </xf>
    <xf numFmtId="0" fontId="15" fillId="8" borderId="0" xfId="0" applyFont="1" applyFill="1" applyBorder="1" applyAlignment="1" applyProtection="1">
      <alignment horizontal="left" indent="1"/>
    </xf>
    <xf numFmtId="164" fontId="1" fillId="11" borderId="0" xfId="0" applyNumberFormat="1" applyFont="1" applyFill="1" applyBorder="1" applyProtection="1"/>
    <xf numFmtId="0" fontId="1" fillId="7" borderId="0" xfId="0" applyFont="1" applyFill="1" applyAlignment="1" applyProtection="1">
      <alignment horizontal="left" indent="2"/>
    </xf>
    <xf numFmtId="0" fontId="1" fillId="7" borderId="13" xfId="0" applyFont="1" applyFill="1" applyBorder="1" applyProtection="1"/>
    <xf numFmtId="7" fontId="15" fillId="7" borderId="0" xfId="0" applyNumberFormat="1" applyFont="1" applyFill="1" applyProtection="1"/>
    <xf numFmtId="0" fontId="1" fillId="12" borderId="14" xfId="0" applyFont="1" applyFill="1" applyBorder="1"/>
    <xf numFmtId="0" fontId="1" fillId="12" borderId="15" xfId="0" applyFont="1" applyFill="1" applyBorder="1"/>
    <xf numFmtId="0" fontId="7" fillId="7" borderId="13" xfId="0" applyFont="1" applyFill="1" applyBorder="1" applyAlignment="1" applyProtection="1">
      <alignment horizontal="left" indent="1"/>
    </xf>
    <xf numFmtId="0" fontId="1" fillId="7" borderId="0" xfId="0" applyFont="1" applyFill="1" applyBorder="1" applyAlignment="1" applyProtection="1">
      <alignment horizontal="right" vertical="center"/>
    </xf>
    <xf numFmtId="7" fontId="1" fillId="7" borderId="0" xfId="0" applyNumberFormat="1" applyFont="1" applyFill="1" applyAlignment="1" applyProtection="1">
      <alignment vertical="center"/>
    </xf>
    <xf numFmtId="0" fontId="1" fillId="5" borderId="0" xfId="0" applyFont="1" applyFill="1" applyBorder="1" applyAlignment="1">
      <alignment vertical="center"/>
    </xf>
    <xf numFmtId="0" fontId="1" fillId="5" borderId="0" xfId="0" applyFont="1" applyFill="1" applyAlignment="1">
      <alignment vertical="center"/>
    </xf>
    <xf numFmtId="0" fontId="1" fillId="7" borderId="0" xfId="0" applyFont="1" applyFill="1" applyAlignment="1" applyProtection="1">
      <alignment vertical="center"/>
    </xf>
    <xf numFmtId="0" fontId="1" fillId="7" borderId="0" xfId="0" applyFont="1" applyFill="1" applyBorder="1" applyAlignment="1" applyProtection="1">
      <alignment vertical="center"/>
    </xf>
    <xf numFmtId="4" fontId="1" fillId="7" borderId="0" xfId="0" applyNumberFormat="1" applyFont="1" applyFill="1" applyAlignment="1" applyProtection="1">
      <alignment horizontal="right" vertical="center"/>
    </xf>
    <xf numFmtId="5" fontId="1" fillId="11" borderId="0" xfId="0" applyNumberFormat="1" applyFont="1" applyFill="1" applyBorder="1" applyAlignment="1" applyProtection="1">
      <alignment horizontal="right" vertical="center"/>
    </xf>
    <xf numFmtId="0" fontId="1" fillId="11" borderId="0" xfId="0" applyFont="1" applyFill="1" applyBorder="1" applyAlignment="1" applyProtection="1">
      <alignment horizontal="right" vertical="center"/>
    </xf>
    <xf numFmtId="5" fontId="1" fillId="8" borderId="0" xfId="0" applyNumberFormat="1" applyFont="1" applyFill="1" applyBorder="1" applyAlignment="1" applyProtection="1">
      <alignment horizontal="right" vertical="center"/>
    </xf>
    <xf numFmtId="7" fontId="1" fillId="8" borderId="0" xfId="0" applyNumberFormat="1" applyFont="1" applyFill="1" applyBorder="1" applyAlignment="1" applyProtection="1">
      <alignment horizontal="right" vertical="center"/>
    </xf>
    <xf numFmtId="0" fontId="1" fillId="13" borderId="0" xfId="0" applyFont="1" applyFill="1" applyBorder="1" applyAlignment="1" applyProtection="1">
      <alignment horizontal="left"/>
    </xf>
    <xf numFmtId="0" fontId="1" fillId="13" borderId="0" xfId="0" applyFont="1" applyFill="1" applyBorder="1" applyAlignment="1" applyProtection="1">
      <alignment horizontal="right"/>
    </xf>
    <xf numFmtId="7" fontId="1" fillId="8" borderId="0" xfId="0" applyNumberFormat="1" applyFont="1" applyFill="1" applyBorder="1" applyAlignment="1" applyProtection="1">
      <alignment horizontal="left"/>
    </xf>
    <xf numFmtId="0" fontId="1" fillId="5" borderId="13" xfId="0" applyFont="1" applyFill="1" applyBorder="1"/>
    <xf numFmtId="0" fontId="1" fillId="13" borderId="13" xfId="0" applyFont="1" applyFill="1" applyBorder="1" applyAlignment="1" applyProtection="1">
      <alignment horizontal="right"/>
    </xf>
    <xf numFmtId="0" fontId="7" fillId="7" borderId="13" xfId="0" applyFont="1" applyFill="1" applyBorder="1" applyProtection="1"/>
    <xf numFmtId="7" fontId="2" fillId="8" borderId="0" xfId="0" applyNumberFormat="1" applyFont="1" applyFill="1" applyBorder="1" applyAlignment="1" applyProtection="1">
      <alignment horizontal="left" indent="1"/>
    </xf>
    <xf numFmtId="8" fontId="6" fillId="5" borderId="0" xfId="0" applyNumberFormat="1" applyFont="1" applyFill="1" applyBorder="1" applyAlignment="1">
      <alignment horizontal="center"/>
    </xf>
    <xf numFmtId="1" fontId="6" fillId="5" borderId="0" xfId="0" applyNumberFormat="1" applyFont="1" applyFill="1" applyBorder="1" applyAlignment="1" applyProtection="1">
      <alignment horizontal="right" indent="2"/>
    </xf>
    <xf numFmtId="3" fontId="6" fillId="5" borderId="0" xfId="1" applyNumberFormat="1" applyFont="1" applyFill="1" applyBorder="1" applyAlignment="1" applyProtection="1">
      <alignment horizontal="right" indent="2"/>
    </xf>
    <xf numFmtId="171" fontId="6" fillId="5" borderId="0" xfId="0" applyNumberFormat="1" applyFont="1" applyFill="1" applyBorder="1" applyAlignment="1" applyProtection="1">
      <alignment horizontal="right" indent="2"/>
    </xf>
    <xf numFmtId="3" fontId="6" fillId="5" borderId="0" xfId="0" applyNumberFormat="1" applyFont="1" applyFill="1" applyBorder="1" applyAlignment="1" applyProtection="1">
      <alignment horizontal="right" indent="2"/>
    </xf>
    <xf numFmtId="169" fontId="20" fillId="6" borderId="13" xfId="0" applyNumberFormat="1" applyFont="1" applyFill="1" applyBorder="1" applyAlignment="1" applyProtection="1">
      <alignment horizontal="right" indent="1"/>
      <protection locked="0"/>
    </xf>
    <xf numFmtId="0" fontId="20" fillId="6" borderId="13" xfId="0" applyFont="1" applyFill="1" applyBorder="1" applyAlignment="1" applyProtection="1">
      <alignment horizontal="center"/>
      <protection locked="0"/>
    </xf>
    <xf numFmtId="0" fontId="20" fillId="6" borderId="13" xfId="0" applyFont="1" applyFill="1" applyBorder="1" applyAlignment="1" applyProtection="1">
      <alignment horizontal="left"/>
      <protection locked="0"/>
    </xf>
    <xf numFmtId="170" fontId="20" fillId="6" borderId="13" xfId="0" applyNumberFormat="1" applyFont="1" applyFill="1" applyBorder="1" applyAlignment="1" applyProtection="1">
      <alignment horizontal="right" indent="1"/>
      <protection locked="0"/>
    </xf>
    <xf numFmtId="9" fontId="20" fillId="14" borderId="14" xfId="4" applyFont="1" applyFill="1" applyBorder="1" applyAlignment="1" applyProtection="1">
      <alignment horizontal="right" indent="1"/>
      <protection locked="0"/>
    </xf>
    <xf numFmtId="9" fontId="20" fillId="14" borderId="0" xfId="4" applyFont="1" applyFill="1" applyBorder="1" applyAlignment="1" applyProtection="1">
      <alignment horizontal="right" indent="1"/>
      <protection locked="0"/>
    </xf>
    <xf numFmtId="0" fontId="20" fillId="5" borderId="0" xfId="0" applyFont="1" applyFill="1" applyBorder="1" applyAlignment="1">
      <alignment horizontal="center"/>
    </xf>
    <xf numFmtId="0" fontId="20" fillId="10" borderId="0" xfId="0" applyFont="1" applyFill="1" applyBorder="1" applyProtection="1"/>
    <xf numFmtId="5" fontId="1" fillId="8" borderId="0" xfId="0" applyNumberFormat="1" applyFont="1" applyFill="1" applyBorder="1" applyAlignment="1" applyProtection="1">
      <alignment horizontal="right" indent="1"/>
    </xf>
    <xf numFmtId="0" fontId="1" fillId="8" borderId="0" xfId="0" applyFont="1" applyFill="1" applyBorder="1" applyAlignment="1" applyProtection="1">
      <alignment horizontal="right" indent="1"/>
    </xf>
    <xf numFmtId="165" fontId="1" fillId="8" borderId="0" xfId="0" applyNumberFormat="1" applyFont="1" applyFill="1" applyBorder="1" applyAlignment="1" applyProtection="1">
      <alignment horizontal="right" indent="1"/>
    </xf>
    <xf numFmtId="7" fontId="1" fillId="8" borderId="0" xfId="0" applyNumberFormat="1" applyFont="1" applyFill="1" applyBorder="1" applyAlignment="1" applyProtection="1">
      <alignment horizontal="right" indent="1"/>
    </xf>
    <xf numFmtId="0" fontId="1" fillId="8" borderId="13" xfId="0" applyFont="1" applyFill="1" applyBorder="1" applyAlignment="1" applyProtection="1">
      <alignment horizontal="left"/>
    </xf>
    <xf numFmtId="0" fontId="1" fillId="8" borderId="13" xfId="0" applyFont="1" applyFill="1" applyBorder="1" applyAlignment="1" applyProtection="1">
      <alignment horizontal="center"/>
    </xf>
    <xf numFmtId="5" fontId="1" fillId="8" borderId="13" xfId="0" applyNumberFormat="1" applyFont="1" applyFill="1" applyBorder="1" applyAlignment="1" applyProtection="1">
      <alignment horizontal="right" indent="1"/>
    </xf>
    <xf numFmtId="7" fontId="1" fillId="8" borderId="13" xfId="0" applyNumberFormat="1" applyFont="1" applyFill="1" applyBorder="1" applyAlignment="1" applyProtection="1">
      <alignment horizontal="right" indent="1"/>
    </xf>
    <xf numFmtId="0" fontId="15" fillId="5" borderId="0" xfId="0" quotePrefix="1" applyFont="1" applyFill="1" applyAlignment="1">
      <alignment horizontal="left" wrapText="1"/>
    </xf>
    <xf numFmtId="0" fontId="1" fillId="5" borderId="0" xfId="0" applyFont="1" applyFill="1" applyAlignment="1">
      <alignment horizontal="left" wrapText="1"/>
    </xf>
    <xf numFmtId="1" fontId="2" fillId="10" borderId="16" xfId="0" applyNumberFormat="1" applyFont="1" applyFill="1" applyBorder="1" applyAlignment="1" applyProtection="1">
      <alignment horizontal="right" indent="1"/>
    </xf>
    <xf numFmtId="0" fontId="6" fillId="5" borderId="0" xfId="0" applyFont="1" applyFill="1" applyBorder="1" applyAlignment="1" applyProtection="1">
      <alignment horizontal="left" vertical="top"/>
    </xf>
    <xf numFmtId="0" fontId="6" fillId="5" borderId="0" xfId="0" applyFont="1" applyFill="1" applyBorder="1" applyAlignment="1">
      <alignment vertical="center"/>
    </xf>
    <xf numFmtId="0" fontId="7" fillId="13" borderId="13" xfId="0" applyFont="1" applyFill="1" applyBorder="1" applyAlignment="1" applyProtection="1">
      <alignment horizontal="left"/>
    </xf>
    <xf numFmtId="0" fontId="25" fillId="10" borderId="0" xfId="0" applyFont="1" applyFill="1" applyBorder="1" applyProtection="1"/>
    <xf numFmtId="0" fontId="16" fillId="10" borderId="0" xfId="0" applyFont="1" applyFill="1" applyBorder="1" applyProtection="1"/>
    <xf numFmtId="5" fontId="2" fillId="10" borderId="0" xfId="0" applyNumberFormat="1" applyFont="1" applyFill="1" applyBorder="1" applyProtection="1"/>
    <xf numFmtId="0" fontId="2" fillId="10" borderId="0" xfId="0" applyFont="1" applyFill="1" applyBorder="1" applyProtection="1"/>
    <xf numFmtId="1" fontId="2" fillId="10" borderId="0" xfId="0" applyNumberFormat="1" applyFont="1" applyFill="1" applyBorder="1" applyAlignment="1" applyProtection="1">
      <alignment horizontal="right" indent="1"/>
    </xf>
    <xf numFmtId="168" fontId="21" fillId="10" borderId="0" xfId="1" applyNumberFormat="1" applyFont="1" applyFill="1" applyBorder="1" applyAlignment="1" applyProtection="1">
      <alignment horizontal="right"/>
    </xf>
    <xf numFmtId="0" fontId="14" fillId="10" borderId="0" xfId="0" applyFont="1" applyFill="1" applyBorder="1" applyProtection="1"/>
    <xf numFmtId="2" fontId="20" fillId="9" borderId="14" xfId="0" applyNumberFormat="1" applyFont="1" applyFill="1" applyBorder="1" applyAlignment="1" applyProtection="1">
      <alignment horizontal="right" indent="1"/>
      <protection locked="0"/>
    </xf>
    <xf numFmtId="1" fontId="20" fillId="10" borderId="0" xfId="0" applyNumberFormat="1" applyFont="1" applyFill="1" applyBorder="1" applyAlignment="1" applyProtection="1">
      <alignment horizontal="right" indent="1"/>
    </xf>
    <xf numFmtId="0" fontId="26" fillId="12" borderId="8" xfId="0" quotePrefix="1" applyFont="1" applyFill="1" applyBorder="1" applyAlignment="1">
      <alignment horizontal="center"/>
    </xf>
    <xf numFmtId="0" fontId="26" fillId="12" borderId="9" xfId="0" quotePrefix="1" applyFont="1" applyFill="1" applyBorder="1" applyAlignment="1">
      <alignment horizontal="center"/>
    </xf>
    <xf numFmtId="0" fontId="26" fillId="12" borderId="10" xfId="0" quotePrefix="1" applyFont="1" applyFill="1" applyBorder="1" applyAlignment="1">
      <alignment horizontal="center"/>
    </xf>
    <xf numFmtId="0" fontId="23" fillId="12" borderId="8" xfId="0" quotePrefix="1" applyFont="1" applyFill="1" applyBorder="1" applyAlignment="1">
      <alignment horizontal="center"/>
    </xf>
    <xf numFmtId="0" fontId="23" fillId="12" borderId="9" xfId="0" quotePrefix="1" applyFont="1" applyFill="1" applyBorder="1" applyAlignment="1">
      <alignment horizontal="center"/>
    </xf>
    <xf numFmtId="0" fontId="23" fillId="12" borderId="10" xfId="0" quotePrefix="1" applyFont="1" applyFill="1" applyBorder="1" applyAlignment="1">
      <alignment horizontal="center"/>
    </xf>
    <xf numFmtId="0" fontId="27" fillId="12" borderId="8" xfId="0" applyFont="1" applyFill="1" applyBorder="1" applyAlignment="1">
      <alignment horizontal="center"/>
    </xf>
    <xf numFmtId="0" fontId="27" fillId="12" borderId="9" xfId="0" quotePrefix="1" applyFont="1" applyFill="1" applyBorder="1" applyAlignment="1">
      <alignment horizontal="center"/>
    </xf>
    <xf numFmtId="0" fontId="28" fillId="12" borderId="17" xfId="0" quotePrefix="1" applyFont="1" applyFill="1" applyBorder="1" applyAlignment="1">
      <alignment horizontal="center"/>
    </xf>
    <xf numFmtId="0" fontId="28" fillId="12" borderId="14" xfId="0" quotePrefix="1" applyFont="1" applyFill="1" applyBorder="1" applyAlignment="1">
      <alignment horizontal="center"/>
    </xf>
    <xf numFmtId="0" fontId="21" fillId="12" borderId="17" xfId="0" quotePrefix="1" applyFont="1" applyFill="1" applyBorder="1" applyAlignment="1">
      <alignment horizontal="center"/>
    </xf>
    <xf numFmtId="0" fontId="21" fillId="12" borderId="14" xfId="0" quotePrefix="1" applyFont="1" applyFill="1" applyBorder="1" applyAlignment="1">
      <alignment horizontal="center"/>
    </xf>
    <xf numFmtId="0" fontId="28" fillId="12" borderId="0" xfId="0" quotePrefix="1" applyFont="1" applyFill="1" applyBorder="1" applyAlignment="1">
      <alignment horizontal="center"/>
    </xf>
    <xf numFmtId="0" fontId="28" fillId="12" borderId="18" xfId="0" quotePrefix="1" applyFont="1" applyFill="1" applyBorder="1" applyAlignment="1">
      <alignment horizontal="center"/>
    </xf>
    <xf numFmtId="0" fontId="21" fillId="12" borderId="0" xfId="0" quotePrefix="1" applyFont="1" applyFill="1" applyBorder="1" applyAlignment="1">
      <alignment horizontal="center"/>
    </xf>
    <xf numFmtId="0" fontId="21" fillId="12" borderId="18" xfId="0" quotePrefix="1" applyFont="1" applyFill="1" applyBorder="1" applyAlignment="1">
      <alignment horizontal="center"/>
    </xf>
    <xf numFmtId="0" fontId="29" fillId="12" borderId="0" xfId="0" quotePrefix="1" applyFont="1" applyFill="1" applyBorder="1" applyAlignment="1">
      <alignment horizontal="center"/>
    </xf>
    <xf numFmtId="0" fontId="29" fillId="12" borderId="18" xfId="0" quotePrefix="1" applyFont="1" applyFill="1" applyBorder="1" applyAlignment="1">
      <alignment horizontal="center"/>
    </xf>
    <xf numFmtId="0" fontId="21" fillId="12" borderId="15" xfId="0" quotePrefix="1" applyFont="1" applyFill="1" applyBorder="1" applyAlignment="1">
      <alignment horizontal="center"/>
    </xf>
    <xf numFmtId="0" fontId="29" fillId="12" borderId="19" xfId="0" quotePrefix="1" applyFont="1" applyFill="1" applyBorder="1" applyAlignment="1">
      <alignment horizontal="center"/>
    </xf>
    <xf numFmtId="0" fontId="29" fillId="12" borderId="13" xfId="0" quotePrefix="1" applyFont="1" applyFill="1" applyBorder="1" applyAlignment="1">
      <alignment horizontal="center"/>
    </xf>
    <xf numFmtId="0" fontId="29" fillId="12" borderId="20" xfId="0" quotePrefix="1" applyFont="1" applyFill="1" applyBorder="1" applyAlignment="1">
      <alignment horizontal="center"/>
    </xf>
  </cellXfs>
  <cellStyles count="5">
    <cellStyle name="Comma" xfId="1" builtinId="3"/>
    <cellStyle name="Normal" xfId="0" builtinId="0"/>
    <cellStyle name="Normal 2" xfId="2"/>
    <cellStyle name="Normal 2 2" xfId="3"/>
    <cellStyle name="Percent" xfId="4" builtinId="5"/>
  </cellStyles>
  <dxfs count="7">
    <dxf>
      <font>
        <condense val="0"/>
        <extend val="0"/>
        <color rgb="FF9C0006"/>
      </font>
      <fill>
        <patternFill patternType="none">
          <bgColor indexed="65"/>
        </patternFill>
      </fill>
    </dxf>
    <dxf>
      <font>
        <condense val="0"/>
        <extend val="0"/>
        <color rgb="FF006100"/>
      </font>
      <fill>
        <patternFill patternType="none">
          <bgColor indexed="65"/>
        </patternFill>
      </fill>
    </dxf>
    <dxf>
      <font>
        <condense val="0"/>
        <extend val="0"/>
        <color rgb="FF9C0006"/>
      </font>
      <fill>
        <patternFill patternType="none">
          <bgColor indexed="65"/>
        </patternFill>
      </fill>
    </dxf>
    <dxf>
      <font>
        <condense val="0"/>
        <extend val="0"/>
        <color rgb="FF006100"/>
      </font>
      <fill>
        <patternFill patternType="none">
          <bgColor indexed="65"/>
        </patternFill>
      </fill>
    </dxf>
    <dxf>
      <font>
        <color rgb="FFC00000"/>
      </font>
    </dxf>
    <dxf>
      <font>
        <condense val="0"/>
        <extend val="0"/>
        <color rgb="FF9C0006"/>
      </font>
      <fill>
        <patternFill patternType="none">
          <bgColor indexed="65"/>
        </patternFill>
      </fill>
    </dxf>
    <dxf>
      <font>
        <condense val="0"/>
        <extend val="0"/>
        <color rgb="FF006100"/>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3686175</xdr:colOff>
      <xdr:row>4</xdr:row>
      <xdr:rowOff>104775</xdr:rowOff>
    </xdr:from>
    <xdr:to>
      <xdr:col>2</xdr:col>
      <xdr:colOff>5476875</xdr:colOff>
      <xdr:row>8</xdr:row>
      <xdr:rowOff>76200</xdr:rowOff>
    </xdr:to>
    <xdr:pic>
      <xdr:nvPicPr>
        <xdr:cNvPr id="6145" name="Picture 2" descr="COMAG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57650" y="847725"/>
          <a:ext cx="17907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5</xdr:row>
          <xdr:rowOff>28575</xdr:rowOff>
        </xdr:from>
        <xdr:to>
          <xdr:col>2</xdr:col>
          <xdr:colOff>971550</xdr:colOff>
          <xdr:row>6</xdr:row>
          <xdr:rowOff>171450</xdr:rowOff>
        </xdr:to>
        <xdr:sp macro="" textlink="">
          <xdr:nvSpPr>
            <xdr:cNvPr id="5122" name="CommandButton1" hidden="1">
              <a:extLst>
                <a:ext uri="{63B3BB69-23CF-44E3-9099-C40C66FF867C}">
                  <a14:compatExt spid="_x0000_s51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2.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D21"/>
  <sheetViews>
    <sheetView tabSelected="1" zoomScaleNormal="100" workbookViewId="0"/>
  </sheetViews>
  <sheetFormatPr defaultRowHeight="12.75" x14ac:dyDescent="0.2"/>
  <cols>
    <col min="1" max="1" width="3.28515625" style="22" customWidth="1"/>
    <col min="2" max="2" width="2.28515625" style="22" customWidth="1"/>
    <col min="3" max="3" width="93.85546875" style="22" customWidth="1"/>
    <col min="4" max="4" width="2.28515625" style="22" customWidth="1"/>
    <col min="5" max="16384" width="9.140625" style="22"/>
  </cols>
  <sheetData>
    <row r="2" spans="2:4" ht="20.25" x14ac:dyDescent="0.3">
      <c r="B2" s="174" t="s">
        <v>0</v>
      </c>
      <c r="C2" s="175"/>
      <c r="D2" s="176"/>
    </row>
    <row r="3" spans="2:4" x14ac:dyDescent="0.2">
      <c r="C3" s="23" t="s">
        <v>150</v>
      </c>
    </row>
    <row r="4" spans="2:4" x14ac:dyDescent="0.2">
      <c r="C4" s="24"/>
    </row>
    <row r="5" spans="2:4" x14ac:dyDescent="0.2">
      <c r="C5" s="27" t="s">
        <v>64</v>
      </c>
    </row>
    <row r="6" spans="2:4" x14ac:dyDescent="0.2">
      <c r="C6" s="25" t="s">
        <v>65</v>
      </c>
    </row>
    <row r="7" spans="2:4" x14ac:dyDescent="0.2">
      <c r="C7" s="26" t="s">
        <v>66</v>
      </c>
    </row>
    <row r="8" spans="2:4" x14ac:dyDescent="0.2">
      <c r="C8" s="25" t="s">
        <v>67</v>
      </c>
    </row>
    <row r="9" spans="2:4" x14ac:dyDescent="0.2">
      <c r="C9" s="28" t="s">
        <v>57</v>
      </c>
    </row>
    <row r="11" spans="2:4" ht="51" x14ac:dyDescent="0.2">
      <c r="C11" s="30" t="s">
        <v>68</v>
      </c>
    </row>
    <row r="12" spans="2:4" s="31" customFormat="1" ht="8.25" x14ac:dyDescent="0.15"/>
    <row r="13" spans="2:4" ht="51" x14ac:dyDescent="0.2">
      <c r="C13" s="30" t="s">
        <v>69</v>
      </c>
    </row>
    <row r="14" spans="2:4" s="31" customFormat="1" ht="8.25" x14ac:dyDescent="0.15"/>
    <row r="15" spans="2:4" ht="38.25" x14ac:dyDescent="0.2">
      <c r="C15" s="30" t="s">
        <v>70</v>
      </c>
    </row>
    <row r="16" spans="2:4" s="31" customFormat="1" ht="8.25" x14ac:dyDescent="0.15"/>
    <row r="17" spans="2:4" ht="51" x14ac:dyDescent="0.2">
      <c r="C17" s="160" t="s">
        <v>134</v>
      </c>
    </row>
    <row r="18" spans="2:4" s="31" customFormat="1" ht="8.25" x14ac:dyDescent="0.15">
      <c r="C18" s="159"/>
    </row>
    <row r="19" spans="2:4" ht="25.5" x14ac:dyDescent="0.2">
      <c r="C19" s="32" t="s">
        <v>71</v>
      </c>
    </row>
    <row r="21" spans="2:4" s="29" customFormat="1" x14ac:dyDescent="0.2">
      <c r="B21" s="177"/>
      <c r="C21" s="178"/>
      <c r="D21" s="179"/>
    </row>
  </sheetData>
  <sheetProtection sheet="1" objects="1" scenarios="1"/>
  <mergeCells count="2">
    <mergeCell ref="B2:D2"/>
    <mergeCell ref="B21:D21"/>
  </mergeCells>
  <phoneticPr fontId="0" type="noConversion"/>
  <pageMargins left="0.75" right="0.75" top="1" bottom="1" header="0.5" footer="0.5"/>
  <pageSetup scale="92" orientation="portrait" r:id="rId1"/>
  <headerFooter alignWithMargins="0"/>
  <colBreaks count="1" manualBreakCount="1">
    <brk id="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
    <tabColor theme="2" tint="-0.249977111117893"/>
    <pageSetUpPr fitToPage="1"/>
  </sheetPr>
  <dimension ref="B2:J47"/>
  <sheetViews>
    <sheetView defaultGridColor="0" colorId="22" zoomScale="115" zoomScaleNormal="115" workbookViewId="0">
      <selection activeCell="F15" sqref="F15"/>
    </sheetView>
  </sheetViews>
  <sheetFormatPr defaultColWidth="9.7109375" defaultRowHeight="12.75" x14ac:dyDescent="0.2"/>
  <cols>
    <col min="1" max="1" width="3.28515625" style="33" customWidth="1"/>
    <col min="2" max="2" width="2.28515625" style="33" customWidth="1"/>
    <col min="3" max="3" width="46.42578125" style="33" customWidth="1"/>
    <col min="4" max="4" width="13.140625" style="33" customWidth="1"/>
    <col min="5" max="5" width="1.7109375" style="33" customWidth="1"/>
    <col min="6" max="6" width="21.5703125" style="33" customWidth="1"/>
    <col min="7" max="7" width="2.28515625" style="33" customWidth="1"/>
    <col min="8" max="16384" width="9.7109375" style="33"/>
  </cols>
  <sheetData>
    <row r="2" spans="2:10" s="76" customFormat="1" ht="18" x14ac:dyDescent="0.25">
      <c r="B2" s="180" t="s">
        <v>0</v>
      </c>
      <c r="C2" s="181"/>
      <c r="D2" s="181"/>
      <c r="E2" s="181"/>
      <c r="F2" s="181"/>
      <c r="G2" s="181"/>
    </row>
    <row r="3" spans="2:10" x14ac:dyDescent="0.2">
      <c r="B3" s="34"/>
      <c r="C3" s="41"/>
      <c r="D3" s="42"/>
      <c r="E3" s="42"/>
      <c r="F3" s="42"/>
      <c r="G3" s="34"/>
    </row>
    <row r="4" spans="2:10" x14ac:dyDescent="0.2">
      <c r="B4" s="34"/>
      <c r="C4" s="59" t="s">
        <v>75</v>
      </c>
      <c r="D4" s="60"/>
      <c r="E4" s="60"/>
      <c r="F4" s="60" t="s">
        <v>135</v>
      </c>
      <c r="G4" s="34"/>
    </row>
    <row r="5" spans="2:10" s="69" customFormat="1" ht="5.25" x14ac:dyDescent="0.15">
      <c r="B5" s="74"/>
      <c r="C5" s="73"/>
      <c r="D5" s="75"/>
      <c r="E5" s="75"/>
      <c r="F5" s="75"/>
      <c r="G5" s="74"/>
    </row>
    <row r="6" spans="2:10" x14ac:dyDescent="0.2">
      <c r="B6" s="34"/>
      <c r="C6" s="44" t="s">
        <v>1</v>
      </c>
      <c r="D6" s="42"/>
      <c r="E6" s="42"/>
      <c r="F6" s="42"/>
      <c r="G6" s="34"/>
    </row>
    <row r="7" spans="2:10" x14ac:dyDescent="0.2">
      <c r="B7" s="34"/>
      <c r="C7" s="52" t="s">
        <v>80</v>
      </c>
      <c r="D7" s="143">
        <v>125000</v>
      </c>
      <c r="E7" s="167"/>
      <c r="F7" s="145" t="s">
        <v>61</v>
      </c>
      <c r="G7" s="34"/>
    </row>
    <row r="8" spans="2:10" x14ac:dyDescent="0.2">
      <c r="B8" s="34"/>
      <c r="C8" s="52" t="s">
        <v>81</v>
      </c>
      <c r="D8" s="61">
        <v>12</v>
      </c>
      <c r="E8" s="168"/>
      <c r="F8" s="41" t="s">
        <v>4</v>
      </c>
      <c r="G8" s="34"/>
    </row>
    <row r="9" spans="2:10" x14ac:dyDescent="0.2">
      <c r="B9" s="34"/>
      <c r="C9" s="52" t="s">
        <v>79</v>
      </c>
      <c r="D9" s="61">
        <v>400</v>
      </c>
      <c r="E9" s="168"/>
      <c r="F9" s="41" t="s">
        <v>6</v>
      </c>
      <c r="G9" s="34"/>
    </row>
    <row r="10" spans="2:10" x14ac:dyDescent="0.2">
      <c r="B10" s="34"/>
      <c r="C10" s="52" t="s">
        <v>137</v>
      </c>
      <c r="D10" s="62">
        <v>200</v>
      </c>
      <c r="E10" s="168"/>
      <c r="F10" s="36" t="s">
        <v>136</v>
      </c>
      <c r="G10" s="34"/>
    </row>
    <row r="11" spans="2:10" s="47" customFormat="1" ht="5.25" customHeight="1" x14ac:dyDescent="0.15">
      <c r="B11" s="45"/>
      <c r="C11" s="53"/>
      <c r="D11" s="165"/>
      <c r="E11" s="166"/>
      <c r="F11" s="46"/>
      <c r="G11" s="45"/>
    </row>
    <row r="12" spans="2:10" x14ac:dyDescent="0.2">
      <c r="B12" s="34"/>
      <c r="C12" s="44" t="s">
        <v>76</v>
      </c>
      <c r="D12" s="144" t="s">
        <v>77</v>
      </c>
      <c r="G12" s="34"/>
      <c r="I12" s="170">
        <f>IF(D12=J12,1,IF(D12=J13,2,"-"))</f>
        <v>2</v>
      </c>
      <c r="J12" s="43" t="s">
        <v>78</v>
      </c>
    </row>
    <row r="13" spans="2:10" s="47" customFormat="1" ht="7.5" customHeight="1" x14ac:dyDescent="0.15">
      <c r="B13" s="45"/>
      <c r="C13" s="53"/>
      <c r="D13" s="166"/>
      <c r="E13" s="166"/>
      <c r="F13" s="46"/>
      <c r="G13" s="45"/>
      <c r="I13" s="48"/>
      <c r="J13" s="48" t="s">
        <v>77</v>
      </c>
    </row>
    <row r="14" spans="2:10" x14ac:dyDescent="0.2">
      <c r="B14" s="34"/>
      <c r="C14" s="44" t="s">
        <v>2</v>
      </c>
      <c r="F14" s="42"/>
      <c r="G14" s="34"/>
    </row>
    <row r="15" spans="2:10" x14ac:dyDescent="0.2">
      <c r="B15" s="34"/>
      <c r="C15" s="52" t="s">
        <v>80</v>
      </c>
      <c r="D15" s="143">
        <v>40000</v>
      </c>
      <c r="F15" s="145" t="s">
        <v>98</v>
      </c>
      <c r="G15" s="34"/>
    </row>
    <row r="16" spans="2:10" x14ac:dyDescent="0.2">
      <c r="B16" s="34"/>
      <c r="C16" s="52" t="s">
        <v>81</v>
      </c>
      <c r="D16" s="63">
        <v>10</v>
      </c>
      <c r="F16" s="41" t="s">
        <v>4</v>
      </c>
      <c r="G16" s="34"/>
    </row>
    <row r="17" spans="2:7" x14ac:dyDescent="0.2">
      <c r="B17" s="34"/>
      <c r="C17" s="52" t="s">
        <v>82</v>
      </c>
      <c r="D17" s="62">
        <v>192</v>
      </c>
      <c r="F17" s="41" t="s">
        <v>5</v>
      </c>
      <c r="G17" s="34"/>
    </row>
    <row r="18" spans="2:7" x14ac:dyDescent="0.2">
      <c r="B18" s="34"/>
      <c r="C18" s="52" t="s">
        <v>88</v>
      </c>
      <c r="D18" s="62">
        <v>6</v>
      </c>
      <c r="F18" s="41" t="str">
        <f>IF($I$12=1,"tons",IF($I$12=2,"1,000 gallons",#VALUE!))</f>
        <v>1,000 gallons</v>
      </c>
      <c r="G18" s="34"/>
    </row>
    <row r="19" spans="2:7" x14ac:dyDescent="0.2">
      <c r="B19" s="34"/>
      <c r="C19" s="34"/>
      <c r="D19" s="34"/>
      <c r="E19" s="34"/>
      <c r="F19" s="34"/>
      <c r="G19" s="34"/>
    </row>
    <row r="20" spans="2:7" s="50" customFormat="1" x14ac:dyDescent="0.2">
      <c r="B20" s="49"/>
      <c r="C20" s="57" t="s">
        <v>83</v>
      </c>
      <c r="D20" s="58"/>
      <c r="E20" s="58"/>
      <c r="F20" s="59"/>
      <c r="G20" s="49"/>
    </row>
    <row r="21" spans="2:7" s="72" customFormat="1" ht="5.25" x14ac:dyDescent="0.15">
      <c r="B21" s="70"/>
      <c r="C21" s="71"/>
      <c r="D21" s="171"/>
      <c r="F21" s="73"/>
      <c r="G21" s="70"/>
    </row>
    <row r="22" spans="2:7" x14ac:dyDescent="0.2">
      <c r="B22" s="34"/>
      <c r="C22" s="44" t="s">
        <v>84</v>
      </c>
      <c r="D22" s="64">
        <v>32</v>
      </c>
      <c r="F22" s="41" t="s">
        <v>5</v>
      </c>
      <c r="G22" s="34"/>
    </row>
    <row r="23" spans="2:7" x14ac:dyDescent="0.2">
      <c r="B23" s="34"/>
      <c r="C23" s="44" t="s">
        <v>85</v>
      </c>
      <c r="D23" s="62">
        <v>1</v>
      </c>
      <c r="F23" s="41" t="s">
        <v>7</v>
      </c>
      <c r="G23" s="34"/>
    </row>
    <row r="24" spans="2:7" x14ac:dyDescent="0.2">
      <c r="B24" s="34"/>
      <c r="C24" s="44" t="s">
        <v>86</v>
      </c>
      <c r="D24" s="62">
        <v>10</v>
      </c>
      <c r="F24" s="41" t="s">
        <v>8</v>
      </c>
      <c r="G24" s="34"/>
    </row>
    <row r="25" spans="2:7" x14ac:dyDescent="0.2">
      <c r="B25" s="34"/>
      <c r="C25" s="44" t="s">
        <v>87</v>
      </c>
      <c r="D25" s="62">
        <v>4</v>
      </c>
      <c r="F25" s="41" t="s">
        <v>8</v>
      </c>
      <c r="G25" s="34"/>
    </row>
    <row r="26" spans="2:7" x14ac:dyDescent="0.2">
      <c r="B26" s="34"/>
      <c r="C26" s="44" t="s">
        <v>89</v>
      </c>
      <c r="D26" s="62">
        <v>15</v>
      </c>
      <c r="F26" s="41" t="s">
        <v>9</v>
      </c>
      <c r="G26" s="34"/>
    </row>
    <row r="27" spans="2:7" x14ac:dyDescent="0.2">
      <c r="B27" s="34"/>
      <c r="C27" s="44" t="s">
        <v>90</v>
      </c>
      <c r="D27" s="172">
        <v>5</v>
      </c>
      <c r="F27" s="41" t="str">
        <f>IF($I$12=1,"tons/acre",IF($I$12=2,"1,000 gallons/acre",#VALUE!))</f>
        <v>1,000 gallons/acre</v>
      </c>
      <c r="G27" s="34"/>
    </row>
    <row r="28" spans="2:7" x14ac:dyDescent="0.2">
      <c r="B28" s="34"/>
      <c r="C28" s="44" t="s">
        <v>151</v>
      </c>
      <c r="D28" s="173">
        <f>RateApply1*1000/43560*SWIDTH1*5280*FLDSPEED1/60</f>
        <v>606.06060606060601</v>
      </c>
      <c r="F28" s="41" t="s">
        <v>152</v>
      </c>
      <c r="G28" s="34"/>
    </row>
    <row r="29" spans="2:7" x14ac:dyDescent="0.2">
      <c r="B29" s="34"/>
      <c r="C29" s="44"/>
      <c r="D29" s="34" t="str">
        <f>IF(D28&gt;1100,"Confirm that this discharge rate can be achieved.  It may be too high for current equipment",IF(D28&lt;300,"Confirm that this discharge rate can be achieved. It may be too low for current equipment.",""))</f>
        <v/>
      </c>
      <c r="F29" s="41"/>
      <c r="G29" s="34"/>
    </row>
    <row r="30" spans="2:7" x14ac:dyDescent="0.2">
      <c r="B30" s="34"/>
      <c r="C30" s="44" t="s">
        <v>91</v>
      </c>
      <c r="D30" s="65">
        <v>10</v>
      </c>
      <c r="F30" s="41" t="s">
        <v>10</v>
      </c>
      <c r="G30" s="34"/>
    </row>
    <row r="31" spans="2:7" x14ac:dyDescent="0.2">
      <c r="B31" s="34"/>
      <c r="C31" s="44" t="s">
        <v>143</v>
      </c>
      <c r="D31" s="66">
        <v>960</v>
      </c>
      <c r="F31" s="41" t="str">
        <f>IF($I$12=1,"tons",IF($I$12=2,"1,000 gallons",#VALUE!))</f>
        <v>1,000 gallons</v>
      </c>
      <c r="G31" s="34"/>
    </row>
    <row r="32" spans="2:7" x14ac:dyDescent="0.2">
      <c r="B32" s="34"/>
      <c r="C32" s="44" t="s">
        <v>144</v>
      </c>
      <c r="D32" s="161">
        <f>acres1*RateApply1</f>
        <v>160</v>
      </c>
      <c r="F32" s="41" t="str">
        <f>IF($I$12=1,"tons",IF($I$12=2,"1,000 gallons",#VALUE!))</f>
        <v>1,000 gallons</v>
      </c>
      <c r="G32" s="34"/>
    </row>
    <row r="33" spans="2:7" x14ac:dyDescent="0.2">
      <c r="B33" s="34"/>
      <c r="C33" s="34"/>
      <c r="D33" s="34" t="str">
        <f>IF(TOTALTONS1&gt;D32,"Need more land to use all manure available",IF(TOTALTONS1&lt;D32,"Need more manure to spread it on all the land entered.",""))</f>
        <v>Need more land to use all manure available</v>
      </c>
      <c r="E33" s="34"/>
      <c r="F33" s="34"/>
      <c r="G33" s="34"/>
    </row>
    <row r="34" spans="2:7" x14ac:dyDescent="0.2">
      <c r="B34" s="51"/>
      <c r="C34" s="55" t="s">
        <v>92</v>
      </c>
      <c r="D34" s="56"/>
      <c r="E34" s="56"/>
      <c r="F34" s="56"/>
      <c r="G34" s="51"/>
    </row>
    <row r="35" spans="2:7" s="69" customFormat="1" ht="5.25" x14ac:dyDescent="0.15">
      <c r="B35" s="67"/>
      <c r="C35" s="68"/>
      <c r="D35" s="171"/>
      <c r="E35" s="67"/>
      <c r="F35" s="67"/>
      <c r="G35" s="67"/>
    </row>
    <row r="36" spans="2:7" x14ac:dyDescent="0.2">
      <c r="B36" s="35"/>
      <c r="C36" s="44" t="s">
        <v>94</v>
      </c>
      <c r="D36" s="146">
        <v>3.25</v>
      </c>
      <c r="E36" s="37"/>
      <c r="F36" s="33" t="s">
        <v>73</v>
      </c>
      <c r="G36" s="38"/>
    </row>
    <row r="37" spans="2:7" x14ac:dyDescent="0.2">
      <c r="B37" s="35"/>
      <c r="C37" s="44" t="s">
        <v>95</v>
      </c>
      <c r="D37" s="146">
        <v>11</v>
      </c>
      <c r="E37" s="37"/>
      <c r="F37" s="33" t="s">
        <v>74</v>
      </c>
      <c r="G37" s="38"/>
    </row>
    <row r="38" spans="2:7" x14ac:dyDescent="0.2">
      <c r="B38" s="35"/>
      <c r="C38" s="44" t="s">
        <v>96</v>
      </c>
      <c r="D38" s="147">
        <v>0.08</v>
      </c>
      <c r="E38" s="37"/>
      <c r="F38" s="33" t="s">
        <v>72</v>
      </c>
    </row>
    <row r="39" spans="2:7" x14ac:dyDescent="0.2">
      <c r="B39" s="35"/>
      <c r="C39" s="44" t="s">
        <v>97</v>
      </c>
      <c r="D39" s="148">
        <v>0.01</v>
      </c>
      <c r="E39" s="35"/>
      <c r="F39" s="33" t="s">
        <v>72</v>
      </c>
      <c r="G39" s="35"/>
    </row>
    <row r="40" spans="2:7" x14ac:dyDescent="0.2">
      <c r="B40" s="35"/>
      <c r="D40" s="54"/>
      <c r="E40" s="39"/>
      <c r="F40" s="39"/>
      <c r="G40" s="35"/>
    </row>
    <row r="41" spans="2:7" x14ac:dyDescent="0.2">
      <c r="B41" s="51"/>
      <c r="C41" s="55" t="s">
        <v>93</v>
      </c>
      <c r="D41" s="56"/>
      <c r="E41" s="56"/>
      <c r="F41" s="56"/>
      <c r="G41" s="51"/>
    </row>
    <row r="42" spans="2:7" s="69" customFormat="1" ht="5.25" x14ac:dyDescent="0.15">
      <c r="B42" s="67"/>
      <c r="C42" s="68"/>
      <c r="D42" s="67"/>
      <c r="E42" s="67"/>
      <c r="F42" s="67"/>
      <c r="G42" s="67"/>
    </row>
    <row r="43" spans="2:7" x14ac:dyDescent="0.2">
      <c r="B43" s="35"/>
      <c r="C43" s="44" t="s">
        <v>58</v>
      </c>
      <c r="D43" s="169">
        <f>TOTALTIME</f>
        <v>20.012588063340147</v>
      </c>
      <c r="E43" s="40"/>
      <c r="F43" s="40"/>
      <c r="G43" s="35"/>
    </row>
    <row r="44" spans="2:7" x14ac:dyDescent="0.2">
      <c r="B44" s="35"/>
      <c r="C44" s="44" t="s">
        <v>59</v>
      </c>
      <c r="D44" s="86">
        <f>TOTALCOST</f>
        <v>2584.3168330527901</v>
      </c>
      <c r="E44" s="35"/>
      <c r="F44" s="40"/>
      <c r="G44" s="35"/>
    </row>
    <row r="45" spans="2:7" x14ac:dyDescent="0.2">
      <c r="B45" s="35"/>
      <c r="C45" s="35"/>
      <c r="D45" s="35"/>
      <c r="E45" s="35"/>
      <c r="F45" s="35"/>
      <c r="G45" s="35"/>
    </row>
    <row r="46" spans="2:7" x14ac:dyDescent="0.2">
      <c r="B46" s="177"/>
      <c r="C46" s="178"/>
      <c r="D46" s="178"/>
      <c r="E46" s="178"/>
      <c r="F46" s="178"/>
      <c r="G46" s="178"/>
    </row>
    <row r="47" spans="2:7" x14ac:dyDescent="0.2">
      <c r="B47" s="35"/>
      <c r="C47" s="35"/>
      <c r="D47" s="35"/>
      <c r="E47" s="35"/>
      <c r="F47" s="35"/>
      <c r="G47" s="35"/>
    </row>
  </sheetData>
  <sheetProtection sheet="1" objects="1" scenarios="1" selectLockedCells="1"/>
  <mergeCells count="2">
    <mergeCell ref="B46:G46"/>
    <mergeCell ref="B2:G2"/>
  </mergeCells>
  <phoneticPr fontId="0" type="noConversion"/>
  <conditionalFormatting sqref="D33">
    <cfRule type="containsText" dxfId="6" priority="4" operator="containsText" text="Need more manure to spread it on all the land entered">
      <formula>NOT(ISERROR(SEARCH("Need more manure to spread it on all the land entered",D33)))</formula>
    </cfRule>
    <cfRule type="containsText" dxfId="5" priority="5" operator="containsText" text="Need more land to use all manure available">
      <formula>NOT(ISERROR(SEARCH("Need more land to use all manure available",D33)))</formula>
    </cfRule>
  </conditionalFormatting>
  <conditionalFormatting sqref="D29">
    <cfRule type="containsText" dxfId="4" priority="1" operator="containsText" text="Confirm that this discharge rate can be achieved.">
      <formula>NOT(ISERROR(SEARCH("Confirm that this discharge rate can be achieved.",D29)))</formula>
    </cfRule>
    <cfRule type="containsText" dxfId="3" priority="2" operator="containsText" text="Need more manure to spread it on all the land entered">
      <formula>NOT(ISERROR(SEARCH("Need more manure to spread it on all the land entered",D29)))</formula>
    </cfRule>
    <cfRule type="containsText" dxfId="2" priority="3" operator="containsText" text="Need more land to use all manure available">
      <formula>NOT(ISERROR(SEARCH("Need more land to use all manure available",D29)))</formula>
    </cfRule>
  </conditionalFormatting>
  <dataValidations count="1">
    <dataValidation type="list" allowBlank="1" showInputMessage="1" showErrorMessage="1" sqref="D12">
      <formula1>$J$12:$J$13</formula1>
    </dataValidation>
  </dataValidations>
  <pageMargins left="0.75" right="0.75" top="0.75" bottom="0.58599999999999997" header="0.5" footer="0.5"/>
  <pageSetup orientation="portrait" r:id="rId1"/>
  <headerFooter alignWithMargins="0">
    <oddHeader>&amp;F</oddHeader>
    <oddFooter>&amp;L&amp;D&amp;C&amp;A&amp;RInjected @5K/a</oddFooter>
  </headerFooter>
  <colBreaks count="1" manualBreakCount="1">
    <brk id="7" max="1048575" man="1"/>
  </colBreaks>
  <ignoredErrors>
    <ignoredError sqref="I12 D43:D44" unlocked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5">
    <tabColor theme="2" tint="-0.249977111117893"/>
    <pageSetUpPr fitToPage="1"/>
  </sheetPr>
  <dimension ref="B1:AS32"/>
  <sheetViews>
    <sheetView showZeros="0" defaultGridColor="0" topLeftCell="B1" colorId="22" zoomScaleNormal="100" workbookViewId="0">
      <selection activeCell="W13" sqref="W13"/>
    </sheetView>
  </sheetViews>
  <sheetFormatPr defaultColWidth="9.7109375" defaultRowHeight="12.75" x14ac:dyDescent="0.2"/>
  <cols>
    <col min="1" max="1" width="3.28515625" style="33" customWidth="1"/>
    <col min="2" max="2" width="2.28515625" style="33" customWidth="1"/>
    <col min="3" max="3" width="37.28515625" style="33" customWidth="1"/>
    <col min="4" max="4" width="13.140625" style="33" customWidth="1"/>
    <col min="5" max="5" width="10.28515625" style="33" customWidth="1"/>
    <col min="6" max="6" width="0.85546875" style="33" customWidth="1"/>
    <col min="7" max="7" width="10.28515625" style="33" customWidth="1"/>
    <col min="8" max="8" width="0.85546875" style="33" customWidth="1"/>
    <col min="9" max="9" width="10.28515625" style="33" customWidth="1"/>
    <col min="10" max="10" width="0.85546875" style="33" customWidth="1"/>
    <col min="11" max="11" width="10.28515625" style="33" customWidth="1"/>
    <col min="12" max="12" width="0.85546875" style="33" customWidth="1"/>
    <col min="13" max="13" width="10.28515625" style="33" customWidth="1"/>
    <col min="14" max="14" width="0.85546875" style="33" customWidth="1"/>
    <col min="15" max="15" width="10.28515625" style="33" customWidth="1"/>
    <col min="16" max="16" width="0.85546875" style="33" customWidth="1"/>
    <col min="17" max="17" width="10.28515625" style="33" customWidth="1"/>
    <col min="18" max="18" width="0.85546875" style="33" customWidth="1"/>
    <col min="19" max="19" width="10.28515625" style="33" customWidth="1"/>
    <col min="20" max="20" width="0.85546875" style="33" customWidth="1"/>
    <col min="21" max="21" width="10.28515625" style="33" customWidth="1"/>
    <col min="22" max="22" width="0.85546875" style="33" customWidth="1"/>
    <col min="23" max="23" width="10.28515625" style="33" customWidth="1"/>
    <col min="24" max="24" width="0.85546875" style="33" customWidth="1"/>
    <col min="25" max="25" width="10.28515625" style="33" customWidth="1"/>
    <col min="26" max="26" width="0.85546875" style="33" customWidth="1"/>
    <col min="27" max="27" width="10.28515625" style="33" customWidth="1"/>
    <col min="28" max="28" width="0.85546875" style="33" customWidth="1"/>
    <col min="29" max="29" width="10.28515625" style="33" customWidth="1"/>
    <col min="30" max="30" width="0.85546875" style="33" customWidth="1"/>
    <col min="31" max="31" width="10.28515625" style="33" customWidth="1"/>
    <col min="32" max="32" width="0.85546875" style="33" customWidth="1"/>
    <col min="33" max="33" width="10.28515625" style="33" customWidth="1"/>
    <col min="34" max="34" width="0.85546875" style="33" customWidth="1"/>
    <col min="35" max="35" width="10.28515625" style="33" customWidth="1"/>
    <col min="36" max="36" width="0.85546875" style="33" customWidth="1"/>
    <col min="37" max="37" width="10.28515625" style="33" customWidth="1"/>
    <col min="38" max="38" width="0.85546875" style="33" customWidth="1"/>
    <col min="39" max="39" width="10.28515625" style="33" customWidth="1"/>
    <col min="40" max="40" width="0.85546875" style="33" customWidth="1"/>
    <col min="41" max="41" width="10.28515625" style="33" customWidth="1"/>
    <col min="42" max="42" width="0.85546875" style="33" customWidth="1"/>
    <col min="43" max="43" width="10.28515625" style="33" customWidth="1"/>
    <col min="44" max="44" width="1.7109375" style="33" customWidth="1"/>
    <col min="45" max="45" width="3.28515625" style="33" customWidth="1"/>
    <col min="46" max="16384" width="9.7109375" style="33"/>
  </cols>
  <sheetData>
    <row r="1" spans="2:45" s="94" customFormat="1" x14ac:dyDescent="0.2">
      <c r="B1" s="93"/>
      <c r="C1" s="93"/>
      <c r="D1" s="93"/>
      <c r="E1" s="93"/>
      <c r="F1" s="93"/>
      <c r="G1" s="93"/>
      <c r="H1" s="93"/>
      <c r="I1" s="93"/>
      <c r="J1" s="93"/>
      <c r="K1" s="93"/>
      <c r="L1" s="93"/>
    </row>
    <row r="2" spans="2:45" s="94" customFormat="1" ht="20.25" x14ac:dyDescent="0.3">
      <c r="B2" s="182" t="s">
        <v>0</v>
      </c>
      <c r="C2" s="183"/>
      <c r="D2" s="183"/>
      <c r="E2" s="183"/>
      <c r="F2" s="183"/>
      <c r="G2" s="183"/>
      <c r="H2" s="183"/>
      <c r="I2" s="183"/>
      <c r="J2" s="183"/>
      <c r="K2" s="183"/>
      <c r="L2" s="183"/>
      <c r="M2" s="183"/>
      <c r="N2" s="183"/>
      <c r="O2" s="183"/>
      <c r="P2" s="183"/>
      <c r="Q2" s="183"/>
      <c r="R2" s="183"/>
      <c r="S2" s="183"/>
      <c r="T2" s="183"/>
      <c r="U2" s="183"/>
      <c r="V2" s="183"/>
      <c r="W2" s="183"/>
      <c r="X2" s="183"/>
      <c r="Y2" s="117"/>
      <c r="Z2" s="117"/>
      <c r="AA2" s="117"/>
      <c r="AB2" s="117"/>
      <c r="AC2" s="117"/>
      <c r="AD2" s="117"/>
      <c r="AE2" s="117"/>
      <c r="AF2" s="117"/>
      <c r="AG2" s="117"/>
      <c r="AH2" s="117"/>
      <c r="AI2" s="117"/>
      <c r="AJ2" s="117"/>
      <c r="AK2" s="117"/>
      <c r="AL2" s="117"/>
      <c r="AM2" s="117"/>
      <c r="AN2" s="117"/>
      <c r="AO2" s="117"/>
      <c r="AP2" s="117"/>
      <c r="AQ2" s="117"/>
      <c r="AR2" s="118"/>
    </row>
    <row r="3" spans="2:45" s="94" customFormat="1" x14ac:dyDescent="0.2">
      <c r="B3" s="93"/>
      <c r="C3" s="93"/>
      <c r="D3" s="93"/>
      <c r="E3" s="93"/>
      <c r="F3" s="93"/>
      <c r="G3" s="93"/>
      <c r="H3" s="93"/>
      <c r="I3" s="93"/>
      <c r="J3" s="93"/>
      <c r="K3" s="93"/>
      <c r="L3" s="93"/>
    </row>
    <row r="4" spans="2:45" s="94" customFormat="1" ht="12" customHeight="1" x14ac:dyDescent="0.2">
      <c r="B4" s="93"/>
      <c r="C4" s="136" t="s">
        <v>129</v>
      </c>
      <c r="D4" s="115"/>
      <c r="E4" s="115"/>
      <c r="F4" s="115"/>
      <c r="G4" s="115"/>
      <c r="H4" s="115"/>
      <c r="I4" s="115"/>
      <c r="J4" s="115"/>
      <c r="K4" s="115"/>
      <c r="L4" s="115"/>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row>
    <row r="5" spans="2:45" s="31" customFormat="1" ht="5.0999999999999996" customHeight="1" x14ac:dyDescent="0.15">
      <c r="B5" s="97"/>
      <c r="C5" s="97"/>
      <c r="D5" s="97"/>
      <c r="E5" s="97"/>
      <c r="F5" s="97"/>
      <c r="G5" s="97"/>
      <c r="H5" s="97"/>
      <c r="I5" s="97"/>
      <c r="J5" s="97"/>
      <c r="K5" s="97"/>
      <c r="L5" s="97"/>
    </row>
    <row r="6" spans="2:45" x14ac:dyDescent="0.2">
      <c r="E6" s="105" t="s">
        <v>142</v>
      </c>
      <c r="I6" s="33">
        <f>SUMPRODUCT(E11:AQ11,E13:AQ13)</f>
        <v>960</v>
      </c>
      <c r="K6" s="33" t="str">
        <f>Input!F31</f>
        <v>1,000 gallons</v>
      </c>
    </row>
    <row r="7" spans="2:45" ht="17.45" customHeight="1" x14ac:dyDescent="0.2">
      <c r="E7" s="122" t="s">
        <v>143</v>
      </c>
      <c r="I7" s="163">
        <f>TOTALTONS1</f>
        <v>960</v>
      </c>
      <c r="J7" s="163"/>
      <c r="K7" s="163" t="str">
        <f>Input!F31</f>
        <v>1,000 gallons</v>
      </c>
    </row>
    <row r="8" spans="2:45" ht="17.45" customHeight="1" x14ac:dyDescent="0.2">
      <c r="D8" s="78" t="s">
        <v>14</v>
      </c>
      <c r="E8" s="162" t="b">
        <f>IF(I6&lt;TOTALTONS1,"Not all manure has been applied. Need more fields.",IF(I6&gt;TOTALTONS1,"More fields received manure than is available.  Reduce the acreage in fields."))</f>
        <v>0</v>
      </c>
    </row>
    <row r="9" spans="2:45" x14ac:dyDescent="0.2">
      <c r="C9" s="33" t="s">
        <v>100</v>
      </c>
      <c r="E9" s="144" t="s">
        <v>138</v>
      </c>
      <c r="F9" s="149"/>
      <c r="G9" s="144" t="s">
        <v>139</v>
      </c>
      <c r="H9" s="149"/>
      <c r="I9" s="144" t="s">
        <v>140</v>
      </c>
      <c r="J9" s="149"/>
      <c r="K9" s="144" t="s">
        <v>141</v>
      </c>
      <c r="L9" s="149"/>
      <c r="M9" s="144" t="s">
        <v>149</v>
      </c>
      <c r="N9" s="149"/>
      <c r="O9" s="144"/>
      <c r="P9" s="149"/>
      <c r="Q9" s="144"/>
      <c r="R9" s="149"/>
      <c r="S9" s="144"/>
      <c r="T9" s="149"/>
      <c r="U9" s="144"/>
      <c r="V9" s="149"/>
      <c r="W9" s="144"/>
      <c r="X9" s="149"/>
      <c r="Y9" s="144"/>
      <c r="Z9" s="149"/>
      <c r="AA9" s="144"/>
      <c r="AB9" s="149"/>
      <c r="AC9" s="144"/>
      <c r="AD9" s="149"/>
      <c r="AE9" s="144"/>
      <c r="AF9" s="149"/>
      <c r="AG9" s="144"/>
      <c r="AH9" s="149"/>
      <c r="AI9" s="144"/>
      <c r="AJ9" s="149"/>
      <c r="AK9" s="144"/>
      <c r="AL9" s="149"/>
      <c r="AM9" s="144"/>
      <c r="AN9" s="149"/>
      <c r="AO9" s="144"/>
      <c r="AP9" s="149"/>
      <c r="AQ9" s="144"/>
      <c r="AR9" s="77"/>
    </row>
    <row r="10" spans="2:45" x14ac:dyDescent="0.2">
      <c r="C10" s="87" t="s">
        <v>101</v>
      </c>
      <c r="D10" s="78"/>
      <c r="E10" s="78">
        <v>1</v>
      </c>
      <c r="F10" s="78"/>
      <c r="G10" s="78">
        <v>2</v>
      </c>
      <c r="H10" s="78"/>
      <c r="I10" s="78">
        <v>3</v>
      </c>
      <c r="J10" s="78"/>
      <c r="K10" s="78">
        <v>4</v>
      </c>
      <c r="L10" s="78"/>
      <c r="M10" s="78">
        <v>5</v>
      </c>
      <c r="N10" s="78"/>
      <c r="O10" s="78">
        <v>6</v>
      </c>
      <c r="P10" s="78"/>
      <c r="Q10" s="78">
        <v>7</v>
      </c>
      <c r="R10" s="78"/>
      <c r="S10" s="78">
        <v>8</v>
      </c>
      <c r="T10" s="78"/>
      <c r="U10" s="78">
        <v>9</v>
      </c>
      <c r="V10" s="78"/>
      <c r="W10" s="78">
        <v>10</v>
      </c>
      <c r="X10" s="78"/>
      <c r="Y10" s="78">
        <v>11</v>
      </c>
      <c r="Z10" s="78"/>
      <c r="AA10" s="78">
        <v>12</v>
      </c>
      <c r="AB10" s="78"/>
      <c r="AC10" s="78">
        <v>13</v>
      </c>
      <c r="AD10" s="78"/>
      <c r="AE10" s="78">
        <v>14</v>
      </c>
      <c r="AF10" s="78"/>
      <c r="AG10" s="78">
        <v>15</v>
      </c>
      <c r="AH10" s="78"/>
      <c r="AI10" s="78">
        <v>16</v>
      </c>
      <c r="AJ10" s="78"/>
      <c r="AK10" s="78">
        <v>17</v>
      </c>
      <c r="AL10" s="78"/>
      <c r="AM10" s="78">
        <v>18</v>
      </c>
      <c r="AN10" s="78"/>
      <c r="AO10" s="78">
        <v>19</v>
      </c>
      <c r="AP10" s="78"/>
      <c r="AQ10" s="78">
        <v>20</v>
      </c>
      <c r="AR10" s="78"/>
    </row>
    <row r="11" spans="2:45" x14ac:dyDescent="0.2">
      <c r="C11" s="87" t="s">
        <v>99</v>
      </c>
      <c r="D11" s="142">
        <f>SUM(E11:AQ11)</f>
        <v>192</v>
      </c>
      <c r="E11" s="64">
        <v>40</v>
      </c>
      <c r="F11" s="150"/>
      <c r="G11" s="64">
        <v>40</v>
      </c>
      <c r="H11" s="150">
        <v>0</v>
      </c>
      <c r="I11" s="64">
        <v>40</v>
      </c>
      <c r="J11" s="150"/>
      <c r="K11" s="64">
        <v>40</v>
      </c>
      <c r="L11" s="150"/>
      <c r="M11" s="64">
        <v>32</v>
      </c>
      <c r="N11" s="150"/>
      <c r="O11" s="64"/>
      <c r="P11" s="150"/>
      <c r="Q11" s="64"/>
      <c r="R11" s="150"/>
      <c r="S11" s="64"/>
      <c r="T11" s="150"/>
      <c r="U11" s="64"/>
      <c r="V11" s="150"/>
      <c r="W11" s="64"/>
      <c r="X11" s="150"/>
      <c r="Y11" s="64"/>
      <c r="Z11" s="150"/>
      <c r="AA11" s="64"/>
      <c r="AB11" s="150"/>
      <c r="AC11" s="64"/>
      <c r="AD11" s="150"/>
      <c r="AE11" s="64"/>
      <c r="AF11" s="150"/>
      <c r="AG11" s="64"/>
      <c r="AH11" s="150"/>
      <c r="AI11" s="64"/>
      <c r="AJ11" s="150"/>
      <c r="AK11" s="64"/>
      <c r="AL11" s="150"/>
      <c r="AM11" s="64"/>
      <c r="AN11" s="150"/>
      <c r="AO11" s="64"/>
      <c r="AP11" s="150"/>
      <c r="AQ11" s="64"/>
      <c r="AR11" s="79"/>
    </row>
    <row r="12" spans="2:45" x14ac:dyDescent="0.2">
      <c r="C12" s="80" t="s">
        <v>112</v>
      </c>
      <c r="D12" s="139"/>
      <c r="E12" s="62">
        <v>0.5</v>
      </c>
      <c r="F12" s="150"/>
      <c r="G12" s="62">
        <v>0.5</v>
      </c>
      <c r="H12" s="150">
        <v>0</v>
      </c>
      <c r="I12" s="62">
        <v>1</v>
      </c>
      <c r="J12" s="150"/>
      <c r="K12" s="62">
        <v>0.75</v>
      </c>
      <c r="L12" s="150"/>
      <c r="M12" s="62">
        <v>1</v>
      </c>
      <c r="N12" s="150"/>
      <c r="O12" s="62"/>
      <c r="P12" s="150"/>
      <c r="Q12" s="62"/>
      <c r="R12" s="150"/>
      <c r="S12" s="62"/>
      <c r="T12" s="150"/>
      <c r="U12" s="62"/>
      <c r="V12" s="150"/>
      <c r="W12" s="62"/>
      <c r="X12" s="150"/>
      <c r="Y12" s="62"/>
      <c r="Z12" s="150"/>
      <c r="AA12" s="62"/>
      <c r="AB12" s="150"/>
      <c r="AC12" s="62"/>
      <c r="AD12" s="150"/>
      <c r="AE12" s="62"/>
      <c r="AF12" s="150"/>
      <c r="AG12" s="62"/>
      <c r="AH12" s="150"/>
      <c r="AI12" s="62"/>
      <c r="AJ12" s="150"/>
      <c r="AK12" s="62"/>
      <c r="AL12" s="150"/>
      <c r="AM12" s="62"/>
      <c r="AN12" s="150"/>
      <c r="AO12" s="62"/>
      <c r="AP12" s="150"/>
      <c r="AQ12" s="62"/>
      <c r="AR12" s="79"/>
    </row>
    <row r="13" spans="2:45" x14ac:dyDescent="0.2">
      <c r="C13" s="80" t="str">
        <f>CONCATENATE("Manure application rate ", IF(Input!$I$12=1,"(tons applied)",IF(Input!$I$12=2,"(1,000 gallons applied)",#VALUE!)))</f>
        <v>Manure application rate (1,000 gallons applied)</v>
      </c>
      <c r="D13" s="139"/>
      <c r="E13" s="62">
        <v>5</v>
      </c>
      <c r="F13" s="150"/>
      <c r="G13" s="62">
        <v>5</v>
      </c>
      <c r="H13" s="150">
        <v>0</v>
      </c>
      <c r="I13" s="62">
        <v>5</v>
      </c>
      <c r="J13" s="150"/>
      <c r="K13" s="62">
        <v>5</v>
      </c>
      <c r="L13" s="150"/>
      <c r="M13" s="62">
        <v>5</v>
      </c>
      <c r="N13" s="150"/>
      <c r="O13" s="62"/>
      <c r="P13" s="150"/>
      <c r="Q13" s="62"/>
      <c r="R13" s="150"/>
      <c r="S13" s="62"/>
      <c r="T13" s="150"/>
      <c r="U13" s="62"/>
      <c r="V13" s="150"/>
      <c r="W13" s="62"/>
      <c r="X13" s="150"/>
      <c r="Y13" s="62"/>
      <c r="Z13" s="150"/>
      <c r="AA13" s="62"/>
      <c r="AB13" s="150"/>
      <c r="AC13" s="62"/>
      <c r="AD13" s="150"/>
      <c r="AE13" s="62"/>
      <c r="AF13" s="150"/>
      <c r="AG13" s="62"/>
      <c r="AH13" s="150"/>
      <c r="AI13" s="62"/>
      <c r="AJ13" s="150"/>
      <c r="AK13" s="62"/>
      <c r="AL13" s="150"/>
      <c r="AM13" s="62"/>
      <c r="AN13" s="150"/>
      <c r="AO13" s="62"/>
      <c r="AP13" s="150"/>
      <c r="AQ13" s="62"/>
      <c r="AR13" s="79"/>
    </row>
    <row r="14" spans="2:45" x14ac:dyDescent="0.2">
      <c r="C14" s="80"/>
      <c r="D14" s="91"/>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81"/>
      <c r="AS14" s="81"/>
    </row>
    <row r="15" spans="2:45" x14ac:dyDescent="0.2">
      <c r="C15" s="41" t="s">
        <v>103</v>
      </c>
      <c r="D15" s="92">
        <f t="shared" ref="D15:D27" si="0">SUM(E15:AQ15)</f>
        <v>14883.673500000001</v>
      </c>
      <c r="E15" s="86">
        <v>2970.0736999999999</v>
      </c>
      <c r="F15" s="83"/>
      <c r="G15" s="86">
        <v>2970.0736999999999</v>
      </c>
      <c r="H15" s="83"/>
      <c r="I15" s="86">
        <v>3249.4483</v>
      </c>
      <c r="J15" s="83"/>
      <c r="K15" s="86">
        <v>3109.761</v>
      </c>
      <c r="L15" s="83"/>
      <c r="M15" s="86">
        <v>2584.3168000000001</v>
      </c>
      <c r="N15" s="83"/>
      <c r="O15" s="86"/>
      <c r="P15" s="83"/>
      <c r="Q15" s="86"/>
      <c r="R15" s="83"/>
      <c r="S15" s="86"/>
      <c r="T15" s="83"/>
      <c r="U15" s="86"/>
      <c r="V15" s="83"/>
      <c r="W15" s="86"/>
      <c r="X15" s="83"/>
      <c r="Y15" s="86"/>
      <c r="Z15" s="83"/>
      <c r="AA15" s="86"/>
      <c r="AB15" s="83"/>
      <c r="AC15" s="86"/>
      <c r="AD15" s="83"/>
      <c r="AE15" s="86"/>
      <c r="AF15" s="83"/>
      <c r="AG15" s="86"/>
      <c r="AH15" s="83"/>
      <c r="AI15" s="86"/>
      <c r="AJ15" s="83"/>
      <c r="AK15" s="86"/>
      <c r="AL15" s="83"/>
      <c r="AM15" s="86"/>
      <c r="AN15" s="83"/>
      <c r="AO15" s="86"/>
      <c r="AP15" s="83"/>
      <c r="AQ15" s="86"/>
      <c r="AR15" s="83"/>
      <c r="AS15" s="82"/>
    </row>
    <row r="16" spans="2:45" x14ac:dyDescent="0.2">
      <c r="C16" s="44" t="s">
        <v>104</v>
      </c>
      <c r="D16" s="92">
        <f t="shared" si="0"/>
        <v>4218.5570000000007</v>
      </c>
      <c r="E16" s="86">
        <v>744.99900000000002</v>
      </c>
      <c r="F16" s="83"/>
      <c r="G16" s="86">
        <v>744.99900000000002</v>
      </c>
      <c r="H16" s="83"/>
      <c r="I16" s="86">
        <v>1024.3737000000001</v>
      </c>
      <c r="J16" s="83"/>
      <c r="K16" s="86">
        <v>884.68640000000005</v>
      </c>
      <c r="L16" s="83"/>
      <c r="M16" s="86">
        <v>819.49890000000005</v>
      </c>
      <c r="N16" s="83"/>
      <c r="O16" s="86"/>
      <c r="P16" s="83"/>
      <c r="Q16" s="86"/>
      <c r="R16" s="83"/>
      <c r="S16" s="86"/>
      <c r="T16" s="83"/>
      <c r="U16" s="86"/>
      <c r="V16" s="83"/>
      <c r="W16" s="86"/>
      <c r="X16" s="83"/>
      <c r="Y16" s="86"/>
      <c r="Z16" s="83"/>
      <c r="AA16" s="86"/>
      <c r="AB16" s="83"/>
      <c r="AC16" s="86"/>
      <c r="AD16" s="83"/>
      <c r="AE16" s="86"/>
      <c r="AF16" s="83"/>
      <c r="AG16" s="86"/>
      <c r="AH16" s="83"/>
      <c r="AI16" s="86"/>
      <c r="AJ16" s="83"/>
      <c r="AK16" s="86"/>
      <c r="AL16" s="83"/>
      <c r="AM16" s="86"/>
      <c r="AN16" s="83"/>
      <c r="AO16" s="86"/>
      <c r="AP16" s="83"/>
      <c r="AQ16" s="86"/>
      <c r="AR16" s="83"/>
    </row>
    <row r="17" spans="2:45" x14ac:dyDescent="0.2">
      <c r="C17" s="44" t="s">
        <v>105</v>
      </c>
      <c r="D17" s="92">
        <f t="shared" si="0"/>
        <v>10665.1163</v>
      </c>
      <c r="E17" s="86">
        <v>2225.0745999999999</v>
      </c>
      <c r="F17" s="83"/>
      <c r="G17" s="86">
        <v>2225.0745999999999</v>
      </c>
      <c r="H17" s="83"/>
      <c r="I17" s="86">
        <v>2225.0745999999999</v>
      </c>
      <c r="J17" s="83"/>
      <c r="K17" s="86">
        <v>2225.0745999999999</v>
      </c>
      <c r="L17" s="83"/>
      <c r="M17" s="86">
        <v>1764.8179</v>
      </c>
      <c r="N17" s="83"/>
      <c r="O17" s="86"/>
      <c r="P17" s="83"/>
      <c r="Q17" s="86"/>
      <c r="R17" s="83"/>
      <c r="S17" s="86"/>
      <c r="T17" s="83"/>
      <c r="U17" s="86"/>
      <c r="V17" s="83"/>
      <c r="W17" s="86"/>
      <c r="X17" s="83"/>
      <c r="Y17" s="86"/>
      <c r="Z17" s="83"/>
      <c r="AA17" s="86"/>
      <c r="AB17" s="83"/>
      <c r="AC17" s="86"/>
      <c r="AD17" s="83"/>
      <c r="AE17" s="86"/>
      <c r="AF17" s="83"/>
      <c r="AG17" s="86"/>
      <c r="AH17" s="83"/>
      <c r="AI17" s="86"/>
      <c r="AJ17" s="83"/>
      <c r="AK17" s="86"/>
      <c r="AL17" s="83"/>
      <c r="AM17" s="86"/>
      <c r="AN17" s="83"/>
      <c r="AO17" s="86"/>
      <c r="AP17" s="83"/>
      <c r="AQ17" s="86"/>
      <c r="AR17" s="83"/>
    </row>
    <row r="18" spans="2:45" x14ac:dyDescent="0.2">
      <c r="C18" s="44"/>
      <c r="D18" s="92"/>
      <c r="E18" s="86"/>
      <c r="F18" s="83"/>
      <c r="G18" s="86"/>
      <c r="H18" s="83"/>
      <c r="I18" s="86"/>
      <c r="J18" s="83"/>
      <c r="K18" s="86"/>
      <c r="L18" s="83"/>
      <c r="M18" s="86"/>
      <c r="N18" s="83"/>
      <c r="O18" s="86"/>
      <c r="P18" s="83"/>
      <c r="Q18" s="86"/>
      <c r="R18" s="83"/>
      <c r="S18" s="86"/>
      <c r="T18" s="83"/>
      <c r="U18" s="86"/>
      <c r="V18" s="83"/>
      <c r="W18" s="86"/>
      <c r="X18" s="83"/>
      <c r="Y18" s="86"/>
      <c r="Z18" s="83"/>
      <c r="AA18" s="86"/>
      <c r="AB18" s="83"/>
      <c r="AC18" s="86"/>
      <c r="AD18" s="83"/>
      <c r="AE18" s="86"/>
      <c r="AF18" s="83"/>
      <c r="AG18" s="86"/>
      <c r="AH18" s="83"/>
      <c r="AI18" s="86"/>
      <c r="AJ18" s="83"/>
      <c r="AK18" s="86"/>
      <c r="AL18" s="83"/>
      <c r="AM18" s="86"/>
      <c r="AN18" s="83"/>
      <c r="AO18" s="86"/>
      <c r="AP18" s="83"/>
      <c r="AQ18" s="86"/>
      <c r="AR18" s="83"/>
    </row>
    <row r="19" spans="2:45" x14ac:dyDescent="0.2">
      <c r="C19" s="80" t="s">
        <v>102</v>
      </c>
      <c r="D19" s="141">
        <f>SUM(E19:AQ19)</f>
        <v>112.65147695222903</v>
      </c>
      <c r="E19" s="88">
        <v>21.909722222222221</v>
      </c>
      <c r="F19" s="90"/>
      <c r="G19" s="88">
        <v>21.909722222222221</v>
      </c>
      <c r="H19" s="90"/>
      <c r="I19" s="88">
        <v>25.243055555555554</v>
      </c>
      <c r="J19" s="90"/>
      <c r="K19" s="90">
        <v>23.576388888888889</v>
      </c>
      <c r="L19" s="90"/>
      <c r="M19" s="90">
        <v>20.012588063340147</v>
      </c>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81"/>
      <c r="AS19" s="81"/>
    </row>
    <row r="20" spans="2:45" x14ac:dyDescent="0.2">
      <c r="C20" s="44" t="s">
        <v>106</v>
      </c>
      <c r="D20" s="141">
        <f t="shared" si="0"/>
        <v>26.666666666666664</v>
      </c>
      <c r="E20" s="88">
        <v>5.5555555555555554</v>
      </c>
      <c r="F20" s="84"/>
      <c r="G20" s="88">
        <v>5.5555555555555554</v>
      </c>
      <c r="H20" s="84"/>
      <c r="I20" s="88">
        <v>5.5555555555555554</v>
      </c>
      <c r="J20" s="84"/>
      <c r="K20" s="88">
        <v>5.5555555555555554</v>
      </c>
      <c r="L20" s="84"/>
      <c r="M20" s="88">
        <v>4.4444444444444446</v>
      </c>
      <c r="N20" s="84"/>
      <c r="O20" s="88"/>
      <c r="P20" s="84"/>
      <c r="Q20" s="88"/>
      <c r="R20" s="84"/>
      <c r="S20" s="88"/>
      <c r="T20" s="84"/>
      <c r="U20" s="88"/>
      <c r="V20" s="84"/>
      <c r="W20" s="88"/>
      <c r="X20" s="84"/>
      <c r="Y20" s="88"/>
      <c r="Z20" s="84"/>
      <c r="AA20" s="88"/>
      <c r="AB20" s="84"/>
      <c r="AC20" s="88"/>
      <c r="AD20" s="84"/>
      <c r="AE20" s="88"/>
      <c r="AF20" s="84"/>
      <c r="AG20" s="88"/>
      <c r="AH20" s="84"/>
      <c r="AI20" s="88"/>
      <c r="AJ20" s="84"/>
      <c r="AK20" s="88"/>
      <c r="AL20" s="84"/>
      <c r="AM20" s="88"/>
      <c r="AN20" s="84"/>
      <c r="AO20" s="88"/>
      <c r="AP20" s="84"/>
      <c r="AQ20" s="88"/>
      <c r="AR20" s="84"/>
    </row>
    <row r="21" spans="2:45" x14ac:dyDescent="0.2">
      <c r="C21" s="137" t="s">
        <v>107</v>
      </c>
      <c r="D21" s="141">
        <f t="shared" si="0"/>
        <v>23.666666666666664</v>
      </c>
      <c r="E21" s="88">
        <v>3.333333333333333</v>
      </c>
      <c r="F21" s="84"/>
      <c r="G21" s="88">
        <v>3.333333333333333</v>
      </c>
      <c r="H21" s="84"/>
      <c r="I21" s="88">
        <v>6.6666666666666661</v>
      </c>
      <c r="J21" s="84"/>
      <c r="K21" s="88">
        <v>5</v>
      </c>
      <c r="L21" s="84"/>
      <c r="M21" s="88">
        <v>5.333333333333333</v>
      </c>
      <c r="N21" s="84"/>
      <c r="O21" s="88"/>
      <c r="P21" s="84"/>
      <c r="Q21" s="88"/>
      <c r="R21" s="84"/>
      <c r="S21" s="88"/>
      <c r="T21" s="84"/>
      <c r="U21" s="88"/>
      <c r="V21" s="84"/>
      <c r="W21" s="88"/>
      <c r="X21" s="84"/>
      <c r="Y21" s="88"/>
      <c r="Z21" s="84"/>
      <c r="AA21" s="88"/>
      <c r="AB21" s="84"/>
      <c r="AC21" s="88"/>
      <c r="AD21" s="84"/>
      <c r="AE21" s="88"/>
      <c r="AF21" s="84"/>
      <c r="AG21" s="88"/>
      <c r="AH21" s="84"/>
      <c r="AI21" s="88"/>
      <c r="AJ21" s="84"/>
      <c r="AK21" s="88"/>
      <c r="AL21" s="84"/>
      <c r="AM21" s="88"/>
      <c r="AN21" s="84"/>
      <c r="AO21" s="88"/>
      <c r="AP21" s="84"/>
      <c r="AQ21" s="88"/>
      <c r="AR21" s="84"/>
      <c r="AS21" s="80"/>
    </row>
    <row r="22" spans="2:45" x14ac:dyDescent="0.2">
      <c r="C22" s="137" t="s">
        <v>108</v>
      </c>
      <c r="D22" s="141">
        <f t="shared" si="0"/>
        <v>9.5181436188956976</v>
      </c>
      <c r="E22" s="88">
        <v>2.020833333333333</v>
      </c>
      <c r="F22" s="84"/>
      <c r="G22" s="88">
        <v>2.020833333333333</v>
      </c>
      <c r="H22" s="84"/>
      <c r="I22" s="88">
        <v>2.020833333333333</v>
      </c>
      <c r="J22" s="84"/>
      <c r="K22" s="88">
        <v>2.020833333333333</v>
      </c>
      <c r="L22" s="84"/>
      <c r="M22" s="88">
        <v>1.4348102855623652</v>
      </c>
      <c r="N22" s="84"/>
      <c r="O22" s="88"/>
      <c r="P22" s="84"/>
      <c r="Q22" s="88"/>
      <c r="R22" s="84"/>
      <c r="S22" s="88"/>
      <c r="T22" s="84"/>
      <c r="U22" s="88"/>
      <c r="V22" s="84"/>
      <c r="W22" s="88"/>
      <c r="X22" s="84"/>
      <c r="Y22" s="88"/>
      <c r="Z22" s="84"/>
      <c r="AA22" s="88"/>
      <c r="AB22" s="84"/>
      <c r="AC22" s="88"/>
      <c r="AD22" s="84"/>
      <c r="AE22" s="88"/>
      <c r="AF22" s="84"/>
      <c r="AG22" s="88"/>
      <c r="AH22" s="84"/>
      <c r="AI22" s="88"/>
      <c r="AJ22" s="84"/>
      <c r="AK22" s="88"/>
      <c r="AL22" s="84"/>
      <c r="AM22" s="88"/>
      <c r="AN22" s="84"/>
      <c r="AO22" s="88"/>
      <c r="AP22" s="84"/>
      <c r="AQ22" s="88"/>
      <c r="AR22" s="84"/>
    </row>
    <row r="23" spans="2:45" x14ac:dyDescent="0.2">
      <c r="C23" s="137" t="s">
        <v>109</v>
      </c>
      <c r="D23" s="141">
        <f t="shared" si="0"/>
        <v>52.8</v>
      </c>
      <c r="E23" s="88">
        <v>11</v>
      </c>
      <c r="F23" s="84"/>
      <c r="G23" s="88">
        <v>11</v>
      </c>
      <c r="H23" s="84"/>
      <c r="I23" s="88">
        <v>11</v>
      </c>
      <c r="J23" s="84"/>
      <c r="K23" s="88">
        <v>11</v>
      </c>
      <c r="L23" s="84"/>
      <c r="M23" s="88">
        <v>8.8000000000000007</v>
      </c>
      <c r="N23" s="84"/>
      <c r="O23" s="88"/>
      <c r="P23" s="84"/>
      <c r="Q23" s="88"/>
      <c r="R23" s="84"/>
      <c r="S23" s="88"/>
      <c r="T23" s="84"/>
      <c r="U23" s="88"/>
      <c r="V23" s="84"/>
      <c r="W23" s="88"/>
      <c r="X23" s="84"/>
      <c r="Y23" s="88"/>
      <c r="Z23" s="84"/>
      <c r="AA23" s="88"/>
      <c r="AB23" s="84"/>
      <c r="AC23" s="88"/>
      <c r="AD23" s="84"/>
      <c r="AE23" s="88"/>
      <c r="AF23" s="84"/>
      <c r="AG23" s="88"/>
      <c r="AH23" s="84"/>
      <c r="AI23" s="88"/>
      <c r="AJ23" s="84"/>
      <c r="AK23" s="88"/>
      <c r="AL23" s="84"/>
      <c r="AM23" s="88"/>
      <c r="AN23" s="84"/>
      <c r="AO23" s="88"/>
      <c r="AP23" s="84"/>
      <c r="AQ23" s="88"/>
      <c r="AR23" s="84"/>
    </row>
    <row r="24" spans="2:45" x14ac:dyDescent="0.2">
      <c r="C24" s="85"/>
      <c r="D24" s="91"/>
      <c r="E24" s="88"/>
      <c r="F24" s="84"/>
      <c r="G24" s="88"/>
      <c r="H24" s="84"/>
      <c r="I24" s="88"/>
      <c r="J24" s="84"/>
      <c r="K24" s="88"/>
      <c r="L24" s="84"/>
      <c r="M24" s="88"/>
      <c r="N24" s="84"/>
      <c r="O24" s="88"/>
      <c r="P24" s="84"/>
      <c r="Q24" s="88"/>
      <c r="R24" s="84"/>
      <c r="S24" s="88"/>
      <c r="T24" s="84"/>
      <c r="U24" s="88"/>
      <c r="V24" s="84"/>
      <c r="W24" s="88"/>
      <c r="X24" s="84"/>
      <c r="Y24" s="88"/>
      <c r="Z24" s="84"/>
      <c r="AA24" s="88"/>
      <c r="AB24" s="84"/>
      <c r="AC24" s="88"/>
      <c r="AD24" s="84"/>
      <c r="AE24" s="88"/>
      <c r="AF24" s="84"/>
      <c r="AG24" s="88"/>
      <c r="AH24" s="84"/>
      <c r="AI24" s="88"/>
      <c r="AJ24" s="84"/>
      <c r="AK24" s="88"/>
      <c r="AL24" s="84"/>
      <c r="AM24" s="88"/>
      <c r="AN24" s="84"/>
      <c r="AO24" s="88"/>
      <c r="AP24" s="84"/>
      <c r="AQ24" s="88"/>
      <c r="AR24" s="84"/>
    </row>
    <row r="25" spans="2:45" x14ac:dyDescent="0.2">
      <c r="C25" s="80" t="s">
        <v>110</v>
      </c>
      <c r="D25" s="141">
        <f t="shared" si="0"/>
        <v>118.33333333333334</v>
      </c>
      <c r="E25" s="88">
        <f>E12*E11*E13/SCAPACITY1</f>
        <v>16.666666666666668</v>
      </c>
      <c r="F25" s="84"/>
      <c r="G25" s="88">
        <f t="shared" ref="G25:AQ25" si="1">G12*G11*G13/SCAPACITY1</f>
        <v>16.666666666666668</v>
      </c>
      <c r="H25" s="84"/>
      <c r="I25" s="88">
        <f t="shared" si="1"/>
        <v>33.333333333333336</v>
      </c>
      <c r="J25" s="84"/>
      <c r="K25" s="88">
        <f t="shared" si="1"/>
        <v>25</v>
      </c>
      <c r="L25" s="84"/>
      <c r="M25" s="88">
        <f t="shared" si="1"/>
        <v>26.666666666666668</v>
      </c>
      <c r="N25" s="84"/>
      <c r="O25" s="88">
        <f t="shared" si="1"/>
        <v>0</v>
      </c>
      <c r="P25" s="84"/>
      <c r="Q25" s="88">
        <f t="shared" si="1"/>
        <v>0</v>
      </c>
      <c r="R25" s="84"/>
      <c r="S25" s="88">
        <f t="shared" si="1"/>
        <v>0</v>
      </c>
      <c r="T25" s="84"/>
      <c r="U25" s="88">
        <f t="shared" si="1"/>
        <v>0</v>
      </c>
      <c r="V25" s="84"/>
      <c r="W25" s="88">
        <f t="shared" si="1"/>
        <v>0</v>
      </c>
      <c r="X25" s="84"/>
      <c r="Y25" s="88">
        <f t="shared" si="1"/>
        <v>0</v>
      </c>
      <c r="Z25" s="84"/>
      <c r="AA25" s="88">
        <f t="shared" si="1"/>
        <v>0</v>
      </c>
      <c r="AB25" s="84"/>
      <c r="AC25" s="88">
        <f t="shared" si="1"/>
        <v>0</v>
      </c>
      <c r="AD25" s="84"/>
      <c r="AE25" s="88">
        <f t="shared" si="1"/>
        <v>0</v>
      </c>
      <c r="AF25" s="84"/>
      <c r="AG25" s="88">
        <f t="shared" si="1"/>
        <v>0</v>
      </c>
      <c r="AH25" s="84"/>
      <c r="AI25" s="88">
        <f t="shared" si="1"/>
        <v>0</v>
      </c>
      <c r="AJ25" s="84"/>
      <c r="AK25" s="88">
        <f t="shared" si="1"/>
        <v>0</v>
      </c>
      <c r="AL25" s="84"/>
      <c r="AM25" s="88">
        <f t="shared" si="1"/>
        <v>0</v>
      </c>
      <c r="AN25" s="84"/>
      <c r="AO25" s="88">
        <f t="shared" si="1"/>
        <v>0</v>
      </c>
      <c r="AP25" s="84"/>
      <c r="AQ25" s="88">
        <f t="shared" si="1"/>
        <v>0</v>
      </c>
      <c r="AR25" s="84"/>
    </row>
    <row r="26" spans="2:45" x14ac:dyDescent="0.2">
      <c r="C26" s="80" t="s">
        <v>111</v>
      </c>
      <c r="D26" s="141">
        <f t="shared" si="0"/>
        <v>236.66666666666669</v>
      </c>
      <c r="E26" s="88">
        <f t="shared" ref="E26:AQ26" si="2">E25*2</f>
        <v>33.333333333333336</v>
      </c>
      <c r="F26" s="84"/>
      <c r="G26" s="88">
        <f t="shared" si="2"/>
        <v>33.333333333333336</v>
      </c>
      <c r="H26" s="84"/>
      <c r="I26" s="88">
        <f t="shared" si="2"/>
        <v>66.666666666666671</v>
      </c>
      <c r="J26" s="84"/>
      <c r="K26" s="88">
        <f t="shared" si="2"/>
        <v>50</v>
      </c>
      <c r="L26" s="84"/>
      <c r="M26" s="88">
        <f t="shared" si="2"/>
        <v>53.333333333333336</v>
      </c>
      <c r="N26" s="84"/>
      <c r="O26" s="88">
        <f t="shared" si="2"/>
        <v>0</v>
      </c>
      <c r="P26" s="84"/>
      <c r="Q26" s="88">
        <f t="shared" si="2"/>
        <v>0</v>
      </c>
      <c r="R26" s="84"/>
      <c r="S26" s="88">
        <f t="shared" si="2"/>
        <v>0</v>
      </c>
      <c r="T26" s="84"/>
      <c r="U26" s="88">
        <f t="shared" si="2"/>
        <v>0</v>
      </c>
      <c r="V26" s="84"/>
      <c r="W26" s="88">
        <f t="shared" si="2"/>
        <v>0</v>
      </c>
      <c r="X26" s="84"/>
      <c r="Y26" s="88">
        <f t="shared" si="2"/>
        <v>0</v>
      </c>
      <c r="Z26" s="84"/>
      <c r="AA26" s="88">
        <f t="shared" si="2"/>
        <v>0</v>
      </c>
      <c r="AB26" s="84"/>
      <c r="AC26" s="88">
        <f t="shared" si="2"/>
        <v>0</v>
      </c>
      <c r="AD26" s="84"/>
      <c r="AE26" s="88">
        <f t="shared" si="2"/>
        <v>0</v>
      </c>
      <c r="AF26" s="84"/>
      <c r="AG26" s="88">
        <f t="shared" si="2"/>
        <v>0</v>
      </c>
      <c r="AH26" s="84"/>
      <c r="AI26" s="88">
        <f t="shared" si="2"/>
        <v>0</v>
      </c>
      <c r="AJ26" s="84"/>
      <c r="AK26" s="88">
        <f t="shared" si="2"/>
        <v>0</v>
      </c>
      <c r="AL26" s="84"/>
      <c r="AM26" s="88">
        <f t="shared" si="2"/>
        <v>0</v>
      </c>
      <c r="AN26" s="84"/>
      <c r="AO26" s="88">
        <f t="shared" si="2"/>
        <v>0</v>
      </c>
      <c r="AP26" s="84"/>
      <c r="AQ26" s="88">
        <f t="shared" si="2"/>
        <v>0</v>
      </c>
      <c r="AR26" s="84"/>
    </row>
    <row r="27" spans="2:45" x14ac:dyDescent="0.2">
      <c r="C27" s="33" t="s">
        <v>60</v>
      </c>
      <c r="D27" s="141">
        <f t="shared" si="0"/>
        <v>160</v>
      </c>
      <c r="E27" s="88">
        <f t="shared" ref="E27:AQ27" si="3">E11*E13/SCAPACITY1</f>
        <v>33.333333333333336</v>
      </c>
      <c r="F27" s="84"/>
      <c r="G27" s="88">
        <f t="shared" si="3"/>
        <v>33.333333333333336</v>
      </c>
      <c r="H27" s="84"/>
      <c r="I27" s="88">
        <f t="shared" si="3"/>
        <v>33.333333333333336</v>
      </c>
      <c r="J27" s="84"/>
      <c r="K27" s="88">
        <f t="shared" si="3"/>
        <v>33.333333333333336</v>
      </c>
      <c r="L27" s="84"/>
      <c r="M27" s="88">
        <f t="shared" si="3"/>
        <v>26.666666666666668</v>
      </c>
      <c r="N27" s="84"/>
      <c r="O27" s="88">
        <f t="shared" si="3"/>
        <v>0</v>
      </c>
      <c r="P27" s="84"/>
      <c r="Q27" s="88">
        <f t="shared" si="3"/>
        <v>0</v>
      </c>
      <c r="R27" s="84"/>
      <c r="S27" s="88">
        <f t="shared" si="3"/>
        <v>0</v>
      </c>
      <c r="T27" s="84"/>
      <c r="U27" s="88">
        <f t="shared" si="3"/>
        <v>0</v>
      </c>
      <c r="V27" s="84"/>
      <c r="W27" s="88">
        <f t="shared" si="3"/>
        <v>0</v>
      </c>
      <c r="X27" s="84"/>
      <c r="Y27" s="88">
        <f t="shared" si="3"/>
        <v>0</v>
      </c>
      <c r="Z27" s="84"/>
      <c r="AA27" s="88">
        <f t="shared" si="3"/>
        <v>0</v>
      </c>
      <c r="AB27" s="84"/>
      <c r="AC27" s="88">
        <f t="shared" si="3"/>
        <v>0</v>
      </c>
      <c r="AD27" s="84"/>
      <c r="AE27" s="88">
        <f t="shared" si="3"/>
        <v>0</v>
      </c>
      <c r="AF27" s="84"/>
      <c r="AG27" s="88">
        <f t="shared" si="3"/>
        <v>0</v>
      </c>
      <c r="AH27" s="84"/>
      <c r="AI27" s="88">
        <f t="shared" si="3"/>
        <v>0</v>
      </c>
      <c r="AJ27" s="84"/>
      <c r="AK27" s="88">
        <f t="shared" si="3"/>
        <v>0</v>
      </c>
      <c r="AL27" s="84"/>
      <c r="AM27" s="88">
        <f t="shared" si="3"/>
        <v>0</v>
      </c>
      <c r="AN27" s="84"/>
      <c r="AO27" s="88">
        <f t="shared" si="3"/>
        <v>0</v>
      </c>
      <c r="AP27" s="84"/>
      <c r="AQ27" s="88">
        <f t="shared" si="3"/>
        <v>0</v>
      </c>
      <c r="AR27" s="84"/>
    </row>
    <row r="28" spans="2:45" x14ac:dyDescent="0.2">
      <c r="D28" s="91"/>
      <c r="E28" s="88"/>
      <c r="F28" s="84"/>
      <c r="G28" s="88"/>
      <c r="H28" s="84"/>
      <c r="I28" s="88"/>
      <c r="J28" s="84"/>
      <c r="K28" s="88"/>
      <c r="L28" s="84"/>
      <c r="M28" s="88"/>
      <c r="N28" s="84"/>
      <c r="O28" s="88"/>
      <c r="P28" s="84"/>
      <c r="Q28" s="88"/>
      <c r="R28" s="84"/>
      <c r="S28" s="88"/>
      <c r="T28" s="84"/>
      <c r="U28" s="88"/>
      <c r="V28" s="84"/>
      <c r="W28" s="88"/>
      <c r="X28" s="84"/>
      <c r="Y28" s="88"/>
      <c r="Z28" s="84"/>
      <c r="AA28" s="88"/>
      <c r="AB28" s="84"/>
      <c r="AC28" s="88"/>
      <c r="AD28" s="84"/>
      <c r="AE28" s="88"/>
      <c r="AF28" s="84"/>
      <c r="AG28" s="88"/>
      <c r="AH28" s="84"/>
      <c r="AI28" s="88"/>
      <c r="AJ28" s="84"/>
      <c r="AK28" s="88"/>
      <c r="AL28" s="84"/>
      <c r="AM28" s="88"/>
      <c r="AN28" s="84"/>
      <c r="AO28" s="88"/>
      <c r="AP28" s="84"/>
      <c r="AQ28" s="88"/>
      <c r="AR28" s="84"/>
    </row>
    <row r="29" spans="2:45" x14ac:dyDescent="0.2">
      <c r="C29" s="105" t="s">
        <v>131</v>
      </c>
      <c r="D29" s="140">
        <f>SUMPRODUCT(E27:AQ27,E12:AQ12)/D27</f>
        <v>0.73958333333333337</v>
      </c>
      <c r="E29" s="89"/>
      <c r="F29" s="80"/>
      <c r="G29" s="89"/>
      <c r="H29" s="80"/>
      <c r="I29" s="89"/>
      <c r="J29" s="80"/>
      <c r="K29" s="89"/>
      <c r="L29" s="80"/>
      <c r="M29" s="89"/>
      <c r="N29" s="80"/>
      <c r="O29" s="89"/>
      <c r="P29" s="80"/>
      <c r="Q29" s="89"/>
      <c r="R29" s="80"/>
      <c r="S29" s="89"/>
      <c r="T29" s="80"/>
      <c r="U29" s="89"/>
      <c r="V29" s="80"/>
      <c r="W29" s="89"/>
      <c r="X29" s="80"/>
      <c r="Y29" s="89"/>
      <c r="Z29" s="80"/>
      <c r="AA29" s="89"/>
      <c r="AB29" s="80"/>
      <c r="AC29" s="89"/>
      <c r="AD29" s="80"/>
      <c r="AE29" s="89"/>
      <c r="AF29" s="80"/>
      <c r="AG29" s="89"/>
      <c r="AH29" s="80"/>
      <c r="AI29" s="89"/>
      <c r="AJ29" s="80"/>
      <c r="AK29" s="89"/>
      <c r="AL29" s="80"/>
      <c r="AM29" s="89"/>
      <c r="AN29" s="80"/>
      <c r="AO29" s="89"/>
      <c r="AP29" s="80"/>
      <c r="AQ29" s="89"/>
      <c r="AR29" s="80"/>
    </row>
    <row r="30" spans="2:45" x14ac:dyDescent="0.2">
      <c r="C30" s="105" t="str">
        <f>CONCATENATE("Average cost per ", IF(Input!$I$12=1,"ton",IF(Input!$I$12=2,"1,000 gallons",#VALUE!)), " hauled")</f>
        <v>Average cost per 1,000 gallons hauled</v>
      </c>
      <c r="D30" s="138">
        <f>AppCost/I6</f>
        <v>15.5038265625</v>
      </c>
    </row>
    <row r="31" spans="2:45" x14ac:dyDescent="0.2">
      <c r="C31" s="105"/>
      <c r="D31" s="138"/>
    </row>
    <row r="32" spans="2:45" s="94" customFormat="1" x14ac:dyDescent="0.2">
      <c r="B32" s="184"/>
      <c r="C32" s="185"/>
      <c r="D32" s="185"/>
      <c r="E32" s="185"/>
      <c r="F32" s="185"/>
      <c r="G32" s="185"/>
      <c r="H32" s="185"/>
      <c r="I32" s="185"/>
      <c r="J32" s="185"/>
      <c r="K32" s="185"/>
      <c r="L32" s="185"/>
      <c r="M32" s="185"/>
      <c r="N32" s="185"/>
      <c r="O32" s="185"/>
      <c r="P32" s="185"/>
      <c r="Q32" s="185"/>
      <c r="R32" s="185"/>
      <c r="S32" s="185"/>
      <c r="T32" s="185"/>
      <c r="U32" s="185"/>
      <c r="V32" s="185"/>
      <c r="W32" s="185"/>
      <c r="X32" s="185"/>
      <c r="Y32" s="117"/>
      <c r="Z32" s="117"/>
      <c r="AA32" s="117"/>
      <c r="AB32" s="117"/>
      <c r="AC32" s="117"/>
      <c r="AD32" s="117"/>
      <c r="AE32" s="117"/>
      <c r="AF32" s="117"/>
      <c r="AG32" s="117"/>
      <c r="AH32" s="117"/>
      <c r="AI32" s="117"/>
      <c r="AJ32" s="117"/>
      <c r="AK32" s="117"/>
      <c r="AL32" s="117"/>
      <c r="AM32" s="117"/>
      <c r="AN32" s="117"/>
      <c r="AO32" s="117"/>
      <c r="AP32" s="117"/>
      <c r="AQ32" s="117"/>
      <c r="AR32" s="118"/>
    </row>
  </sheetData>
  <sheetProtection sheet="1" selectLockedCells="1"/>
  <mergeCells count="2">
    <mergeCell ref="B2:X2"/>
    <mergeCell ref="B32:X32"/>
  </mergeCells>
  <phoneticPr fontId="0" type="noConversion"/>
  <conditionalFormatting sqref="E8">
    <cfRule type="containsText" dxfId="1" priority="1" operator="containsText" text="More fields received ">
      <formula>NOT(ISERROR(SEARCH("More fields received ",E8)))</formula>
    </cfRule>
    <cfRule type="containsText" dxfId="0" priority="2" operator="containsText" text="Not all manure ">
      <formula>NOT(ISERROR(SEARCH("Not all manure ",E8)))</formula>
    </cfRule>
  </conditionalFormatting>
  <pageMargins left="0.87" right="0.75" top="0.75" bottom="0.58599999999999997" header="0.5" footer="0.5"/>
  <pageSetup scale="74" orientation="landscape" r:id="rId1"/>
  <headerFooter alignWithMargins="0">
    <oddHeader>&amp;F</oddHeader>
    <oddFooter>&amp;L&amp;D&amp;C&amp;A&amp;RInjected @5K/a</oddFooter>
  </headerFooter>
  <drawing r:id="rId2"/>
  <legacyDrawing r:id="rId3"/>
  <controls>
    <mc:AlternateContent xmlns:mc="http://schemas.openxmlformats.org/markup-compatibility/2006">
      <mc:Choice Requires="x14">
        <control shapeId="5122" r:id="rId4" name="CommandButton1">
          <controlPr print="0" autoLine="0" r:id="rId5">
            <anchor moveWithCells="1">
              <from>
                <xdr:col>2</xdr:col>
                <xdr:colOff>47625</xdr:colOff>
                <xdr:row>5</xdr:row>
                <xdr:rowOff>28575</xdr:rowOff>
              </from>
              <to>
                <xdr:col>2</xdr:col>
                <xdr:colOff>971550</xdr:colOff>
                <xdr:row>6</xdr:row>
                <xdr:rowOff>171450</xdr:rowOff>
              </to>
            </anchor>
          </controlPr>
        </control>
      </mc:Choice>
      <mc:Fallback>
        <control shapeId="5122" r:id="rId4" name="CommandButton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
  <dimension ref="A1:K54"/>
  <sheetViews>
    <sheetView defaultGridColor="0" colorId="22" zoomScale="115" zoomScaleNormal="115" workbookViewId="0">
      <selection activeCell="E21" sqref="E21"/>
    </sheetView>
  </sheetViews>
  <sheetFormatPr defaultColWidth="9.7109375" defaultRowHeight="12.75" x14ac:dyDescent="0.2"/>
  <cols>
    <col min="1" max="1" width="3.28515625" style="94" customWidth="1"/>
    <col min="2" max="2" width="2.28515625" style="94" customWidth="1"/>
    <col min="3" max="3" width="25.85546875" style="94" customWidth="1"/>
    <col min="4" max="6" width="13.7109375" style="94" customWidth="1"/>
    <col min="7" max="9" width="2.28515625" style="94" customWidth="1"/>
    <col min="10" max="16384" width="9.7109375" style="94"/>
  </cols>
  <sheetData>
    <row r="1" spans="2:9" x14ac:dyDescent="0.2">
      <c r="C1" s="93"/>
      <c r="D1" s="93"/>
      <c r="E1" s="93"/>
      <c r="F1" s="93"/>
      <c r="G1" s="93"/>
      <c r="H1" s="93"/>
      <c r="I1" s="93"/>
    </row>
    <row r="2" spans="2:9" ht="20.25" x14ac:dyDescent="0.3">
      <c r="B2" s="186" t="s">
        <v>0</v>
      </c>
      <c r="C2" s="186"/>
      <c r="D2" s="186"/>
      <c r="E2" s="186"/>
      <c r="F2" s="186"/>
      <c r="G2" s="187"/>
      <c r="H2" s="93"/>
      <c r="I2" s="93"/>
    </row>
    <row r="3" spans="2:9" ht="15" x14ac:dyDescent="0.2">
      <c r="B3" s="190" t="s">
        <v>130</v>
      </c>
      <c r="C3" s="190"/>
      <c r="D3" s="190"/>
      <c r="E3" s="190"/>
      <c r="F3" s="190"/>
      <c r="G3" s="191"/>
      <c r="H3" s="93"/>
      <c r="I3" s="93"/>
    </row>
    <row r="4" spans="2:9" s="105" customFormat="1" ht="4.5" customHeight="1" x14ac:dyDescent="0.2"/>
    <row r="5" spans="2:9" s="105" customFormat="1" x14ac:dyDescent="0.2">
      <c r="C5" s="164" t="s">
        <v>133</v>
      </c>
      <c r="D5" s="135"/>
      <c r="E5" s="134"/>
      <c r="F5" s="134"/>
    </row>
    <row r="6" spans="2:9" s="105" customFormat="1" ht="5.0999999999999996" customHeight="1" x14ac:dyDescent="0.2">
      <c r="C6" s="131"/>
      <c r="D6" s="132"/>
    </row>
    <row r="7" spans="2:9" s="105" customFormat="1" x14ac:dyDescent="0.2">
      <c r="C7" s="111" t="s">
        <v>145</v>
      </c>
      <c r="D7" s="110">
        <f>Input!D31</f>
        <v>960</v>
      </c>
      <c r="E7" s="105" t="str">
        <f>Input!F31</f>
        <v>1,000 gallons</v>
      </c>
    </row>
    <row r="8" spans="2:9" s="105" customFormat="1" x14ac:dyDescent="0.2">
      <c r="C8" s="111" t="s">
        <v>146</v>
      </c>
      <c r="D8" s="110">
        <f>Input!D27</f>
        <v>5</v>
      </c>
      <c r="E8" s="105" t="str">
        <f>Input!F27</f>
        <v>1,000 gallons/acre</v>
      </c>
    </row>
    <row r="9" spans="2:9" s="105" customFormat="1" x14ac:dyDescent="0.2">
      <c r="C9" s="111" t="s">
        <v>18</v>
      </c>
      <c r="D9" s="110">
        <f>Input!D22</f>
        <v>32</v>
      </c>
      <c r="E9" s="105" t="s">
        <v>147</v>
      </c>
    </row>
    <row r="10" spans="2:9" s="105" customFormat="1" ht="6" customHeight="1" x14ac:dyDescent="0.2"/>
    <row r="11" spans="2:9" s="105" customFormat="1" x14ac:dyDescent="0.2">
      <c r="C11" s="58" t="s">
        <v>132</v>
      </c>
      <c r="D11" s="134"/>
      <c r="E11" s="134"/>
      <c r="F11" s="134"/>
    </row>
    <row r="12" spans="2:9" s="105" customFormat="1" ht="5.0999999999999996" customHeight="1" x14ac:dyDescent="0.2">
      <c r="C12" s="131"/>
      <c r="D12" s="132"/>
    </row>
    <row r="13" spans="2:9" s="105" customFormat="1" x14ac:dyDescent="0.2">
      <c r="C13" s="155" t="s">
        <v>16</v>
      </c>
      <c r="D13" s="156" t="s">
        <v>14</v>
      </c>
      <c r="E13" s="156" t="s">
        <v>15</v>
      </c>
      <c r="F13" s="156" t="str">
        <f>IF(Input!$I$12=1,"Per ton",IF(Input!$I$12=2,"Per 1,000 gal.",#VALUE!))</f>
        <v>Per 1,000 gal.</v>
      </c>
    </row>
    <row r="14" spans="2:9" s="105" customFormat="1" x14ac:dyDescent="0.2">
      <c r="C14" s="111" t="s">
        <v>17</v>
      </c>
      <c r="D14" s="151">
        <f>Input!D22*'Machinery Costs'!D39</f>
        <v>18.098851946520533</v>
      </c>
      <c r="E14" s="154">
        <f>D14/Input!$D$22</f>
        <v>0.56558912332876665</v>
      </c>
      <c r="F14" s="154">
        <f>E14/Input!$D$27</f>
        <v>0.11311782466575333</v>
      </c>
    </row>
    <row r="15" spans="2:9" s="105" customFormat="1" x14ac:dyDescent="0.2">
      <c r="C15" s="111" t="s">
        <v>19</v>
      </c>
      <c r="D15" s="151">
        <f>'Machinery Costs'!D21*D32+'Machinery Costs'!D21*D31</f>
        <v>565.22662613822797</v>
      </c>
      <c r="E15" s="154">
        <f>D15/Input!$D$22</f>
        <v>17.663332066819624</v>
      </c>
      <c r="F15" s="154">
        <f>E15/Input!$D$27</f>
        <v>3.5326664133639247</v>
      </c>
    </row>
    <row r="16" spans="2:9" s="105" customFormat="1" x14ac:dyDescent="0.2">
      <c r="C16" s="111" t="s">
        <v>20</v>
      </c>
      <c r="D16" s="151">
        <f>'Machinery Costs'!D21*(D30+TimeLoad)</f>
        <v>539.98659381686855</v>
      </c>
      <c r="E16" s="154">
        <f>D16/Input!$D$22</f>
        <v>16.874581056777142</v>
      </c>
      <c r="F16" s="154">
        <f>E16/Input!$D$27</f>
        <v>3.3749162113554285</v>
      </c>
    </row>
    <row r="17" spans="1:11" s="105" customFormat="1" x14ac:dyDescent="0.2">
      <c r="C17" s="111" t="s">
        <v>13</v>
      </c>
      <c r="D17" s="151">
        <f>SUM(D14:D16)</f>
        <v>1123.3120719016169</v>
      </c>
      <c r="E17" s="154">
        <f>D17/Input!$D$22</f>
        <v>35.10350224692553</v>
      </c>
      <c r="F17" s="154">
        <f>E17/Input!$D$27</f>
        <v>7.0207004493851057</v>
      </c>
    </row>
    <row r="18" spans="1:11" s="105" customFormat="1" ht="5.0999999999999996" customHeight="1" x14ac:dyDescent="0.2">
      <c r="C18" s="103"/>
      <c r="D18" s="151"/>
      <c r="E18" s="154"/>
      <c r="F18" s="154"/>
    </row>
    <row r="19" spans="1:11" s="105" customFormat="1" x14ac:dyDescent="0.2">
      <c r="C19" s="155" t="s">
        <v>21</v>
      </c>
      <c r="D19" s="157"/>
      <c r="E19" s="158"/>
      <c r="F19" s="158"/>
    </row>
    <row r="20" spans="1:11" s="105" customFormat="1" x14ac:dyDescent="0.2">
      <c r="C20" s="111" t="s">
        <v>17</v>
      </c>
      <c r="D20" s="151">
        <f>'Machinery Costs'!D37*Input!D22</f>
        <v>888.91511239174326</v>
      </c>
      <c r="E20" s="154">
        <f>D20/Input!$D$22</f>
        <v>27.778597262241977</v>
      </c>
      <c r="F20" s="154">
        <f>E20/Input!$D$27</f>
        <v>5.555719452448395</v>
      </c>
    </row>
    <row r="21" spans="1:11" s="105" customFormat="1" x14ac:dyDescent="0.2">
      <c r="C21" s="111" t="s">
        <v>19</v>
      </c>
      <c r="D21" s="151">
        <f>'Machinery Costs'!D16*D32+'Machinery Costs'!D16*D31</f>
        <v>292.57730198887248</v>
      </c>
      <c r="E21" s="154">
        <f>D21/Input!$D$22</f>
        <v>9.1430406871522649</v>
      </c>
      <c r="F21" s="154">
        <f>E21/Input!$D$27</f>
        <v>1.828608137430453</v>
      </c>
    </row>
    <row r="22" spans="1:11" s="105" customFormat="1" x14ac:dyDescent="0.2">
      <c r="C22" s="111" t="s">
        <v>20</v>
      </c>
      <c r="D22" s="151">
        <f>'Machinery Costs'!D16*(D30+TimeLoad)</f>
        <v>279.51234677055743</v>
      </c>
      <c r="E22" s="154">
        <f>D22/Input!$D$22</f>
        <v>8.7347608365799196</v>
      </c>
      <c r="F22" s="154">
        <f>E22/Input!$D$27</f>
        <v>1.746952167315984</v>
      </c>
    </row>
    <row r="23" spans="1:11" s="105" customFormat="1" x14ac:dyDescent="0.2">
      <c r="C23" s="111" t="s">
        <v>12</v>
      </c>
      <c r="D23" s="151">
        <f>SUM(D20:D22)</f>
        <v>1461.0047611511732</v>
      </c>
      <c r="E23" s="154">
        <f>D23/Input!$D$22</f>
        <v>45.656398785974162</v>
      </c>
      <c r="F23" s="154">
        <f>E23/Input!$D$27</f>
        <v>9.1312797571948323</v>
      </c>
    </row>
    <row r="24" spans="1:11" s="105" customFormat="1" x14ac:dyDescent="0.2">
      <c r="C24" s="111" t="s">
        <v>22</v>
      </c>
      <c r="D24" s="151">
        <f>D23+D17</f>
        <v>2584.3168330527901</v>
      </c>
      <c r="E24" s="154">
        <f>D24/Input!$D$22</f>
        <v>80.759901032899691</v>
      </c>
      <c r="F24" s="154">
        <f>E24/Input!$D$27</f>
        <v>16.151980206579939</v>
      </c>
    </row>
    <row r="25" spans="1:11" s="105" customFormat="1" ht="5.0999999999999996" customHeight="1" x14ac:dyDescent="0.2">
      <c r="A25" s="106"/>
      <c r="B25" s="106"/>
      <c r="C25" s="103"/>
      <c r="D25" s="151"/>
      <c r="E25" s="154"/>
      <c r="F25" s="154"/>
      <c r="H25" s="106"/>
      <c r="I25" s="106"/>
      <c r="J25" s="106"/>
      <c r="K25" s="106"/>
    </row>
    <row r="26" spans="1:11" s="105" customFormat="1" x14ac:dyDescent="0.2">
      <c r="A26" s="106"/>
      <c r="B26" s="106"/>
      <c r="C26" s="103" t="s">
        <v>23</v>
      </c>
      <c r="D26" s="151">
        <f>D16+D22</f>
        <v>819.49894058742598</v>
      </c>
      <c r="E26" s="154">
        <f>E16+E22</f>
        <v>25.609341893357062</v>
      </c>
      <c r="F26" s="154">
        <f>F16+F22</f>
        <v>5.1218683786714125</v>
      </c>
      <c r="H26" s="106"/>
      <c r="I26" s="106"/>
      <c r="J26" s="106"/>
      <c r="K26" s="106"/>
    </row>
    <row r="27" spans="1:11" s="105" customFormat="1" x14ac:dyDescent="0.2">
      <c r="A27" s="106"/>
      <c r="B27" s="106"/>
      <c r="C27" s="103" t="s">
        <v>24</v>
      </c>
      <c r="D27" s="151">
        <f>D24-D26</f>
        <v>1764.8178924653641</v>
      </c>
      <c r="E27" s="154">
        <f>E24-E26</f>
        <v>55.150559139542629</v>
      </c>
      <c r="F27" s="154">
        <f>F24-F26</f>
        <v>11.030111827908527</v>
      </c>
      <c r="H27" s="106"/>
      <c r="I27" s="106"/>
      <c r="J27" s="106"/>
      <c r="K27" s="106"/>
    </row>
    <row r="28" spans="1:11" s="105" customFormat="1" ht="5.0999999999999996" customHeight="1" x14ac:dyDescent="0.2">
      <c r="A28" s="106"/>
      <c r="B28" s="106"/>
      <c r="C28" s="103"/>
      <c r="D28" s="152"/>
      <c r="E28" s="154"/>
      <c r="F28" s="154"/>
      <c r="H28" s="106"/>
      <c r="I28" s="106"/>
      <c r="J28" s="106"/>
      <c r="K28" s="106"/>
    </row>
    <row r="29" spans="1:11" s="105" customFormat="1" x14ac:dyDescent="0.2">
      <c r="A29" s="106"/>
      <c r="B29" s="106"/>
      <c r="C29" s="103" t="s">
        <v>25</v>
      </c>
      <c r="D29" s="153">
        <f>Input!D27/Input!D18*Input!D30/60*Input!D22</f>
        <v>4.4444444444444446</v>
      </c>
      <c r="E29" s="153">
        <f>D29/Input!$D$22</f>
        <v>0.1388888888888889</v>
      </c>
      <c r="F29" s="153">
        <f>E29/Input!$D$27</f>
        <v>2.777777777777778E-2</v>
      </c>
      <c r="G29" s="106"/>
      <c r="H29" s="106"/>
      <c r="I29" s="106"/>
      <c r="J29" s="106"/>
      <c r="K29" s="106"/>
    </row>
    <row r="30" spans="1:11" s="105" customFormat="1" x14ac:dyDescent="0.2">
      <c r="A30" s="106"/>
      <c r="B30" s="106"/>
      <c r="C30" s="133" t="s">
        <v>26</v>
      </c>
      <c r="D30" s="153">
        <f>Input!D23/Input!D24*Input!D27/Input!D18*Input!D22*2</f>
        <v>5.333333333333333</v>
      </c>
      <c r="E30" s="153">
        <f>D30/Input!$D$22</f>
        <v>0.16666666666666666</v>
      </c>
      <c r="F30" s="153">
        <f>E30/Input!$D$27</f>
        <v>3.3333333333333333E-2</v>
      </c>
      <c r="G30" s="106"/>
      <c r="H30" s="106"/>
      <c r="I30" s="106"/>
      <c r="J30" s="106"/>
      <c r="K30" s="106"/>
    </row>
    <row r="31" spans="1:11" s="105" customFormat="1" x14ac:dyDescent="0.2">
      <c r="A31" s="106"/>
      <c r="B31" s="106"/>
      <c r="C31" s="133" t="s">
        <v>27</v>
      </c>
      <c r="D31" s="153">
        <f>2*(Input!D26*(TRUNC(Workspace!C20+1)-1)*(Workspace!C21^2-Workspace!C21)/2+Workspace!C19*Workspace!C21*((TRUNC(Workspace!C20+1)-1)^2-(TRUNC(Workspace!C20+1)-1))/2+Workspace!C23*(TRUNC(Workspace!C20+1)-1)*Workspace!C19+Workspace!C24*(Workspace!C23^2-Workspace!C23)/2)/(Input!D25*5280)</f>
        <v>1.4348102855623652</v>
      </c>
      <c r="E31" s="153">
        <f>D31/Input!$D$22</f>
        <v>4.4837821423823913E-2</v>
      </c>
      <c r="F31" s="153">
        <f>E31/Input!$D$27</f>
        <v>8.967564284764782E-3</v>
      </c>
      <c r="G31" s="106"/>
      <c r="H31" s="106"/>
      <c r="I31" s="106"/>
      <c r="J31" s="106"/>
      <c r="K31" s="106"/>
    </row>
    <row r="32" spans="1:11" s="105" customFormat="1" x14ac:dyDescent="0.2">
      <c r="A32" s="106"/>
      <c r="B32" s="106"/>
      <c r="C32" s="133" t="s">
        <v>28</v>
      </c>
      <c r="D32" s="153">
        <f>1/(Input!D25*5280*Input!D26/43560)*Input!D22*2</f>
        <v>8.8000000000000007</v>
      </c>
      <c r="E32" s="153">
        <f>D32/Input!$D$22</f>
        <v>0.27500000000000002</v>
      </c>
      <c r="F32" s="153">
        <f>E32/Input!$D$27</f>
        <v>5.5000000000000007E-2</v>
      </c>
      <c r="G32" s="106"/>
      <c r="H32" s="106"/>
      <c r="I32" s="106"/>
      <c r="J32" s="106"/>
      <c r="K32" s="106"/>
    </row>
    <row r="33" spans="1:11" s="105" customFormat="1" x14ac:dyDescent="0.2">
      <c r="A33" s="106"/>
      <c r="B33" s="106"/>
      <c r="C33" s="133" t="s">
        <v>29</v>
      </c>
      <c r="D33" s="153">
        <f>SUM(D29:D32)</f>
        <v>20.012588063340147</v>
      </c>
      <c r="E33" s="153">
        <f>SUM(E29:E32)</f>
        <v>0.62539337697937958</v>
      </c>
      <c r="F33" s="153">
        <f>SUM(F29:F32)</f>
        <v>0.12507867539587592</v>
      </c>
      <c r="G33" s="106"/>
      <c r="H33" s="106"/>
      <c r="I33" s="106"/>
      <c r="J33" s="106"/>
      <c r="K33" s="106"/>
    </row>
    <row r="34" spans="1:11" s="105" customFormat="1" x14ac:dyDescent="0.2">
      <c r="A34" s="106"/>
      <c r="B34" s="106"/>
      <c r="G34" s="106"/>
      <c r="H34" s="106"/>
      <c r="I34" s="106"/>
      <c r="J34" s="106"/>
      <c r="K34" s="106"/>
    </row>
    <row r="35" spans="1:11" x14ac:dyDescent="0.2">
      <c r="B35" s="188"/>
      <c r="C35" s="188"/>
      <c r="D35" s="188"/>
      <c r="E35" s="188"/>
      <c r="F35" s="188"/>
      <c r="G35" s="189"/>
      <c r="H35" s="93"/>
      <c r="I35" s="93"/>
    </row>
    <row r="36" spans="1:11" s="105" customFormat="1" x14ac:dyDescent="0.2">
      <c r="A36" s="106"/>
      <c r="B36" s="106"/>
      <c r="G36" s="106"/>
      <c r="H36" s="106"/>
      <c r="I36" s="106"/>
      <c r="J36" s="106"/>
      <c r="K36" s="106"/>
    </row>
    <row r="37" spans="1:11" s="105" customFormat="1" x14ac:dyDescent="0.2">
      <c r="A37" s="106"/>
      <c r="B37" s="106"/>
      <c r="G37" s="106"/>
      <c r="H37" s="106"/>
      <c r="I37" s="106"/>
      <c r="J37" s="106"/>
      <c r="K37" s="106"/>
    </row>
    <row r="38" spans="1:11" s="105" customFormat="1" x14ac:dyDescent="0.2">
      <c r="A38" s="106"/>
      <c r="B38" s="106"/>
      <c r="G38" s="106"/>
      <c r="H38" s="106"/>
      <c r="I38" s="106"/>
      <c r="J38" s="106"/>
      <c r="K38" s="106"/>
    </row>
    <row r="39" spans="1:11" s="105" customFormat="1" x14ac:dyDescent="0.2">
      <c r="A39" s="106"/>
      <c r="B39" s="106"/>
      <c r="G39" s="106"/>
      <c r="H39" s="106"/>
      <c r="I39" s="106"/>
      <c r="J39" s="106"/>
      <c r="K39" s="106"/>
    </row>
    <row r="40" spans="1:11" s="105" customFormat="1" x14ac:dyDescent="0.2">
      <c r="A40" s="106"/>
      <c r="B40" s="106"/>
      <c r="G40" s="106"/>
      <c r="H40" s="106"/>
      <c r="I40" s="106"/>
      <c r="J40" s="106"/>
      <c r="K40" s="106"/>
    </row>
    <row r="41" spans="1:11" s="105" customFormat="1" x14ac:dyDescent="0.2">
      <c r="A41" s="106"/>
      <c r="B41" s="106"/>
      <c r="G41" s="106"/>
      <c r="H41" s="106"/>
      <c r="I41" s="106"/>
      <c r="J41" s="106"/>
      <c r="K41" s="106"/>
    </row>
    <row r="42" spans="1:11" s="105" customFormat="1" x14ac:dyDescent="0.2">
      <c r="A42" s="106"/>
      <c r="B42" s="106"/>
      <c r="G42" s="106"/>
      <c r="H42" s="106"/>
      <c r="I42" s="106"/>
      <c r="J42" s="106"/>
      <c r="K42" s="106"/>
    </row>
    <row r="43" spans="1:11" s="105" customFormat="1" x14ac:dyDescent="0.2">
      <c r="A43" s="106"/>
      <c r="B43" s="106"/>
      <c r="G43" s="106"/>
      <c r="H43" s="106"/>
      <c r="I43" s="106"/>
      <c r="J43" s="106"/>
      <c r="K43" s="106"/>
    </row>
    <row r="44" spans="1:11" s="105" customFormat="1" x14ac:dyDescent="0.2">
      <c r="A44" s="106"/>
      <c r="B44" s="106"/>
      <c r="G44" s="106"/>
      <c r="H44" s="106"/>
      <c r="I44" s="106"/>
      <c r="J44" s="106"/>
      <c r="K44" s="106"/>
    </row>
    <row r="45" spans="1:11" s="105" customFormat="1" x14ac:dyDescent="0.2">
      <c r="A45" s="106"/>
      <c r="B45" s="106"/>
      <c r="G45" s="106"/>
      <c r="H45" s="106"/>
      <c r="I45" s="106"/>
      <c r="J45" s="106"/>
      <c r="K45" s="106"/>
    </row>
    <row r="46" spans="1:11" s="105" customFormat="1" x14ac:dyDescent="0.2">
      <c r="A46" s="106"/>
      <c r="B46" s="106"/>
      <c r="G46" s="106"/>
      <c r="H46" s="106"/>
      <c r="I46" s="106"/>
      <c r="J46" s="106"/>
      <c r="K46" s="106"/>
    </row>
    <row r="47" spans="1:11" s="105" customFormat="1" x14ac:dyDescent="0.2">
      <c r="A47" s="106"/>
      <c r="B47" s="106"/>
      <c r="C47" s="106"/>
      <c r="D47" s="106"/>
      <c r="E47" s="106"/>
      <c r="F47" s="106"/>
      <c r="G47" s="106"/>
      <c r="H47" s="106"/>
      <c r="I47" s="106"/>
      <c r="J47" s="106"/>
      <c r="K47" s="106"/>
    </row>
    <row r="48" spans="1:11" s="105" customFormat="1" x14ac:dyDescent="0.2">
      <c r="A48" s="106"/>
      <c r="B48" s="106"/>
      <c r="C48" s="106"/>
      <c r="D48" s="106"/>
      <c r="E48" s="106"/>
      <c r="F48" s="106"/>
      <c r="G48" s="106"/>
      <c r="H48" s="106"/>
      <c r="I48" s="106"/>
      <c r="J48" s="106"/>
      <c r="K48" s="106"/>
    </row>
    <row r="49" spans="1:11" s="105" customFormat="1" x14ac:dyDescent="0.2">
      <c r="A49" s="106"/>
      <c r="B49" s="106"/>
      <c r="C49" s="106"/>
      <c r="D49" s="106"/>
      <c r="E49" s="106"/>
      <c r="F49" s="106"/>
      <c r="G49" s="106"/>
      <c r="H49" s="106"/>
      <c r="I49" s="106"/>
      <c r="J49" s="106"/>
      <c r="K49" s="106"/>
    </row>
    <row r="50" spans="1:11" s="105" customFormat="1" x14ac:dyDescent="0.2">
      <c r="A50" s="106"/>
      <c r="B50" s="106"/>
      <c r="C50" s="106"/>
      <c r="D50" s="106"/>
      <c r="E50" s="106"/>
      <c r="F50" s="106"/>
      <c r="G50" s="106"/>
      <c r="H50" s="106"/>
      <c r="I50" s="106"/>
      <c r="J50" s="106"/>
      <c r="K50" s="106"/>
    </row>
    <row r="51" spans="1:11" s="105" customFormat="1" x14ac:dyDescent="0.2">
      <c r="A51" s="106"/>
      <c r="B51" s="106"/>
      <c r="C51" s="106"/>
      <c r="D51" s="106"/>
      <c r="E51" s="106"/>
      <c r="F51" s="106"/>
      <c r="G51" s="106"/>
      <c r="H51" s="106"/>
      <c r="I51" s="106"/>
      <c r="J51" s="106"/>
      <c r="K51" s="106"/>
    </row>
    <row r="52" spans="1:11" s="105" customFormat="1" x14ac:dyDescent="0.2">
      <c r="A52" s="106"/>
      <c r="B52" s="106"/>
      <c r="C52" s="106"/>
      <c r="D52" s="106"/>
      <c r="E52" s="106"/>
      <c r="F52" s="106"/>
      <c r="G52" s="106"/>
      <c r="H52" s="106"/>
      <c r="I52" s="106"/>
      <c r="J52" s="106"/>
      <c r="K52" s="106"/>
    </row>
    <row r="53" spans="1:11" s="105" customFormat="1" x14ac:dyDescent="0.2">
      <c r="A53" s="106"/>
      <c r="B53" s="106"/>
      <c r="C53" s="106"/>
      <c r="D53" s="106"/>
      <c r="E53" s="106"/>
      <c r="F53" s="106"/>
      <c r="G53" s="106"/>
      <c r="H53" s="106"/>
      <c r="I53" s="106"/>
      <c r="J53" s="106"/>
      <c r="K53" s="106"/>
    </row>
    <row r="54" spans="1:11" x14ac:dyDescent="0.2">
      <c r="A54" s="93"/>
      <c r="B54" s="93"/>
      <c r="C54" s="93"/>
      <c r="D54" s="93"/>
      <c r="E54" s="93"/>
      <c r="F54" s="93"/>
      <c r="G54" s="93"/>
      <c r="H54" s="93"/>
      <c r="I54" s="93"/>
      <c r="J54" s="93"/>
      <c r="K54" s="93"/>
    </row>
  </sheetData>
  <sheetProtection sheet="1" objects="1" scenarios="1"/>
  <mergeCells count="3">
    <mergeCell ref="B2:G2"/>
    <mergeCell ref="B35:G35"/>
    <mergeCell ref="B3:G3"/>
  </mergeCells>
  <phoneticPr fontId="0" type="noConversion"/>
  <pageMargins left="0.75" right="0.75" top="0.75" bottom="0.58599999999999997" header="0.5" footer="0.5"/>
  <pageSetup scale="70" orientation="portrait" r:id="rId1"/>
  <headerFooter alignWithMargins="0">
    <oddHeader>FRMRSPRD.xlw</oddHeader>
    <oddFooter>&amp;L&amp;D&amp;C&amp;A&amp;R+</oddFooter>
  </headerFooter>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
  <dimension ref="A1:L86"/>
  <sheetViews>
    <sheetView defaultGridColor="0" topLeftCell="A21" colorId="22" zoomScale="115" zoomScaleNormal="115" workbookViewId="0">
      <selection activeCell="D8" sqref="D8"/>
    </sheetView>
  </sheetViews>
  <sheetFormatPr defaultColWidth="9.7109375" defaultRowHeight="12.75" x14ac:dyDescent="0.2"/>
  <cols>
    <col min="1" max="1" width="3.28515625" style="94" customWidth="1"/>
    <col min="2" max="2" width="2.28515625" style="94" customWidth="1"/>
    <col min="3" max="3" width="38.5703125" style="94" customWidth="1"/>
    <col min="4" max="4" width="13.28515625" style="94" customWidth="1"/>
    <col min="5" max="5" width="0.85546875" style="94" customWidth="1"/>
    <col min="6" max="7" width="9.7109375" style="94"/>
    <col min="8" max="8" width="0.85546875" style="94" customWidth="1"/>
    <col min="9" max="9" width="9.7109375" style="94" customWidth="1"/>
    <col min="10" max="10" width="2.28515625" style="94" customWidth="1"/>
    <col min="11" max="16384" width="9.7109375" style="94"/>
  </cols>
  <sheetData>
    <row r="1" spans="2:12" x14ac:dyDescent="0.2">
      <c r="B1" s="93"/>
      <c r="C1" s="93"/>
      <c r="D1" s="93"/>
      <c r="E1" s="93"/>
      <c r="F1" s="93"/>
      <c r="G1" s="93"/>
      <c r="H1" s="93"/>
      <c r="I1" s="93"/>
      <c r="J1" s="93"/>
      <c r="K1" s="93"/>
      <c r="L1" s="93"/>
    </row>
    <row r="2" spans="2:12" ht="20.25" x14ac:dyDescent="0.3">
      <c r="B2" s="186" t="s">
        <v>0</v>
      </c>
      <c r="C2" s="186"/>
      <c r="D2" s="186"/>
      <c r="E2" s="186"/>
      <c r="F2" s="186"/>
      <c r="G2" s="186"/>
      <c r="H2" s="186"/>
      <c r="I2" s="186"/>
      <c r="J2" s="186"/>
      <c r="K2" s="93"/>
      <c r="L2" s="93"/>
    </row>
    <row r="3" spans="2:12" ht="14.25" customHeight="1" x14ac:dyDescent="0.2">
      <c r="B3" s="193" t="s">
        <v>148</v>
      </c>
      <c r="C3" s="194"/>
      <c r="D3" s="194"/>
      <c r="E3" s="194"/>
      <c r="F3" s="194"/>
      <c r="G3" s="194"/>
      <c r="H3" s="194"/>
      <c r="I3" s="194"/>
      <c r="J3" s="195"/>
      <c r="K3" s="93"/>
      <c r="L3" s="93"/>
    </row>
    <row r="4" spans="2:12" s="31" customFormat="1" ht="5.0999999999999996" customHeight="1" x14ac:dyDescent="0.15">
      <c r="B4" s="97"/>
      <c r="C4" s="97"/>
      <c r="D4" s="97"/>
      <c r="E4" s="97"/>
      <c r="F4" s="97"/>
      <c r="G4" s="97"/>
      <c r="H4" s="97"/>
      <c r="I4" s="97"/>
      <c r="J4" s="97"/>
      <c r="K4" s="97"/>
      <c r="L4" s="97"/>
    </row>
    <row r="5" spans="2:12" ht="12" customHeight="1" x14ac:dyDescent="0.2">
      <c r="B5" s="93"/>
      <c r="C5" s="119" t="s">
        <v>1</v>
      </c>
      <c r="D5" s="115"/>
      <c r="E5" s="115"/>
      <c r="F5" s="115"/>
      <c r="G5" s="115"/>
      <c r="H5" s="115"/>
      <c r="I5" s="115"/>
      <c r="J5" s="93"/>
      <c r="K5" s="93"/>
      <c r="L5" s="93"/>
    </row>
    <row r="6" spans="2:12" ht="12" customHeight="1" x14ac:dyDescent="0.2">
      <c r="B6" s="93"/>
      <c r="C6" s="99" t="s">
        <v>80</v>
      </c>
      <c r="D6" s="109">
        <f>TPRICE1</f>
        <v>125000</v>
      </c>
      <c r="E6" s="93"/>
      <c r="F6" s="93"/>
      <c r="G6" s="93"/>
      <c r="H6" s="93"/>
      <c r="I6" s="93"/>
      <c r="J6" s="93"/>
      <c r="K6" s="93"/>
      <c r="L6" s="93"/>
    </row>
    <row r="7" spans="2:12" ht="12" customHeight="1" x14ac:dyDescent="0.2">
      <c r="B7" s="93"/>
      <c r="C7" s="99" t="s">
        <v>81</v>
      </c>
      <c r="D7" s="110">
        <f>TYEARS1</f>
        <v>12</v>
      </c>
      <c r="E7" s="93"/>
      <c r="F7" s="93" t="s">
        <v>4</v>
      </c>
      <c r="G7" s="93"/>
      <c r="H7" s="93"/>
      <c r="I7" s="93"/>
      <c r="J7" s="93"/>
      <c r="K7" s="93"/>
      <c r="L7" s="93"/>
    </row>
    <row r="8" spans="2:12" ht="12" customHeight="1" x14ac:dyDescent="0.2">
      <c r="B8" s="93"/>
      <c r="C8" s="99" t="s">
        <v>113</v>
      </c>
      <c r="D8" s="110">
        <f>THOURS1</f>
        <v>400</v>
      </c>
      <c r="E8" s="93"/>
      <c r="F8" s="93" t="s">
        <v>6</v>
      </c>
      <c r="G8" s="93"/>
      <c r="H8" s="93"/>
      <c r="I8" s="93"/>
      <c r="J8" s="93"/>
      <c r="K8" s="93"/>
      <c r="L8" s="93"/>
    </row>
    <row r="9" spans="2:12" ht="12" customHeight="1" x14ac:dyDescent="0.2">
      <c r="B9" s="93"/>
      <c r="C9" s="99" t="s">
        <v>114</v>
      </c>
      <c r="D9" s="113">
        <f>D8+AppTime</f>
        <v>512.65147695222902</v>
      </c>
      <c r="E9" s="93"/>
      <c r="F9" s="93" t="s">
        <v>6</v>
      </c>
      <c r="G9" s="93"/>
      <c r="H9" s="93"/>
      <c r="I9" s="93"/>
      <c r="J9" s="93"/>
      <c r="K9" s="93"/>
      <c r="L9" s="93"/>
    </row>
    <row r="10" spans="2:12" ht="12" customHeight="1" x14ac:dyDescent="0.2">
      <c r="B10" s="93"/>
      <c r="C10" s="99" t="s">
        <v>115</v>
      </c>
      <c r="D10" s="110">
        <f>Input!D10</f>
        <v>200</v>
      </c>
      <c r="E10" s="93"/>
      <c r="F10" s="93"/>
      <c r="G10" s="93"/>
      <c r="H10" s="93"/>
      <c r="I10" s="93"/>
      <c r="J10" s="93"/>
      <c r="K10" s="93"/>
      <c r="L10" s="93"/>
    </row>
    <row r="11" spans="2:12" s="31" customFormat="1" ht="5.0999999999999996" customHeight="1" x14ac:dyDescent="0.15">
      <c r="B11" s="97"/>
      <c r="C11" s="100"/>
      <c r="D11" s="101"/>
      <c r="E11" s="97"/>
      <c r="F11" s="97"/>
      <c r="G11" s="97"/>
      <c r="H11" s="97"/>
      <c r="I11" s="97"/>
      <c r="J11" s="97"/>
      <c r="K11" s="97"/>
      <c r="L11" s="97"/>
    </row>
    <row r="12" spans="2:12" ht="12" customHeight="1" x14ac:dyDescent="0.2">
      <c r="B12" s="93"/>
      <c r="C12" s="99" t="s">
        <v>116</v>
      </c>
      <c r="D12" s="102">
        <f>IF(Input!D10&lt;80,+Workspace!B15,IF(Input!D10&gt;149,Workspace!D15,Workspace!C15))</f>
        <v>36176.356743639764</v>
      </c>
      <c r="E12" s="93"/>
      <c r="F12" s="103"/>
      <c r="G12" s="93"/>
      <c r="H12" s="93"/>
      <c r="I12" s="93"/>
      <c r="J12" s="93"/>
      <c r="K12" s="93"/>
      <c r="L12" s="93"/>
    </row>
    <row r="13" spans="2:12" ht="12" customHeight="1" x14ac:dyDescent="0.2">
      <c r="B13" s="93"/>
      <c r="C13" s="99" t="s">
        <v>117</v>
      </c>
      <c r="D13" s="104">
        <f>(Input!D7-D12)/Workspace!C34</f>
        <v>14.438601280091698</v>
      </c>
      <c r="E13" s="93"/>
      <c r="F13" s="103" t="s">
        <v>3</v>
      </c>
      <c r="G13" s="93"/>
      <c r="H13" s="93"/>
      <c r="I13" s="93"/>
      <c r="J13" s="93"/>
      <c r="K13" s="93"/>
      <c r="L13" s="93"/>
    </row>
    <row r="14" spans="2:12" ht="12" customHeight="1" x14ac:dyDescent="0.2">
      <c r="B14" s="93"/>
      <c r="C14" s="99" t="s">
        <v>118</v>
      </c>
      <c r="D14" s="104">
        <f>(Input!D7+D12)/2*Input!D38/D9</f>
        <v>12.575901093807547</v>
      </c>
      <c r="E14" s="93"/>
      <c r="F14" s="103" t="s">
        <v>3</v>
      </c>
      <c r="G14" s="93"/>
      <c r="H14" s="93"/>
      <c r="I14" s="93"/>
      <c r="J14" s="93"/>
      <c r="K14" s="93"/>
      <c r="L14" s="93"/>
    </row>
    <row r="15" spans="2:12" s="105" customFormat="1" ht="12" customHeight="1" x14ac:dyDescent="0.2">
      <c r="B15" s="106"/>
      <c r="C15" s="99" t="s">
        <v>119</v>
      </c>
      <c r="D15" s="104">
        <f>(Input!D7+D12)/2*Input!D39/D9</f>
        <v>1.5719876367259433</v>
      </c>
      <c r="E15" s="106"/>
      <c r="F15" s="103" t="s">
        <v>3</v>
      </c>
      <c r="G15" s="106"/>
      <c r="H15" s="106"/>
      <c r="I15" s="106"/>
      <c r="J15" s="106"/>
      <c r="K15" s="106"/>
      <c r="L15" s="106"/>
    </row>
    <row r="16" spans="2:12" s="105" customFormat="1" ht="12" customHeight="1" x14ac:dyDescent="0.2">
      <c r="B16" s="106"/>
      <c r="C16" s="111" t="s">
        <v>120</v>
      </c>
      <c r="D16" s="104">
        <f>SUM(D13:D15)</f>
        <v>28.586490010625187</v>
      </c>
      <c r="E16" s="106"/>
      <c r="F16" s="103" t="s">
        <v>3</v>
      </c>
      <c r="G16" s="106"/>
      <c r="H16" s="106"/>
      <c r="I16" s="106"/>
      <c r="J16" s="106"/>
      <c r="K16" s="106"/>
      <c r="L16" s="106"/>
    </row>
    <row r="17" spans="2:12" s="47" customFormat="1" ht="5.0999999999999996" customHeight="1" x14ac:dyDescent="0.15">
      <c r="B17" s="107"/>
      <c r="C17" s="112"/>
      <c r="D17" s="108"/>
      <c r="E17" s="107"/>
      <c r="G17" s="107"/>
      <c r="H17" s="107"/>
      <c r="I17" s="107"/>
      <c r="J17" s="107"/>
      <c r="K17" s="107"/>
      <c r="L17" s="107"/>
    </row>
    <row r="18" spans="2:12" s="105" customFormat="1" ht="12" customHeight="1" x14ac:dyDescent="0.2">
      <c r="B18" s="106"/>
      <c r="C18" s="99" t="s">
        <v>121</v>
      </c>
      <c r="D18" s="104">
        <f>(Input!D7*Workspace!C9*(Workspace!C34/1000)^Workspace!C10)/Workspace!C34</f>
        <v>5.382840507998405</v>
      </c>
      <c r="E18" s="106"/>
      <c r="F18" s="103" t="s">
        <v>3</v>
      </c>
      <c r="G18" s="106"/>
      <c r="H18" s="106"/>
      <c r="I18" s="106"/>
      <c r="J18" s="106"/>
      <c r="K18" s="106"/>
      <c r="L18" s="106"/>
    </row>
    <row r="19" spans="2:12" s="105" customFormat="1" ht="12" customHeight="1" x14ac:dyDescent="0.2">
      <c r="B19" s="106"/>
      <c r="C19" s="99" t="s">
        <v>94</v>
      </c>
      <c r="D19" s="104">
        <f>Input!D36*Input!D10*Workspace!C11*(0.52*Workspace!C11+0.77-0.04*(738*Workspace!C11+173)^0.5)*0.9*1.1</f>
        <v>36.643061132363151</v>
      </c>
      <c r="E19" s="106"/>
      <c r="F19" s="103" t="s">
        <v>3</v>
      </c>
      <c r="G19" s="106"/>
      <c r="H19" s="106"/>
      <c r="I19" s="106"/>
      <c r="J19" s="106"/>
      <c r="K19" s="106"/>
      <c r="L19" s="106"/>
    </row>
    <row r="20" spans="2:12" s="105" customFormat="1" ht="12" customHeight="1" x14ac:dyDescent="0.2">
      <c r="B20" s="106"/>
      <c r="C20" s="99" t="s">
        <v>95</v>
      </c>
      <c r="D20" s="104">
        <f>Input!D37*1.2</f>
        <v>13.2</v>
      </c>
      <c r="E20" s="106"/>
      <c r="F20" s="103" t="s">
        <v>3</v>
      </c>
      <c r="G20" s="106"/>
      <c r="H20" s="106"/>
      <c r="I20" s="106"/>
      <c r="J20" s="106"/>
      <c r="K20" s="106"/>
      <c r="L20" s="106"/>
    </row>
    <row r="21" spans="2:12" s="105" customFormat="1" ht="12" customHeight="1" x14ac:dyDescent="0.2">
      <c r="B21" s="106"/>
      <c r="C21" s="111" t="s">
        <v>122</v>
      </c>
      <c r="D21" s="104">
        <f>SUM(D18:D20)</f>
        <v>55.225901640361556</v>
      </c>
      <c r="E21" s="106"/>
      <c r="F21" s="103" t="s">
        <v>3</v>
      </c>
      <c r="G21" s="106"/>
      <c r="H21" s="106"/>
      <c r="I21" s="106"/>
      <c r="J21" s="106"/>
      <c r="K21" s="106"/>
      <c r="L21" s="106"/>
    </row>
    <row r="22" spans="2:12" s="47" customFormat="1" ht="5.0999999999999996" customHeight="1" x14ac:dyDescent="0.15">
      <c r="B22" s="107"/>
      <c r="C22" s="112"/>
      <c r="D22" s="108"/>
      <c r="E22" s="107"/>
      <c r="F22" s="107"/>
      <c r="G22" s="107"/>
      <c r="H22" s="107"/>
      <c r="I22" s="107"/>
      <c r="J22" s="107"/>
      <c r="K22" s="107"/>
      <c r="L22" s="107"/>
    </row>
    <row r="23" spans="2:12" s="105" customFormat="1" ht="12" customHeight="1" x14ac:dyDescent="0.2">
      <c r="B23" s="106"/>
      <c r="C23" s="111" t="s">
        <v>123</v>
      </c>
      <c r="D23" s="104">
        <f>D21+D16</f>
        <v>83.81239165098674</v>
      </c>
      <c r="E23" s="106"/>
      <c r="F23" s="103" t="s">
        <v>3</v>
      </c>
      <c r="G23" s="106"/>
      <c r="H23" s="106"/>
      <c r="I23" s="106"/>
      <c r="J23" s="106"/>
      <c r="K23" s="106"/>
      <c r="L23" s="106"/>
    </row>
    <row r="24" spans="2:12" s="105" customFormat="1" ht="12" customHeight="1" x14ac:dyDescent="0.2">
      <c r="B24" s="106"/>
      <c r="C24" s="106"/>
      <c r="D24" s="106"/>
      <c r="E24" s="106"/>
      <c r="F24" s="106"/>
      <c r="G24" s="106"/>
      <c r="H24" s="106"/>
      <c r="I24" s="106"/>
      <c r="J24" s="106"/>
      <c r="K24" s="106"/>
      <c r="L24" s="106"/>
    </row>
    <row r="25" spans="2:12" s="105" customFormat="1" ht="12" customHeight="1" x14ac:dyDescent="0.2">
      <c r="B25" s="106"/>
      <c r="C25" s="119" t="s">
        <v>2</v>
      </c>
      <c r="D25" s="115"/>
      <c r="E25" s="115"/>
      <c r="F25" s="115"/>
      <c r="G25" s="115"/>
      <c r="H25" s="115"/>
      <c r="I25" s="115"/>
      <c r="J25" s="106"/>
      <c r="K25" s="106"/>
      <c r="L25" s="106"/>
    </row>
    <row r="26" spans="2:12" s="105" customFormat="1" ht="5.0999999999999996" customHeight="1" x14ac:dyDescent="0.2">
      <c r="B26" s="106"/>
      <c r="C26" s="98"/>
      <c r="D26" s="106"/>
      <c r="E26" s="106"/>
      <c r="F26" s="106"/>
      <c r="G26" s="106"/>
      <c r="H26" s="106"/>
      <c r="I26" s="106"/>
      <c r="J26" s="106"/>
      <c r="K26" s="106"/>
      <c r="L26" s="106"/>
    </row>
    <row r="27" spans="2:12" s="105" customFormat="1" ht="12" customHeight="1" x14ac:dyDescent="0.2">
      <c r="B27" s="106"/>
      <c r="C27" s="114" t="s">
        <v>125</v>
      </c>
      <c r="D27" s="126">
        <f>D31/(TotalTime1-D8)</f>
        <v>1.7043717951555977</v>
      </c>
      <c r="E27" s="106"/>
      <c r="F27" s="93" t="s">
        <v>62</v>
      </c>
      <c r="G27" s="106"/>
      <c r="H27" s="106"/>
      <c r="I27" s="106"/>
      <c r="J27" s="106"/>
      <c r="K27" s="106"/>
      <c r="L27" s="106"/>
    </row>
    <row r="28" spans="2:12" s="105" customFormat="1" ht="5.0999999999999996" customHeight="1" x14ac:dyDescent="0.2">
      <c r="B28" s="106"/>
      <c r="C28" s="98"/>
      <c r="D28" s="120"/>
      <c r="E28" s="106"/>
      <c r="F28" s="106"/>
      <c r="G28" s="106"/>
      <c r="H28" s="106"/>
      <c r="I28" s="106"/>
      <c r="J28" s="106"/>
      <c r="K28" s="106"/>
      <c r="L28" s="106"/>
    </row>
    <row r="29" spans="2:12" s="105" customFormat="1" ht="12" customHeight="1" x14ac:dyDescent="0.2">
      <c r="B29" s="106"/>
      <c r="C29" s="99" t="s">
        <v>80</v>
      </c>
      <c r="D29" s="127">
        <f>SPRICE1</f>
        <v>40000</v>
      </c>
      <c r="E29" s="106"/>
      <c r="F29" s="106"/>
      <c r="G29" s="106"/>
      <c r="H29" s="106"/>
      <c r="I29" s="106"/>
      <c r="J29" s="106"/>
      <c r="K29" s="106"/>
      <c r="L29" s="106"/>
    </row>
    <row r="30" spans="2:12" s="105" customFormat="1" ht="12" customHeight="1" x14ac:dyDescent="0.2">
      <c r="B30" s="106"/>
      <c r="C30" s="99" t="s">
        <v>81</v>
      </c>
      <c r="D30" s="128">
        <f>Input!D16</f>
        <v>10</v>
      </c>
      <c r="E30" s="106"/>
      <c r="F30" s="106" t="s">
        <v>4</v>
      </c>
      <c r="G30" s="106"/>
      <c r="H30" s="106"/>
      <c r="I30" s="106"/>
      <c r="J30" s="106"/>
      <c r="K30" s="106"/>
      <c r="L30" s="106"/>
    </row>
    <row r="31" spans="2:12" s="105" customFormat="1" ht="12" customHeight="1" x14ac:dyDescent="0.2">
      <c r="B31" s="106"/>
      <c r="C31" s="99" t="s">
        <v>124</v>
      </c>
      <c r="D31" s="128">
        <f>totalacre1</f>
        <v>192</v>
      </c>
      <c r="E31" s="106"/>
      <c r="F31" s="106" t="s">
        <v>5</v>
      </c>
      <c r="G31" s="106"/>
      <c r="H31" s="106"/>
      <c r="I31" s="106"/>
      <c r="J31" s="106"/>
      <c r="K31" s="106"/>
      <c r="L31" s="106"/>
    </row>
    <row r="32" spans="2:12" s="105" customFormat="1" ht="5.0999999999999996" customHeight="1" x14ac:dyDescent="0.2">
      <c r="B32" s="106"/>
      <c r="C32" s="99"/>
      <c r="D32" s="129"/>
      <c r="E32" s="106"/>
      <c r="F32" s="106"/>
      <c r="G32" s="106"/>
      <c r="H32" s="106"/>
      <c r="I32" s="106"/>
      <c r="J32" s="106"/>
      <c r="K32" s="106"/>
      <c r="L32" s="106"/>
    </row>
    <row r="33" spans="1:12" s="105" customFormat="1" ht="12" customHeight="1" x14ac:dyDescent="0.2">
      <c r="B33" s="106"/>
      <c r="C33" s="99" t="s">
        <v>116</v>
      </c>
      <c r="D33" s="129">
        <f>Input!D15*(1.29956-0.45116*Input!D16^0.25)^2.22</f>
        <v>8481.9877390825532</v>
      </c>
      <c r="E33" s="106"/>
      <c r="F33" s="106" t="s">
        <v>11</v>
      </c>
      <c r="G33" s="121">
        <f>D34/$D$27</f>
        <v>9.6314850037728217</v>
      </c>
      <c r="H33" s="106"/>
      <c r="I33" s="106" t="s">
        <v>3</v>
      </c>
      <c r="J33" s="106"/>
      <c r="K33" s="106"/>
      <c r="L33" s="106"/>
    </row>
    <row r="34" spans="1:12" s="105" customFormat="1" ht="12" customHeight="1" x14ac:dyDescent="0.2">
      <c r="B34" s="106"/>
      <c r="C34" s="99" t="s">
        <v>117</v>
      </c>
      <c r="D34" s="130">
        <f>(Input!D15-D33)/Workspace!E34</f>
        <v>16.415631385894503</v>
      </c>
      <c r="E34" s="106"/>
      <c r="F34" s="106" t="s">
        <v>11</v>
      </c>
      <c r="G34" s="121">
        <f>D35/$D$27</f>
        <v>5.9261800394829738</v>
      </c>
      <c r="H34" s="106"/>
      <c r="I34" s="106" t="s">
        <v>3</v>
      </c>
      <c r="J34" s="106"/>
      <c r="K34" s="106"/>
      <c r="L34" s="106"/>
    </row>
    <row r="35" spans="1:12" s="105" customFormat="1" ht="12" customHeight="1" x14ac:dyDescent="0.2">
      <c r="B35" s="106"/>
      <c r="C35" s="99" t="s">
        <v>118</v>
      </c>
      <c r="D35" s="130">
        <f>(Input!D15+D33)/2*Input!D38/Input!D17</f>
        <v>10.100414112308867</v>
      </c>
      <c r="E35" s="106"/>
      <c r="F35" s="106" t="s">
        <v>11</v>
      </c>
      <c r="G35" s="121">
        <f>D36/$D$27</f>
        <v>0.74077250493537172</v>
      </c>
      <c r="H35" s="106"/>
      <c r="I35" s="106" t="s">
        <v>3</v>
      </c>
      <c r="J35" s="106"/>
      <c r="K35" s="106"/>
      <c r="L35" s="106"/>
    </row>
    <row r="36" spans="1:12" s="105" customFormat="1" ht="12" customHeight="1" x14ac:dyDescent="0.2">
      <c r="B36" s="106"/>
      <c r="C36" s="99" t="s">
        <v>119</v>
      </c>
      <c r="D36" s="130">
        <f>(Input!D15+D33)/2*Input!D39/Input!D17</f>
        <v>1.2625517640386084</v>
      </c>
      <c r="E36" s="106"/>
      <c r="F36" s="106" t="s">
        <v>11</v>
      </c>
      <c r="G36" s="121">
        <f>D37/$D$27</f>
        <v>16.298437548191167</v>
      </c>
      <c r="H36" s="106"/>
      <c r="I36" s="106" t="s">
        <v>3</v>
      </c>
      <c r="J36" s="106"/>
      <c r="K36" s="106"/>
      <c r="L36" s="106"/>
    </row>
    <row r="37" spans="1:12" s="105" customFormat="1" ht="12" customHeight="1" x14ac:dyDescent="0.2">
      <c r="B37" s="106"/>
      <c r="C37" s="111" t="s">
        <v>120</v>
      </c>
      <c r="D37" s="130">
        <f>SUM(D34:D36)</f>
        <v>27.778597262241977</v>
      </c>
      <c r="E37" s="106"/>
      <c r="F37" s="106" t="s">
        <v>11</v>
      </c>
      <c r="G37" s="121">
        <f>D39/$D$27</f>
        <v>0.33184609422448941</v>
      </c>
      <c r="H37" s="106"/>
      <c r="I37" s="106" t="s">
        <v>3</v>
      </c>
      <c r="J37" s="106"/>
      <c r="K37" s="106"/>
      <c r="L37" s="106"/>
    </row>
    <row r="38" spans="1:12" s="105" customFormat="1" ht="5.0999999999999996" customHeight="1" x14ac:dyDescent="0.2">
      <c r="B38" s="106"/>
      <c r="C38" s="112"/>
      <c r="D38" s="130"/>
      <c r="E38" s="106"/>
      <c r="F38" s="106"/>
      <c r="G38" s="122"/>
      <c r="H38" s="106"/>
      <c r="I38" s="106"/>
      <c r="J38" s="106"/>
      <c r="K38" s="106"/>
      <c r="L38" s="106"/>
    </row>
    <row r="39" spans="1:12" s="105" customFormat="1" ht="12" customHeight="1" x14ac:dyDescent="0.2">
      <c r="B39" s="106"/>
      <c r="C39" s="99" t="s">
        <v>121</v>
      </c>
      <c r="D39" s="130">
        <f>(Input!D15*Workspace!D9*(Workspace!E34/Workspace!C27/1000)^Workspace!D10)/Workspace!E34</f>
        <v>0.56558912332876665</v>
      </c>
      <c r="E39" s="106"/>
      <c r="F39" s="106" t="s">
        <v>11</v>
      </c>
      <c r="G39" s="123"/>
      <c r="H39" s="106"/>
      <c r="I39" s="106" t="s">
        <v>3</v>
      </c>
      <c r="J39" s="106"/>
      <c r="K39" s="106"/>
      <c r="L39" s="106"/>
    </row>
    <row r="40" spans="1:12" s="105" customFormat="1" ht="12" customHeight="1" x14ac:dyDescent="0.2">
      <c r="B40" s="106"/>
      <c r="C40" s="99" t="s">
        <v>94</v>
      </c>
      <c r="D40" s="130"/>
      <c r="E40" s="106"/>
      <c r="F40" s="106" t="s">
        <v>11</v>
      </c>
      <c r="G40" s="124"/>
      <c r="H40" s="106"/>
      <c r="I40" s="106" t="s">
        <v>3</v>
      </c>
      <c r="J40" s="106"/>
      <c r="K40" s="106"/>
      <c r="L40" s="106"/>
    </row>
    <row r="41" spans="1:12" s="105" customFormat="1" ht="12" customHeight="1" x14ac:dyDescent="0.2">
      <c r="B41" s="106"/>
      <c r="C41" s="99" t="s">
        <v>95</v>
      </c>
      <c r="D41" s="130"/>
      <c r="E41" s="106"/>
      <c r="F41" s="106" t="s">
        <v>11</v>
      </c>
      <c r="G41" s="124"/>
      <c r="H41" s="106"/>
      <c r="I41" s="106" t="s">
        <v>3</v>
      </c>
      <c r="J41" s="106"/>
      <c r="K41" s="106"/>
      <c r="L41" s="106"/>
    </row>
    <row r="42" spans="1:12" s="105" customFormat="1" ht="12" customHeight="1" x14ac:dyDescent="0.2">
      <c r="B42" s="106"/>
      <c r="C42" s="111" t="s">
        <v>122</v>
      </c>
      <c r="D42" s="130">
        <f>SUM(D39:D41)</f>
        <v>0.56558912332876665</v>
      </c>
      <c r="E42" s="106"/>
      <c r="F42" s="106" t="s">
        <v>11</v>
      </c>
      <c r="G42" s="121">
        <f>D42/$D$27</f>
        <v>0.33184609422448941</v>
      </c>
      <c r="H42" s="106"/>
      <c r="I42" s="106" t="s">
        <v>3</v>
      </c>
      <c r="J42" s="106"/>
      <c r="K42" s="106"/>
      <c r="L42" s="106"/>
    </row>
    <row r="43" spans="1:12" s="105" customFormat="1" ht="5.0999999999999996" customHeight="1" x14ac:dyDescent="0.2">
      <c r="B43" s="106"/>
      <c r="C43" s="112"/>
      <c r="D43" s="120"/>
      <c r="E43" s="106"/>
      <c r="F43" s="106"/>
      <c r="G43" s="125"/>
      <c r="H43" s="106"/>
      <c r="I43" s="106"/>
      <c r="J43" s="106"/>
      <c r="K43" s="106"/>
      <c r="L43" s="106"/>
    </row>
    <row r="44" spans="1:12" s="105" customFormat="1" ht="12" customHeight="1" x14ac:dyDescent="0.2">
      <c r="B44" s="106"/>
      <c r="C44" s="111" t="s">
        <v>123</v>
      </c>
      <c r="D44" s="104">
        <f>D39+D37</f>
        <v>28.344186385570744</v>
      </c>
      <c r="E44" s="106"/>
      <c r="F44" s="106" t="s">
        <v>11</v>
      </c>
      <c r="G44" s="121">
        <f>D44/$D$27</f>
        <v>16.630283642415655</v>
      </c>
      <c r="H44" s="106"/>
      <c r="I44" s="106" t="s">
        <v>3</v>
      </c>
      <c r="J44" s="106"/>
      <c r="K44" s="106"/>
      <c r="L44" s="106"/>
    </row>
    <row r="45" spans="1:12" x14ac:dyDescent="0.2">
      <c r="A45" s="93"/>
      <c r="B45" s="93"/>
      <c r="C45" s="93"/>
      <c r="D45" s="93"/>
      <c r="E45" s="93"/>
      <c r="F45" s="93"/>
      <c r="G45" s="93"/>
      <c r="H45" s="93"/>
      <c r="I45" s="93"/>
      <c r="J45" s="93"/>
      <c r="K45" s="93"/>
    </row>
    <row r="46" spans="1:12" x14ac:dyDescent="0.2">
      <c r="A46" s="93"/>
      <c r="B46" s="93"/>
      <c r="C46" s="119" t="s">
        <v>63</v>
      </c>
      <c r="D46" s="115"/>
      <c r="E46" s="115"/>
      <c r="F46" s="115"/>
      <c r="G46" s="115"/>
      <c r="H46" s="115"/>
      <c r="I46" s="115"/>
      <c r="J46" s="93"/>
      <c r="K46" s="93"/>
    </row>
    <row r="47" spans="1:12" ht="5.0999999999999996" customHeight="1" x14ac:dyDescent="0.2">
      <c r="A47" s="93"/>
      <c r="B47" s="93"/>
      <c r="C47" s="93"/>
      <c r="D47" s="93"/>
      <c r="E47" s="93"/>
      <c r="F47" s="93"/>
      <c r="G47" s="93"/>
      <c r="H47" s="93"/>
      <c r="I47" s="93"/>
      <c r="J47" s="93"/>
      <c r="K47" s="93"/>
    </row>
    <row r="48" spans="1:12" x14ac:dyDescent="0.2">
      <c r="A48" s="93"/>
      <c r="B48" s="93"/>
      <c r="C48" s="99" t="s">
        <v>117</v>
      </c>
      <c r="D48" s="95">
        <f>G33+D13</f>
        <v>24.070086283864519</v>
      </c>
      <c r="E48" s="106"/>
      <c r="F48" s="106" t="s">
        <v>3</v>
      </c>
      <c r="G48" s="93"/>
      <c r="H48" s="93"/>
      <c r="I48" s="93"/>
      <c r="J48" s="93"/>
      <c r="K48" s="93"/>
    </row>
    <row r="49" spans="1:11" x14ac:dyDescent="0.2">
      <c r="A49" s="93"/>
      <c r="B49" s="93"/>
      <c r="C49" s="99" t="s">
        <v>118</v>
      </c>
      <c r="D49" s="95">
        <f>G34+D14</f>
        <v>18.50208113329052</v>
      </c>
      <c r="E49" s="106"/>
      <c r="F49" s="106" t="s">
        <v>3</v>
      </c>
      <c r="G49" s="93"/>
      <c r="H49" s="93"/>
      <c r="I49" s="93"/>
      <c r="J49" s="93"/>
      <c r="K49" s="93"/>
    </row>
    <row r="50" spans="1:11" x14ac:dyDescent="0.2">
      <c r="A50" s="93"/>
      <c r="B50" s="93"/>
      <c r="C50" s="99" t="s">
        <v>119</v>
      </c>
      <c r="D50" s="95">
        <f>G35+D15</f>
        <v>2.312760141661315</v>
      </c>
      <c r="E50" s="106"/>
      <c r="F50" s="106" t="s">
        <v>3</v>
      </c>
      <c r="G50" s="93"/>
      <c r="H50" s="93"/>
      <c r="I50" s="93"/>
      <c r="J50" s="93"/>
      <c r="K50" s="93"/>
    </row>
    <row r="51" spans="1:11" x14ac:dyDescent="0.2">
      <c r="A51" s="93"/>
      <c r="B51" s="93"/>
      <c r="C51" s="111" t="s">
        <v>120</v>
      </c>
      <c r="D51" s="95">
        <f>G36+D16</f>
        <v>44.884927558816358</v>
      </c>
      <c r="E51" s="106"/>
      <c r="F51" s="106" t="s">
        <v>3</v>
      </c>
      <c r="G51" s="93"/>
      <c r="H51" s="93"/>
      <c r="I51" s="93"/>
      <c r="J51" s="93"/>
      <c r="K51" s="93"/>
    </row>
    <row r="52" spans="1:11" ht="5.0999999999999996" customHeight="1" x14ac:dyDescent="0.2">
      <c r="A52" s="93"/>
      <c r="B52" s="93"/>
      <c r="C52" s="112"/>
      <c r="D52" s="104"/>
      <c r="E52" s="106"/>
      <c r="F52" s="106"/>
      <c r="G52" s="93"/>
      <c r="H52" s="93"/>
      <c r="I52" s="93"/>
      <c r="J52" s="93"/>
      <c r="K52" s="93"/>
    </row>
    <row r="53" spans="1:11" x14ac:dyDescent="0.2">
      <c r="A53" s="93"/>
      <c r="B53" s="93"/>
      <c r="C53" s="99" t="s">
        <v>121</v>
      </c>
      <c r="D53" s="95">
        <f>G37+D18</f>
        <v>5.7146866022228942</v>
      </c>
      <c r="E53" s="106"/>
      <c r="F53" s="106" t="s">
        <v>3</v>
      </c>
      <c r="G53" s="93"/>
      <c r="H53" s="93"/>
      <c r="I53" s="93"/>
      <c r="J53" s="93"/>
      <c r="K53" s="93"/>
    </row>
    <row r="54" spans="1:11" x14ac:dyDescent="0.2">
      <c r="A54" s="93"/>
      <c r="B54" s="93"/>
      <c r="C54" s="99" t="s">
        <v>94</v>
      </c>
      <c r="D54" s="95">
        <f>G40+D19</f>
        <v>36.643061132363151</v>
      </c>
      <c r="E54" s="106"/>
      <c r="F54" s="106" t="s">
        <v>3</v>
      </c>
      <c r="G54" s="93"/>
      <c r="H54" s="93"/>
      <c r="I54" s="93"/>
      <c r="J54" s="93"/>
      <c r="K54" s="93"/>
    </row>
    <row r="55" spans="1:11" x14ac:dyDescent="0.2">
      <c r="A55" s="93"/>
      <c r="B55" s="93"/>
      <c r="C55" s="99" t="s">
        <v>95</v>
      </c>
      <c r="D55" s="95">
        <f>G41+D20</f>
        <v>13.2</v>
      </c>
      <c r="E55" s="106"/>
      <c r="F55" s="106" t="s">
        <v>3</v>
      </c>
      <c r="G55" s="93"/>
      <c r="H55" s="93"/>
      <c r="I55" s="93"/>
      <c r="J55" s="93"/>
      <c r="K55" s="93"/>
    </row>
    <row r="56" spans="1:11" x14ac:dyDescent="0.2">
      <c r="A56" s="93"/>
      <c r="B56" s="93"/>
      <c r="C56" s="111" t="s">
        <v>122</v>
      </c>
      <c r="D56" s="95">
        <f>G42+D21</f>
        <v>55.557747734586044</v>
      </c>
      <c r="E56" s="106"/>
      <c r="F56" s="106" t="s">
        <v>3</v>
      </c>
      <c r="G56" s="93"/>
      <c r="H56" s="93"/>
      <c r="I56" s="93"/>
      <c r="J56" s="93"/>
      <c r="K56" s="93"/>
    </row>
    <row r="57" spans="1:11" ht="5.0999999999999996" customHeight="1" x14ac:dyDescent="0.2">
      <c r="A57" s="93"/>
      <c r="B57" s="93"/>
      <c r="C57" s="112"/>
      <c r="D57" s="106"/>
      <c r="E57" s="106"/>
      <c r="F57" s="106"/>
      <c r="G57" s="93"/>
      <c r="H57" s="93"/>
      <c r="I57" s="93"/>
      <c r="J57" s="93"/>
      <c r="K57" s="93"/>
    </row>
    <row r="58" spans="1:11" x14ac:dyDescent="0.2">
      <c r="A58" s="93"/>
      <c r="B58" s="93"/>
      <c r="C58" s="111" t="s">
        <v>123</v>
      </c>
      <c r="D58" s="95">
        <f>G44+D23</f>
        <v>100.4426752934024</v>
      </c>
      <c r="E58" s="106"/>
      <c r="F58" s="106" t="s">
        <v>3</v>
      </c>
      <c r="G58" s="93"/>
      <c r="H58" s="93"/>
      <c r="I58" s="93"/>
      <c r="J58" s="93"/>
      <c r="K58" s="93"/>
    </row>
    <row r="59" spans="1:11" s="31" customFormat="1" ht="5.0999999999999996" customHeight="1" x14ac:dyDescent="0.15">
      <c r="A59" s="97"/>
      <c r="B59" s="97"/>
      <c r="C59" s="112"/>
      <c r="D59" s="116"/>
      <c r="E59" s="107"/>
      <c r="F59" s="107"/>
      <c r="G59" s="97"/>
      <c r="H59" s="97"/>
      <c r="I59" s="97"/>
      <c r="J59" s="97"/>
      <c r="K59" s="97"/>
    </row>
    <row r="60" spans="1:11" x14ac:dyDescent="0.2">
      <c r="A60" s="93"/>
      <c r="B60" s="93"/>
      <c r="C60" s="111" t="s">
        <v>126</v>
      </c>
      <c r="D60" s="96">
        <f>(D51+D53)/$D$58</f>
        <v>0.50376609357758617</v>
      </c>
      <c r="E60" s="106"/>
      <c r="F60" s="106"/>
      <c r="G60" s="93"/>
      <c r="H60" s="93"/>
      <c r="I60" s="93"/>
      <c r="J60" s="93"/>
      <c r="K60" s="93"/>
    </row>
    <row r="61" spans="1:11" x14ac:dyDescent="0.2">
      <c r="A61" s="93"/>
      <c r="B61" s="93"/>
      <c r="C61" s="111" t="s">
        <v>127</v>
      </c>
      <c r="D61" s="96">
        <f>D54/$D$58</f>
        <v>0.36481566251919673</v>
      </c>
      <c r="E61" s="106"/>
      <c r="F61" s="106"/>
      <c r="G61" s="93"/>
      <c r="H61" s="93"/>
      <c r="I61" s="93"/>
      <c r="J61" s="93"/>
      <c r="K61" s="93"/>
    </row>
    <row r="62" spans="1:11" x14ac:dyDescent="0.2">
      <c r="A62" s="93"/>
      <c r="B62" s="93"/>
      <c r="C62" s="98" t="s">
        <v>128</v>
      </c>
      <c r="D62" s="96">
        <f>D55/$D$58</f>
        <v>0.13141824390321713</v>
      </c>
      <c r="E62" s="93"/>
      <c r="F62" s="93"/>
      <c r="G62" s="93"/>
      <c r="H62" s="93"/>
      <c r="I62" s="93"/>
      <c r="J62" s="93"/>
      <c r="K62" s="93"/>
    </row>
    <row r="63" spans="1:11" x14ac:dyDescent="0.2">
      <c r="A63" s="93"/>
      <c r="B63" s="93"/>
      <c r="C63" s="93"/>
      <c r="D63" s="93"/>
      <c r="E63" s="93"/>
      <c r="F63" s="93"/>
      <c r="G63" s="93"/>
      <c r="H63" s="93"/>
      <c r="I63" s="93"/>
      <c r="J63" s="93"/>
      <c r="K63" s="93"/>
    </row>
    <row r="64" spans="1:11" x14ac:dyDescent="0.2">
      <c r="A64" s="93"/>
      <c r="B64" s="184"/>
      <c r="C64" s="185"/>
      <c r="D64" s="185"/>
      <c r="E64" s="185"/>
      <c r="F64" s="185"/>
      <c r="G64" s="185"/>
      <c r="H64" s="185"/>
      <c r="I64" s="185"/>
      <c r="J64" s="192"/>
      <c r="K64" s="93"/>
    </row>
    <row r="65" spans="1:11" x14ac:dyDescent="0.2">
      <c r="A65" s="93"/>
      <c r="B65" s="93"/>
      <c r="C65" s="93"/>
      <c r="D65" s="93"/>
      <c r="E65" s="93"/>
      <c r="F65" s="93"/>
      <c r="G65" s="93"/>
      <c r="H65" s="93"/>
      <c r="I65" s="93"/>
      <c r="J65" s="93"/>
      <c r="K65" s="93"/>
    </row>
    <row r="66" spans="1:11" x14ac:dyDescent="0.2">
      <c r="A66" s="93"/>
      <c r="B66" s="93"/>
      <c r="C66" s="93"/>
      <c r="D66" s="93"/>
      <c r="E66" s="93"/>
      <c r="F66" s="93"/>
      <c r="G66" s="93"/>
      <c r="H66" s="93"/>
      <c r="I66" s="93"/>
      <c r="J66" s="93"/>
      <c r="K66" s="93"/>
    </row>
    <row r="67" spans="1:11" x14ac:dyDescent="0.2">
      <c r="A67" s="93"/>
      <c r="B67" s="93"/>
      <c r="C67" s="93"/>
      <c r="D67" s="93"/>
      <c r="E67" s="93"/>
      <c r="F67" s="93"/>
      <c r="G67" s="93"/>
      <c r="H67" s="93"/>
      <c r="I67" s="93"/>
      <c r="J67" s="93"/>
      <c r="K67" s="93"/>
    </row>
    <row r="68" spans="1:11" x14ac:dyDescent="0.2">
      <c r="A68" s="93"/>
      <c r="B68" s="93"/>
      <c r="C68" s="93"/>
      <c r="D68" s="93"/>
      <c r="E68" s="93"/>
      <c r="F68" s="93"/>
      <c r="G68" s="93"/>
      <c r="H68" s="93"/>
      <c r="I68" s="93"/>
      <c r="J68" s="93"/>
      <c r="K68" s="93"/>
    </row>
    <row r="69" spans="1:11" x14ac:dyDescent="0.2">
      <c r="A69" s="93"/>
      <c r="B69" s="93"/>
      <c r="C69" s="93"/>
      <c r="D69" s="93"/>
      <c r="E69" s="93"/>
      <c r="F69" s="93"/>
      <c r="G69" s="93"/>
      <c r="H69" s="93"/>
      <c r="I69" s="93"/>
      <c r="J69" s="93"/>
      <c r="K69" s="93"/>
    </row>
    <row r="70" spans="1:11" x14ac:dyDescent="0.2">
      <c r="A70" s="93"/>
      <c r="B70" s="93"/>
      <c r="C70" s="93"/>
      <c r="D70" s="93"/>
      <c r="E70" s="93"/>
      <c r="F70" s="93"/>
      <c r="G70" s="93"/>
      <c r="H70" s="93"/>
      <c r="I70" s="93"/>
      <c r="J70" s="93"/>
      <c r="K70" s="93"/>
    </row>
    <row r="71" spans="1:11" x14ac:dyDescent="0.2">
      <c r="A71" s="93"/>
      <c r="B71" s="93"/>
      <c r="C71" s="93"/>
      <c r="D71" s="93"/>
      <c r="E71" s="93"/>
      <c r="F71" s="93"/>
      <c r="G71" s="93"/>
      <c r="H71" s="93"/>
      <c r="I71" s="93"/>
      <c r="J71" s="93"/>
      <c r="K71" s="93"/>
    </row>
    <row r="72" spans="1:11" x14ac:dyDescent="0.2">
      <c r="A72" s="93"/>
      <c r="B72" s="93"/>
      <c r="C72" s="93"/>
      <c r="D72" s="93"/>
      <c r="E72" s="93"/>
      <c r="F72" s="93"/>
      <c r="G72" s="93"/>
      <c r="H72" s="93"/>
      <c r="I72" s="93"/>
      <c r="J72" s="93"/>
      <c r="K72" s="93"/>
    </row>
    <row r="73" spans="1:11" x14ac:dyDescent="0.2">
      <c r="A73" s="93"/>
      <c r="B73" s="93"/>
      <c r="C73" s="93"/>
      <c r="D73" s="93"/>
      <c r="E73" s="93"/>
      <c r="F73" s="93"/>
      <c r="G73" s="93"/>
      <c r="H73" s="93"/>
      <c r="I73" s="93"/>
      <c r="J73" s="93"/>
      <c r="K73" s="93"/>
    </row>
    <row r="74" spans="1:11" x14ac:dyDescent="0.2">
      <c r="A74" s="93"/>
      <c r="B74" s="93"/>
      <c r="C74" s="93"/>
      <c r="D74" s="93"/>
      <c r="E74" s="93"/>
      <c r="F74" s="93"/>
      <c r="G74" s="93"/>
      <c r="H74" s="93"/>
      <c r="I74" s="93"/>
      <c r="J74" s="93"/>
      <c r="K74" s="93"/>
    </row>
    <row r="75" spans="1:11" x14ac:dyDescent="0.2">
      <c r="A75" s="93"/>
      <c r="B75" s="93"/>
      <c r="C75" s="93"/>
      <c r="D75" s="93"/>
      <c r="E75" s="93"/>
      <c r="F75" s="93"/>
      <c r="G75" s="93"/>
      <c r="H75" s="93"/>
      <c r="I75" s="93"/>
      <c r="J75" s="93"/>
      <c r="K75" s="93"/>
    </row>
    <row r="76" spans="1:11" x14ac:dyDescent="0.2">
      <c r="A76" s="93"/>
      <c r="B76" s="93"/>
      <c r="C76" s="93"/>
      <c r="D76" s="93"/>
      <c r="E76" s="93"/>
      <c r="F76" s="93"/>
      <c r="G76" s="93"/>
      <c r="H76" s="93"/>
      <c r="I76" s="93"/>
      <c r="J76" s="93"/>
      <c r="K76" s="93"/>
    </row>
    <row r="77" spans="1:11" x14ac:dyDescent="0.2">
      <c r="A77" s="93"/>
      <c r="B77" s="93"/>
      <c r="C77" s="93"/>
      <c r="D77" s="93"/>
      <c r="E77" s="93"/>
      <c r="F77" s="93"/>
      <c r="G77" s="93"/>
      <c r="H77" s="93"/>
      <c r="I77" s="93"/>
      <c r="J77" s="93"/>
      <c r="K77" s="93"/>
    </row>
    <row r="78" spans="1:11" x14ac:dyDescent="0.2">
      <c r="A78" s="93"/>
      <c r="B78" s="93"/>
      <c r="C78" s="93"/>
      <c r="D78" s="93"/>
      <c r="E78" s="93"/>
      <c r="F78" s="93"/>
      <c r="G78" s="93"/>
      <c r="H78" s="93"/>
      <c r="I78" s="93"/>
      <c r="J78" s="93"/>
      <c r="K78" s="93"/>
    </row>
    <row r="79" spans="1:11" x14ac:dyDescent="0.2">
      <c r="A79" s="93"/>
      <c r="B79" s="93"/>
      <c r="C79" s="93"/>
      <c r="D79" s="93"/>
      <c r="E79" s="93"/>
      <c r="F79" s="93"/>
      <c r="G79" s="93"/>
      <c r="H79" s="93"/>
      <c r="I79" s="93"/>
      <c r="J79" s="93"/>
      <c r="K79" s="93"/>
    </row>
    <row r="80" spans="1:11" x14ac:dyDescent="0.2">
      <c r="A80" s="93"/>
      <c r="B80" s="93"/>
      <c r="C80" s="93"/>
      <c r="D80" s="93"/>
      <c r="E80" s="93"/>
      <c r="F80" s="93"/>
      <c r="G80" s="93"/>
      <c r="H80" s="93"/>
      <c r="I80" s="93"/>
      <c r="J80" s="93"/>
      <c r="K80" s="93"/>
    </row>
    <row r="81" spans="1:11" x14ac:dyDescent="0.2">
      <c r="A81" s="93"/>
      <c r="B81" s="93"/>
      <c r="C81" s="93"/>
      <c r="D81" s="93"/>
      <c r="E81" s="93"/>
      <c r="F81" s="93"/>
      <c r="G81" s="93"/>
      <c r="H81" s="93"/>
      <c r="I81" s="93"/>
      <c r="J81" s="93"/>
      <c r="K81" s="93"/>
    </row>
    <row r="82" spans="1:11" x14ac:dyDescent="0.2">
      <c r="A82" s="93"/>
      <c r="B82" s="93"/>
      <c r="C82" s="93"/>
      <c r="D82" s="93"/>
      <c r="E82" s="93"/>
      <c r="F82" s="93"/>
      <c r="G82" s="93"/>
      <c r="H82" s="93"/>
      <c r="I82" s="93"/>
      <c r="J82" s="93"/>
      <c r="K82" s="93"/>
    </row>
    <row r="83" spans="1:11" x14ac:dyDescent="0.2">
      <c r="A83" s="93"/>
      <c r="B83" s="93"/>
      <c r="C83" s="93"/>
      <c r="D83" s="93"/>
      <c r="E83" s="93"/>
      <c r="F83" s="93"/>
      <c r="G83" s="93"/>
      <c r="H83" s="93"/>
      <c r="I83" s="93"/>
      <c r="J83" s="93"/>
      <c r="K83" s="93"/>
    </row>
    <row r="84" spans="1:11" x14ac:dyDescent="0.2">
      <c r="A84" s="93"/>
      <c r="B84" s="93"/>
      <c r="C84" s="93"/>
      <c r="D84" s="93"/>
      <c r="E84" s="93"/>
      <c r="F84" s="93"/>
      <c r="G84" s="93"/>
      <c r="H84" s="93"/>
      <c r="I84" s="93"/>
      <c r="J84" s="93"/>
      <c r="K84" s="93"/>
    </row>
    <row r="85" spans="1:11" x14ac:dyDescent="0.2">
      <c r="A85" s="93"/>
      <c r="B85" s="93"/>
      <c r="C85" s="93"/>
      <c r="D85" s="93"/>
      <c r="E85" s="93"/>
      <c r="F85" s="93"/>
      <c r="G85" s="93"/>
      <c r="H85" s="93"/>
      <c r="I85" s="93"/>
      <c r="J85" s="93"/>
      <c r="K85" s="93"/>
    </row>
    <row r="86" spans="1:11" x14ac:dyDescent="0.2">
      <c r="A86" s="93"/>
      <c r="B86" s="93"/>
      <c r="C86" s="93"/>
      <c r="D86" s="93"/>
      <c r="E86" s="93"/>
      <c r="F86" s="93"/>
      <c r="G86" s="93"/>
      <c r="H86" s="93"/>
      <c r="I86" s="93"/>
      <c r="J86" s="93"/>
      <c r="K86" s="93"/>
    </row>
  </sheetData>
  <sheetProtection sheet="1" objects="1" scenarios="1"/>
  <mergeCells count="3">
    <mergeCell ref="B2:J2"/>
    <mergeCell ref="B64:J64"/>
    <mergeCell ref="B3:J3"/>
  </mergeCells>
  <phoneticPr fontId="0" type="noConversion"/>
  <pageMargins left="0.75" right="0.75" top="0.75" bottom="0.58599999999999997" header="0.5" footer="0.5"/>
  <pageSetup scale="70" orientation="portrait" r:id="rId1"/>
  <headerFooter alignWithMargins="0">
    <oddHeader>&amp;F</oddHeader>
    <oddFooter>&amp;L&amp;D&amp;C&amp;A&amp;R+</oddFooter>
  </headerFooter>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
  <dimension ref="A1:K36"/>
  <sheetViews>
    <sheetView defaultGridColor="0" colorId="22" zoomScaleNormal="100" workbookViewId="0">
      <selection activeCell="H7" sqref="H7"/>
    </sheetView>
  </sheetViews>
  <sheetFormatPr defaultColWidth="9.7109375" defaultRowHeight="12.75" x14ac:dyDescent="0.2"/>
  <cols>
    <col min="2" max="2" width="17.7109375" customWidth="1"/>
    <col min="3" max="3" width="9.85546875" bestFit="1" customWidth="1"/>
    <col min="4" max="4" width="10.140625" bestFit="1" customWidth="1"/>
    <col min="5" max="5" width="9.85546875" bestFit="1" customWidth="1"/>
  </cols>
  <sheetData>
    <row r="1" spans="1:11" x14ac:dyDescent="0.2">
      <c r="A1" s="12"/>
      <c r="B1" s="12"/>
      <c r="C1" s="12"/>
      <c r="D1" s="12"/>
      <c r="E1" s="12"/>
      <c r="F1" s="12"/>
      <c r="G1" s="12"/>
      <c r="H1" s="12"/>
      <c r="I1" s="12"/>
      <c r="J1" s="12"/>
      <c r="K1" s="12"/>
    </row>
    <row r="2" spans="1:11" ht="18.75" x14ac:dyDescent="0.3">
      <c r="A2" s="10"/>
      <c r="B2" s="4" t="s">
        <v>30</v>
      </c>
      <c r="C2" s="5"/>
      <c r="D2" s="6"/>
      <c r="E2" s="12"/>
      <c r="F2" s="12" t="s">
        <v>31</v>
      </c>
      <c r="G2" s="12"/>
      <c r="H2" s="12"/>
      <c r="I2" s="12"/>
      <c r="J2" s="12"/>
      <c r="K2" s="12"/>
    </row>
    <row r="3" spans="1:11" ht="15.75" x14ac:dyDescent="0.25">
      <c r="A3" s="10"/>
      <c r="B3" s="1"/>
      <c r="C3" s="2" t="s">
        <v>1</v>
      </c>
      <c r="D3" s="3" t="s">
        <v>2</v>
      </c>
      <c r="E3" s="12"/>
      <c r="F3" s="12"/>
      <c r="G3" s="12"/>
      <c r="H3" s="12"/>
      <c r="I3" s="12"/>
      <c r="J3" s="12"/>
      <c r="K3" s="12"/>
    </row>
    <row r="4" spans="1:11" ht="15.75" x14ac:dyDescent="0.25">
      <c r="A4" s="10"/>
      <c r="B4" s="1" t="s">
        <v>32</v>
      </c>
      <c r="C4" s="2"/>
      <c r="D4" s="3"/>
      <c r="E4" s="12"/>
      <c r="F4" s="12"/>
      <c r="G4" s="12"/>
      <c r="H4" s="12"/>
      <c r="I4" s="12"/>
      <c r="J4" s="12"/>
      <c r="K4" s="12"/>
    </row>
    <row r="5" spans="1:11" ht="15.75" x14ac:dyDescent="0.25">
      <c r="A5" s="10"/>
      <c r="B5" s="1" t="s">
        <v>33</v>
      </c>
      <c r="C5" s="13">
        <v>0.68</v>
      </c>
      <c r="D5" s="14">
        <v>0.6</v>
      </c>
      <c r="E5" s="12"/>
      <c r="F5" s="12"/>
      <c r="G5" s="12"/>
      <c r="H5" s="12"/>
      <c r="I5" s="12"/>
      <c r="J5" s="12"/>
      <c r="K5" s="12"/>
    </row>
    <row r="6" spans="1:11" ht="15.75" x14ac:dyDescent="0.25">
      <c r="A6" s="10"/>
      <c r="B6" s="1" t="s">
        <v>34</v>
      </c>
      <c r="C6" s="13">
        <v>0.92</v>
      </c>
      <c r="D6" s="14">
        <v>0.88500000000000001</v>
      </c>
      <c r="E6" s="12"/>
      <c r="F6" s="12"/>
      <c r="G6" s="12"/>
      <c r="H6" s="12"/>
      <c r="I6" s="12"/>
      <c r="J6" s="12"/>
      <c r="K6" s="12"/>
    </row>
    <row r="7" spans="1:11" ht="15.75" x14ac:dyDescent="0.25">
      <c r="A7" s="10"/>
      <c r="B7" s="1"/>
      <c r="C7" s="2"/>
      <c r="D7" s="3"/>
      <c r="E7" s="12"/>
      <c r="F7" s="12"/>
      <c r="G7" s="12"/>
      <c r="H7" s="12"/>
      <c r="I7" s="12"/>
      <c r="J7" s="12"/>
      <c r="K7" s="12"/>
    </row>
    <row r="8" spans="1:11" ht="15.75" x14ac:dyDescent="0.25">
      <c r="A8" s="10"/>
      <c r="B8" s="1" t="s">
        <v>35</v>
      </c>
      <c r="C8" s="2"/>
      <c r="D8" s="3"/>
      <c r="E8" s="12"/>
      <c r="F8" s="12"/>
      <c r="G8" s="12"/>
      <c r="H8" s="12"/>
      <c r="I8" s="12"/>
      <c r="J8" s="12"/>
      <c r="K8" s="12"/>
    </row>
    <row r="9" spans="1:11" ht="15.75" x14ac:dyDescent="0.25">
      <c r="A9" s="10"/>
      <c r="B9" s="1" t="s">
        <v>36</v>
      </c>
      <c r="C9" s="15">
        <v>7.0000000000000001E-3</v>
      </c>
      <c r="D9" s="14">
        <v>0.16</v>
      </c>
      <c r="E9" s="12"/>
      <c r="F9" s="12"/>
      <c r="G9" s="12"/>
      <c r="H9" s="12"/>
      <c r="I9" s="12"/>
      <c r="J9" s="12"/>
      <c r="K9" s="12"/>
    </row>
    <row r="10" spans="1:11" ht="15.75" x14ac:dyDescent="0.25">
      <c r="A10" s="10"/>
      <c r="B10" s="1" t="s">
        <v>37</v>
      </c>
      <c r="C10" s="15">
        <v>2</v>
      </c>
      <c r="D10" s="14">
        <v>1.6</v>
      </c>
      <c r="E10" s="12"/>
      <c r="F10" s="12"/>
      <c r="G10" s="12"/>
      <c r="H10" s="12"/>
      <c r="I10" s="12"/>
      <c r="J10" s="12"/>
      <c r="K10" s="12"/>
    </row>
    <row r="11" spans="1:11" ht="15.75" x14ac:dyDescent="0.25">
      <c r="A11" s="10"/>
      <c r="B11" s="1" t="s">
        <v>38</v>
      </c>
      <c r="C11" s="15">
        <v>0.67</v>
      </c>
      <c r="D11" s="3"/>
      <c r="E11" s="12"/>
      <c r="F11" s="12"/>
      <c r="G11" s="12"/>
      <c r="H11" s="12"/>
      <c r="I11" s="12"/>
      <c r="J11" s="12"/>
      <c r="K11" s="12"/>
    </row>
    <row r="12" spans="1:11" ht="15.75" x14ac:dyDescent="0.25">
      <c r="A12" s="10"/>
      <c r="B12" s="1"/>
      <c r="C12" s="2"/>
      <c r="D12" s="3"/>
      <c r="E12" s="12"/>
      <c r="F12" s="12"/>
      <c r="G12" s="12"/>
      <c r="H12" s="12"/>
      <c r="I12" s="12"/>
      <c r="J12" s="12"/>
      <c r="K12" s="12"/>
    </row>
    <row r="13" spans="1:11" ht="15.75" x14ac:dyDescent="0.25">
      <c r="A13" s="10"/>
      <c r="B13" s="1" t="s">
        <v>39</v>
      </c>
      <c r="C13" s="2"/>
      <c r="D13" s="3"/>
      <c r="E13" s="12"/>
      <c r="F13" s="12"/>
      <c r="G13" s="12"/>
      <c r="H13" s="12"/>
      <c r="I13" s="12"/>
      <c r="J13" s="12"/>
      <c r="K13" s="12"/>
    </row>
    <row r="14" spans="1:11" ht="15.75" x14ac:dyDescent="0.25">
      <c r="A14" s="10"/>
      <c r="B14" s="1" t="s">
        <v>40</v>
      </c>
      <c r="C14" s="2" t="s">
        <v>41</v>
      </c>
      <c r="D14" s="3" t="s">
        <v>42</v>
      </c>
      <c r="E14" s="12"/>
      <c r="F14" s="12"/>
      <c r="G14" s="12"/>
      <c r="H14" s="12"/>
      <c r="I14" s="12"/>
      <c r="J14" s="12"/>
      <c r="K14" s="12"/>
    </row>
    <row r="15" spans="1:11" ht="15.75" x14ac:dyDescent="0.25">
      <c r="A15" s="10"/>
      <c r="B15" s="16">
        <f>Input!$D$7*(0.88507-0.05827*Input!$D$8^0.46-0.00018*'Machinery Costs'!$D$9^0.9)^2.17</f>
        <v>49554.846660411167</v>
      </c>
      <c r="C15" s="17">
        <f>Input!$D$7*(0.9769-0.02301*Input!$D$8^0.76-0.0012*'Machinery Costs'!$D$9^0.6)^3.85</f>
        <v>46643.194296929731</v>
      </c>
      <c r="D15" s="18">
        <f>Input!$D$7*(1.18985-0.22231*Input!$D$8^0.35-0.00766*'Machinery Costs'!$D$9^0.39)^2.22</f>
        <v>36176.356743639764</v>
      </c>
      <c r="E15" s="12"/>
      <c r="F15" s="12"/>
      <c r="G15" s="12"/>
      <c r="H15" s="12"/>
      <c r="I15" s="12"/>
      <c r="J15" s="12"/>
      <c r="K15" s="12"/>
    </row>
    <row r="16" spans="1:11" x14ac:dyDescent="0.2">
      <c r="A16" s="12"/>
      <c r="B16" s="12"/>
      <c r="C16" s="12"/>
      <c r="D16" s="12"/>
      <c r="E16" s="12"/>
      <c r="F16" s="12"/>
      <c r="G16" s="12"/>
      <c r="H16" s="12"/>
      <c r="I16" s="12"/>
      <c r="J16" s="12"/>
      <c r="K16" s="12"/>
    </row>
    <row r="17" spans="1:11" ht="14.25" x14ac:dyDescent="0.2">
      <c r="A17" s="10"/>
      <c r="B17" s="11" t="s">
        <v>43</v>
      </c>
      <c r="C17" s="19">
        <f>(Input!D22*43560)^0.5/5280</f>
        <v>0.22360679774997896</v>
      </c>
      <c r="D17" s="11" t="s">
        <v>7</v>
      </c>
      <c r="E17" s="12"/>
      <c r="F17" s="12"/>
      <c r="G17" s="12"/>
      <c r="H17" s="12"/>
      <c r="I17" s="12"/>
      <c r="J17" s="12"/>
      <c r="K17" s="12"/>
    </row>
    <row r="18" spans="1:11" ht="14.25" x14ac:dyDescent="0.2">
      <c r="A18" s="10"/>
      <c r="B18" s="11" t="s">
        <v>44</v>
      </c>
      <c r="C18" s="19">
        <f>(Input!D22*43560)^0.5/5280</f>
        <v>0.22360679774997896</v>
      </c>
      <c r="D18" s="11"/>
      <c r="E18" s="12"/>
      <c r="F18" s="12"/>
      <c r="G18" s="12"/>
      <c r="H18" s="12"/>
      <c r="I18" s="12"/>
      <c r="J18" s="12"/>
      <c r="K18" s="12"/>
    </row>
    <row r="19" spans="1:11" ht="14.25" x14ac:dyDescent="0.2">
      <c r="A19" s="10"/>
      <c r="B19" s="11" t="s">
        <v>45</v>
      </c>
      <c r="C19" s="11">
        <f>1/(Input!D27/Input!D18)*43560/Input!D26</f>
        <v>3484.8</v>
      </c>
      <c r="D19" s="11" t="s">
        <v>9</v>
      </c>
      <c r="E19" s="12"/>
      <c r="F19" s="12"/>
      <c r="G19" s="12"/>
      <c r="H19" s="12"/>
      <c r="I19" s="12"/>
      <c r="J19" s="12"/>
      <c r="K19" s="12"/>
    </row>
    <row r="20" spans="1:11" ht="14.25" x14ac:dyDescent="0.2">
      <c r="A20" s="10"/>
      <c r="B20" s="11" t="s">
        <v>46</v>
      </c>
      <c r="C20" s="20">
        <f>C18*5280/C19</f>
        <v>0.33879817840905901</v>
      </c>
      <c r="D20" s="11"/>
      <c r="E20" s="12"/>
      <c r="F20" s="12"/>
      <c r="G20" s="12"/>
      <c r="H20" s="12"/>
      <c r="I20" s="12"/>
      <c r="J20" s="12"/>
      <c r="K20" s="12"/>
    </row>
    <row r="21" spans="1:11" ht="14.25" x14ac:dyDescent="0.2">
      <c r="A21" s="10"/>
      <c r="B21" s="11" t="s">
        <v>47</v>
      </c>
      <c r="C21" s="11">
        <f>C17*5280/Input!D26</f>
        <v>78.709592807992593</v>
      </c>
      <c r="D21" s="11"/>
      <c r="E21" s="12"/>
      <c r="F21" s="12"/>
      <c r="G21" s="12"/>
      <c r="H21" s="12"/>
      <c r="I21" s="12"/>
      <c r="J21" s="12"/>
      <c r="K21" s="12"/>
    </row>
    <row r="22" spans="1:11" ht="14.25" x14ac:dyDescent="0.2">
      <c r="A22" s="10"/>
      <c r="B22" s="11" t="s">
        <v>48</v>
      </c>
      <c r="C22" s="11">
        <f>C21*Input!D26*C19/43560</f>
        <v>94.451511369591117</v>
      </c>
      <c r="D22" s="11"/>
      <c r="E22" s="12"/>
      <c r="F22" s="12"/>
      <c r="G22" s="12"/>
      <c r="H22" s="12"/>
      <c r="I22" s="12"/>
      <c r="J22" s="12"/>
      <c r="K22" s="12"/>
    </row>
    <row r="23" spans="1:11" ht="14.25" x14ac:dyDescent="0.2">
      <c r="A23" s="10"/>
      <c r="B23" s="11" t="s">
        <v>49</v>
      </c>
      <c r="C23" s="11">
        <f>C17*5280/C24</f>
        <v>26.666666666666668</v>
      </c>
      <c r="D23" s="11"/>
      <c r="E23" s="12"/>
      <c r="F23" s="12"/>
      <c r="G23" s="12"/>
      <c r="H23" s="12"/>
      <c r="I23" s="12"/>
      <c r="J23" s="12"/>
      <c r="K23" s="12"/>
    </row>
    <row r="24" spans="1:11" ht="14.25" x14ac:dyDescent="0.2">
      <c r="A24" s="10"/>
      <c r="B24" s="11" t="s">
        <v>50</v>
      </c>
      <c r="C24" s="11">
        <f>C19/(C25*C19)*Input!D26</f>
        <v>44.274145954495836</v>
      </c>
      <c r="D24" s="11"/>
      <c r="E24" s="12"/>
      <c r="F24" s="12"/>
      <c r="G24" s="12"/>
      <c r="H24" s="12"/>
      <c r="I24" s="12"/>
      <c r="J24" s="12"/>
      <c r="K24" s="12"/>
    </row>
    <row r="25" spans="1:11" ht="14.25" x14ac:dyDescent="0.2">
      <c r="A25" s="10"/>
      <c r="B25" s="11" t="s">
        <v>51</v>
      </c>
      <c r="C25" s="11">
        <f>C20-TRUNC(C20)</f>
        <v>0.33879817840905901</v>
      </c>
      <c r="D25" s="11"/>
      <c r="E25" s="12"/>
      <c r="F25" s="12"/>
      <c r="G25" s="12"/>
      <c r="H25" s="12"/>
      <c r="I25" s="12"/>
      <c r="J25" s="12"/>
      <c r="K25" s="12"/>
    </row>
    <row r="26" spans="1:11" ht="14.25" x14ac:dyDescent="0.2">
      <c r="A26" s="10"/>
      <c r="B26" s="11" t="s">
        <v>52</v>
      </c>
      <c r="C26" s="11">
        <v>0.8</v>
      </c>
      <c r="D26" s="11"/>
      <c r="E26" s="12"/>
      <c r="F26" s="12"/>
      <c r="G26" s="12"/>
      <c r="H26" s="12"/>
      <c r="I26" s="12"/>
      <c r="J26" s="12"/>
      <c r="K26" s="12"/>
    </row>
    <row r="27" spans="1:11" ht="14.25" x14ac:dyDescent="0.2">
      <c r="A27" s="10"/>
      <c r="B27" s="21" t="s">
        <v>53</v>
      </c>
      <c r="C27" s="21">
        <f>Input!D25*Input!D26*5280/43560*C26</f>
        <v>5.8181818181818183</v>
      </c>
      <c r="D27" s="21"/>
      <c r="E27" s="12"/>
      <c r="F27" s="12"/>
      <c r="G27" s="12"/>
      <c r="H27" s="12"/>
      <c r="I27" s="12"/>
      <c r="J27" s="12"/>
      <c r="K27" s="12"/>
    </row>
    <row r="28" spans="1:11" x14ac:dyDescent="0.2">
      <c r="A28" s="10"/>
      <c r="B28" s="10"/>
      <c r="C28" s="10"/>
      <c r="D28" s="10"/>
      <c r="E28" s="12"/>
      <c r="F28" s="12"/>
      <c r="G28" s="12"/>
      <c r="H28" s="12"/>
      <c r="I28" s="12"/>
      <c r="J28" s="12"/>
      <c r="K28" s="12"/>
    </row>
    <row r="29" spans="1:11" x14ac:dyDescent="0.2">
      <c r="A29" s="12"/>
      <c r="B29" s="12"/>
      <c r="C29" s="12"/>
      <c r="D29" s="12"/>
      <c r="E29" s="12"/>
      <c r="F29" s="12"/>
      <c r="G29" s="12"/>
      <c r="H29" s="12"/>
      <c r="I29" s="12"/>
      <c r="J29" s="12"/>
      <c r="K29" s="12"/>
    </row>
    <row r="30" spans="1:11" ht="14.25" x14ac:dyDescent="0.2">
      <c r="A30" s="10"/>
      <c r="B30" s="21" t="s">
        <v>54</v>
      </c>
      <c r="C30" s="21"/>
      <c r="D30" s="21"/>
      <c r="E30" s="12"/>
      <c r="F30" s="12"/>
      <c r="G30" s="12"/>
      <c r="H30" s="12"/>
      <c r="I30" s="12"/>
      <c r="J30" s="12"/>
      <c r="K30" s="12"/>
    </row>
    <row r="31" spans="1:11" ht="14.25" x14ac:dyDescent="0.2">
      <c r="A31" s="10"/>
      <c r="B31" s="21" t="s">
        <v>55</v>
      </c>
      <c r="C31" s="21"/>
      <c r="D31" s="21"/>
      <c r="E31" s="12"/>
      <c r="F31" s="12"/>
      <c r="G31" s="12"/>
      <c r="H31" s="12"/>
      <c r="I31" s="12"/>
      <c r="J31" s="12"/>
      <c r="K31" s="12"/>
    </row>
    <row r="32" spans="1:11" x14ac:dyDescent="0.2">
      <c r="A32" s="10"/>
      <c r="B32" s="10"/>
      <c r="C32" s="10"/>
      <c r="D32" s="10"/>
      <c r="E32" s="12"/>
      <c r="F32" s="12"/>
      <c r="G32" s="12"/>
      <c r="H32" s="12"/>
      <c r="I32" s="12"/>
      <c r="J32" s="12"/>
      <c r="K32" s="12"/>
    </row>
    <row r="33" spans="1:11" x14ac:dyDescent="0.2">
      <c r="A33" s="10"/>
      <c r="B33" s="10"/>
      <c r="C33" s="10" t="s">
        <v>1</v>
      </c>
      <c r="D33" s="10"/>
      <c r="E33" s="10" t="s">
        <v>2</v>
      </c>
      <c r="F33" s="10"/>
      <c r="G33" s="10"/>
      <c r="H33" s="10"/>
      <c r="I33" s="10"/>
      <c r="J33" s="10"/>
      <c r="K33" s="12"/>
    </row>
    <row r="34" spans="1:11" ht="14.25" x14ac:dyDescent="0.2">
      <c r="A34" s="10"/>
      <c r="B34" s="7" t="s">
        <v>56</v>
      </c>
      <c r="C34" s="11">
        <f>Input!D8*'Machinery Costs'!D9</f>
        <v>6151.8177234267478</v>
      </c>
      <c r="D34" s="9" t="s">
        <v>6</v>
      </c>
      <c r="E34" s="11">
        <f>Input!D16*Input!D17</f>
        <v>1920</v>
      </c>
      <c r="F34" s="8" t="s">
        <v>5</v>
      </c>
      <c r="G34" s="10"/>
      <c r="H34" s="10"/>
      <c r="I34" s="10"/>
      <c r="J34" s="10"/>
      <c r="K34" s="12"/>
    </row>
    <row r="35" spans="1:11" x14ac:dyDescent="0.2">
      <c r="A35" s="10"/>
      <c r="B35" s="10"/>
      <c r="C35" s="10"/>
      <c r="D35" s="10"/>
      <c r="E35" s="10">
        <f>E34/C27</f>
        <v>330</v>
      </c>
      <c r="F35" s="10" t="s">
        <v>6</v>
      </c>
      <c r="G35" s="10"/>
      <c r="H35" s="10"/>
      <c r="I35" s="10"/>
      <c r="J35" s="10"/>
      <c r="K35" s="12"/>
    </row>
    <row r="36" spans="1:11" x14ac:dyDescent="0.2">
      <c r="A36" s="12"/>
      <c r="B36" s="12"/>
      <c r="C36" s="12"/>
      <c r="D36" s="12"/>
      <c r="E36" s="12"/>
      <c r="F36" s="12"/>
      <c r="G36" s="12"/>
      <c r="H36" s="12"/>
      <c r="I36" s="12"/>
      <c r="J36" s="12"/>
      <c r="K36" s="12"/>
    </row>
  </sheetData>
  <phoneticPr fontId="0" type="noConversion"/>
  <pageMargins left="0.75" right="0.75" top="0.75" bottom="0.58599999999999997" header="0.5" footer="0.5"/>
  <pageSetup scale="70" orientation="portrait" r:id="rId1"/>
  <headerFooter alignWithMargins="0">
    <oddHeader>FRMRSPRD.xlw</oddHeader>
    <oddFooter>&amp;L&amp;D&amp;C&amp;A&amp;R+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53</vt:i4>
      </vt:variant>
    </vt:vector>
  </HeadingPairs>
  <TitlesOfParts>
    <vt:vector size="59" baseType="lpstr">
      <vt:lpstr>Introduction</vt:lpstr>
      <vt:lpstr>Input</vt:lpstr>
      <vt:lpstr>Fields</vt:lpstr>
      <vt:lpstr>Manure Costs</vt:lpstr>
      <vt:lpstr>Machinery Costs</vt:lpstr>
      <vt:lpstr>Workspace</vt:lpstr>
      <vt:lpstr>A</vt:lpstr>
      <vt:lpstr>ACRES</vt:lpstr>
      <vt:lpstr>acres1</vt:lpstr>
      <vt:lpstr>AppCost</vt:lpstr>
      <vt:lpstr>AppTime</vt:lpstr>
      <vt:lpstr>B</vt:lpstr>
      <vt:lpstr>C_</vt:lpstr>
      <vt:lpstr>copy</vt:lpstr>
      <vt:lpstr>CostField</vt:lpstr>
      <vt:lpstr>CostRoad</vt:lpstr>
      <vt:lpstr>COSTS</vt:lpstr>
      <vt:lpstr>data</vt:lpstr>
      <vt:lpstr>DIESEL1</vt:lpstr>
      <vt:lpstr>DISTRIBUTE</vt:lpstr>
      <vt:lpstr>E</vt:lpstr>
      <vt:lpstr>FLDSPEED1</vt:lpstr>
      <vt:lpstr>INPUT</vt:lpstr>
      <vt:lpstr>INSURANCE1</vt:lpstr>
      <vt:lpstr>INTEREST1</vt:lpstr>
      <vt:lpstr>LABOR1</vt:lpstr>
      <vt:lpstr>LOADTIME</vt:lpstr>
      <vt:lpstr>miles</vt:lpstr>
      <vt:lpstr>MILES1</vt:lpstr>
      <vt:lpstr>Fields!Print_Area</vt:lpstr>
      <vt:lpstr>Input!Print_Area</vt:lpstr>
      <vt:lpstr>Introduction!Print_Area</vt:lpstr>
      <vt:lpstr>'Machinery Costs'!Print_Area</vt:lpstr>
      <vt:lpstr>'Manure Costs'!Print_Area</vt:lpstr>
      <vt:lpstr>Workspace!Print_Area</vt:lpstr>
      <vt:lpstr>Print_Area</vt:lpstr>
      <vt:lpstr>RateApply1</vt:lpstr>
      <vt:lpstr>results</vt:lpstr>
      <vt:lpstr>ROADSPEED1</vt:lpstr>
      <vt:lpstr>SCAPACITY1</vt:lpstr>
      <vt:lpstr>SPRICE1</vt:lpstr>
      <vt:lpstr>STORAGE</vt:lpstr>
      <vt:lpstr>SWIDTH1</vt:lpstr>
      <vt:lpstr>SYEARS1</vt:lpstr>
      <vt:lpstr>THOURS1</vt:lpstr>
      <vt:lpstr>TimeApplication</vt:lpstr>
      <vt:lpstr>TimeField</vt:lpstr>
      <vt:lpstr>TimeFieldTravel</vt:lpstr>
      <vt:lpstr>TimeLoad</vt:lpstr>
      <vt:lpstr>TimeRoad</vt:lpstr>
      <vt:lpstr>totalacre</vt:lpstr>
      <vt:lpstr>totalacre1</vt:lpstr>
      <vt:lpstr>TOTALCOST</vt:lpstr>
      <vt:lpstr>TOTALTIME</vt:lpstr>
      <vt:lpstr>TotalTime1</vt:lpstr>
      <vt:lpstr>TOTALTONS1</vt:lpstr>
      <vt:lpstr>TPRICE1</vt:lpstr>
      <vt:lpstr>TPTO1</vt:lpstr>
      <vt:lpstr>TYEARS1</vt:lpstr>
    </vt:vector>
  </TitlesOfParts>
  <Company>SSU - University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 Massey</dc:creator>
  <cp:lastModifiedBy>University of Missouri Extension</cp:lastModifiedBy>
  <cp:lastPrinted>2008-08-20T15:03:28Z</cp:lastPrinted>
  <dcterms:created xsi:type="dcterms:W3CDTF">1998-02-17T18:54:18Z</dcterms:created>
  <dcterms:modified xsi:type="dcterms:W3CDTF">2019-01-11T16:27:57Z</dcterms:modified>
</cp:coreProperties>
</file>