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 index" sheetId="1" r:id="rId1"/>
  </sheets>
  <definedNames>
    <definedName name="delta">'P index'!$B$294</definedName>
    <definedName name="_xlnm.Print_Area" localSheetId="0">'P index'!$A$1:$H$34</definedName>
  </definedNames>
  <calcPr fullCalcOnLoad="1"/>
</workbook>
</file>

<file path=xl/sharedStrings.xml><?xml version="1.0" encoding="utf-8"?>
<sst xmlns="http://schemas.openxmlformats.org/spreadsheetml/2006/main" count="302" uniqueCount="210">
  <si>
    <t>Units</t>
  </si>
  <si>
    <t>ppm</t>
  </si>
  <si>
    <t>lbs/acre</t>
  </si>
  <si>
    <t>Bray-I</t>
  </si>
  <si>
    <t>Mehlich-III</t>
  </si>
  <si>
    <t>Water</t>
  </si>
  <si>
    <t>Extraction Procedure</t>
  </si>
  <si>
    <t>Sampling depth</t>
  </si>
  <si>
    <t>6 to 8 inches</t>
  </si>
  <si>
    <t>Soil test P level</t>
  </si>
  <si>
    <t>County</t>
  </si>
  <si>
    <t>Pasture</t>
  </si>
  <si>
    <t>Land cover</t>
  </si>
  <si>
    <t>Row crop - straight row</t>
  </si>
  <si>
    <t>Row crop - contoured</t>
  </si>
  <si>
    <t>Row crop contoured and terraced</t>
  </si>
  <si>
    <t>Small grain - straight row</t>
  </si>
  <si>
    <t>Small grain - contoured</t>
  </si>
  <si>
    <t>Small grain - contoured and terraced</t>
  </si>
  <si>
    <t>Close-seeded legume - straight row</t>
  </si>
  <si>
    <t>Close-seeded legume - contoured</t>
  </si>
  <si>
    <t>Close-seeded legume - contoured and terraced</t>
  </si>
  <si>
    <t>Hay ground</t>
  </si>
  <si>
    <t>Brush/weed grass</t>
  </si>
  <si>
    <t>Fallow - bare soil</t>
  </si>
  <si>
    <t>Fallow - crop residue</t>
  </si>
  <si>
    <t>Poor</t>
  </si>
  <si>
    <t>Good</t>
  </si>
  <si>
    <t>A</t>
  </si>
  <si>
    <t>B</t>
  </si>
  <si>
    <t>C</t>
  </si>
  <si>
    <t>D</t>
  </si>
  <si>
    <t>Hydrologic condition</t>
  </si>
  <si>
    <t>Hydrologic soil group</t>
  </si>
  <si>
    <t>Clark</t>
  </si>
  <si>
    <t>Atchison</t>
  </si>
  <si>
    <t>Scotland</t>
  </si>
  <si>
    <t>Nodaway</t>
  </si>
  <si>
    <t>Schuyler</t>
  </si>
  <si>
    <t>Putnam</t>
  </si>
  <si>
    <t>Worth</t>
  </si>
  <si>
    <t>Mercer</t>
  </si>
  <si>
    <t>Harrison</t>
  </si>
  <si>
    <t>Gentry</t>
  </si>
  <si>
    <t>Sullivan</t>
  </si>
  <si>
    <t>Adair</t>
  </si>
  <si>
    <t>Knox</t>
  </si>
  <si>
    <t>Holt</t>
  </si>
  <si>
    <t>Grundy</t>
  </si>
  <si>
    <t>Lewis</t>
  </si>
  <si>
    <t>Andrew</t>
  </si>
  <si>
    <t>Daviess</t>
  </si>
  <si>
    <t>DeKalb</t>
  </si>
  <si>
    <t>Macon</t>
  </si>
  <si>
    <t>Linn</t>
  </si>
  <si>
    <t>Livingston</t>
  </si>
  <si>
    <t>Shelby</t>
  </si>
  <si>
    <t>Marion</t>
  </si>
  <si>
    <t>Buchanan</t>
  </si>
  <si>
    <t>Caldwell</t>
  </si>
  <si>
    <t>Clinton</t>
  </si>
  <si>
    <t>Chariton</t>
  </si>
  <si>
    <t>Ralls</t>
  </si>
  <si>
    <t>Monroe</t>
  </si>
  <si>
    <t>Carroll</t>
  </si>
  <si>
    <t>Pike</t>
  </si>
  <si>
    <t>Randolph</t>
  </si>
  <si>
    <t>Platte</t>
  </si>
  <si>
    <t>Ray</t>
  </si>
  <si>
    <t>Clay</t>
  </si>
  <si>
    <t>Saline</t>
  </si>
  <si>
    <t>Howard</t>
  </si>
  <si>
    <t>Lafayette</t>
  </si>
  <si>
    <t>Lincoln</t>
  </si>
  <si>
    <t>Jackson</t>
  </si>
  <si>
    <t>Montgomery</t>
  </si>
  <si>
    <t>Cooper</t>
  </si>
  <si>
    <t>Warren</t>
  </si>
  <si>
    <t>St Charles</t>
  </si>
  <si>
    <t>Pettis</t>
  </si>
  <si>
    <t>Johnson</t>
  </si>
  <si>
    <t>Moniteau</t>
  </si>
  <si>
    <t>St Louis</t>
  </si>
  <si>
    <t>Cass</t>
  </si>
  <si>
    <t>St Louis City</t>
  </si>
  <si>
    <t>Franklin</t>
  </si>
  <si>
    <t>Gasconade</t>
  </si>
  <si>
    <t>Morgan</t>
  </si>
  <si>
    <t>Henry</t>
  </si>
  <si>
    <t>Benton</t>
  </si>
  <si>
    <t>Jefferson</t>
  </si>
  <si>
    <t>Bates</t>
  </si>
  <si>
    <t>Miller</t>
  </si>
  <si>
    <t>Maries</t>
  </si>
  <si>
    <t>Camden</t>
  </si>
  <si>
    <t>Washington</t>
  </si>
  <si>
    <t>Crawford</t>
  </si>
  <si>
    <t>St Clair</t>
  </si>
  <si>
    <t>Phelps</t>
  </si>
  <si>
    <t>Ste Genevieve</t>
  </si>
  <si>
    <t>St Francois</t>
  </si>
  <si>
    <t>Hickory</t>
  </si>
  <si>
    <t>Vernon</t>
  </si>
  <si>
    <t>Pulaski</t>
  </si>
  <si>
    <t>Perry</t>
  </si>
  <si>
    <t>Cedar</t>
  </si>
  <si>
    <t>Dallas</t>
  </si>
  <si>
    <t>Laclede</t>
  </si>
  <si>
    <t>Polk</t>
  </si>
  <si>
    <t>Dent</t>
  </si>
  <si>
    <t>Iron</t>
  </si>
  <si>
    <t>Madison</t>
  </si>
  <si>
    <t>Barton</t>
  </si>
  <si>
    <t>Cape Girardeau</t>
  </si>
  <si>
    <t>Bollinger</t>
  </si>
  <si>
    <t>Reynolds</t>
  </si>
  <si>
    <t>Texas</t>
  </si>
  <si>
    <t>Dade</t>
  </si>
  <si>
    <t>Webster</t>
  </si>
  <si>
    <t>Wright</t>
  </si>
  <si>
    <t>Shannon</t>
  </si>
  <si>
    <t>Greene</t>
  </si>
  <si>
    <t>Jasper</t>
  </si>
  <si>
    <t>Wayne</t>
  </si>
  <si>
    <t>Scott</t>
  </si>
  <si>
    <t>Lawrence</t>
  </si>
  <si>
    <t>Stoddard</t>
  </si>
  <si>
    <t>Mississippi</t>
  </si>
  <si>
    <t>Carter</t>
  </si>
  <si>
    <t>Christian</t>
  </si>
  <si>
    <t>Douglas</t>
  </si>
  <si>
    <t>Newton</t>
  </si>
  <si>
    <t>Howell</t>
  </si>
  <si>
    <t>Stone</t>
  </si>
  <si>
    <t>Butler</t>
  </si>
  <si>
    <t>Barry</t>
  </si>
  <si>
    <t>New Madrid</t>
  </si>
  <si>
    <t>Oregon</t>
  </si>
  <si>
    <t>Ripley</t>
  </si>
  <si>
    <t>Taney</t>
  </si>
  <si>
    <t>Ozark</t>
  </si>
  <si>
    <t>McDonald</t>
  </si>
  <si>
    <t>Dunklin</t>
  </si>
  <si>
    <t>Pemiscot</t>
  </si>
  <si>
    <t>Audrain</t>
  </si>
  <si>
    <t>Boone</t>
  </si>
  <si>
    <t>Callaway</t>
  </si>
  <si>
    <t>Cole</t>
  </si>
  <si>
    <t>Osage</t>
  </si>
  <si>
    <t>units of P2O5 to raise 1 ppm</t>
  </si>
  <si>
    <t>3 inches</t>
  </si>
  <si>
    <t>2 inches</t>
  </si>
  <si>
    <t>6-8 inches</t>
  </si>
  <si>
    <t>Total P conc.</t>
  </si>
  <si>
    <t>lbs P/ppm increase in STP</t>
  </si>
  <si>
    <t>Sands - sandy</t>
  </si>
  <si>
    <t>Mixture fine sand, silt, clay</t>
  </si>
  <si>
    <t>Silty - clayey</t>
  </si>
  <si>
    <t>Particulate P availability</t>
  </si>
  <si>
    <t>units P2O5 to raise 1 lb/ac STP</t>
  </si>
  <si>
    <t>Lit review</t>
  </si>
  <si>
    <t>Slope factor - runoff</t>
  </si>
  <si>
    <t>Buildup P vs STP</t>
  </si>
  <si>
    <t>STP vs runoff P</t>
  </si>
  <si>
    <t>Soil condition</t>
  </si>
  <si>
    <t>Fair</t>
  </si>
  <si>
    <t>CN</t>
  </si>
  <si>
    <t>S</t>
  </si>
  <si>
    <t>Tillage</t>
  </si>
  <si>
    <t>Adjustment from lb/ac to ppm</t>
  </si>
  <si>
    <t>Adjustment for nutrient stratification</t>
  </si>
  <si>
    <t>Tilled</t>
  </si>
  <si>
    <t>Factors</t>
  </si>
  <si>
    <t>Adjusments for Sediment delivery ratio</t>
  </si>
  <si>
    <t>Counties and annual rainfall</t>
  </si>
  <si>
    <t>Extraction method</t>
  </si>
  <si>
    <t>Soil hydologic group</t>
  </si>
  <si>
    <t>Soil textures used in SDR</t>
  </si>
  <si>
    <t>Soil condition by soil hydrologic unit by soil cover matrices</t>
  </si>
  <si>
    <t>Runoff</t>
  </si>
  <si>
    <t>Runoff cutoff</t>
  </si>
  <si>
    <t>ratio as runoff</t>
  </si>
  <si>
    <t>Particulate P value</t>
  </si>
  <si>
    <t>Soluble P value</t>
  </si>
  <si>
    <t>Total P value</t>
  </si>
  <si>
    <t>P index rating</t>
  </si>
  <si>
    <t>Sensitivity value</t>
  </si>
  <si>
    <t>Notill or Forage</t>
  </si>
  <si>
    <t>4.4.</t>
  </si>
  <si>
    <t>annual</t>
  </si>
  <si>
    <t>Annual rainfall</t>
  </si>
  <si>
    <t>Distance from center of field to water feature</t>
  </si>
  <si>
    <t>C/D</t>
  </si>
  <si>
    <t>Row crop - straight row with residue</t>
  </si>
  <si>
    <t>Row crop - contoured with residue</t>
  </si>
  <si>
    <t>Small grain - straight row with residue</t>
  </si>
  <si>
    <t>Small grain - contoured with residue</t>
  </si>
  <si>
    <t>Row crop - contoured and terraced with residue</t>
  </si>
  <si>
    <t>Small grain - contoured and terraced with residue</t>
  </si>
  <si>
    <t>Field 1</t>
  </si>
  <si>
    <t>Field 2</t>
  </si>
  <si>
    <t>Phosphorus Index Worksheet</t>
  </si>
  <si>
    <t>Agronomic P rating (Opt.= 45 lbs/a)</t>
  </si>
  <si>
    <t>If you have questions about this worksheet please contact John Lory (loryj@missouri.edu) or Ron Miller (ron.miller@mo.usda.gov).</t>
  </si>
  <si>
    <t>RUSLE value - average annual (tons/ac)</t>
  </si>
  <si>
    <t>Field 4</t>
  </si>
  <si>
    <t>Field 3</t>
  </si>
  <si>
    <t>Delta value for rating system</t>
  </si>
  <si>
    <t>this value is the difference between the rating system for ozarks and the rest of the state.</t>
  </si>
  <si>
    <t>Version 0.2          April 20,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</si>
</sst>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1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5" xfId="0" applyFont="1" applyFill="1" applyBorder="1" applyAlignment="1">
      <alignment horizontal="left"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9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9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1" fillId="3" borderId="11" xfId="0" applyFont="1" applyFill="1" applyBorder="1" applyAlignment="1">
      <alignment horizontal="left" wrapText="1"/>
    </xf>
    <xf numFmtId="164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164" fontId="0" fillId="3" borderId="11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'P index'!$L$20:$L$26</c:f>
              <c:numCache>
                <c:ptCount val="7"/>
                <c:pt idx="0">
                  <c:v>0.34121006981171975</c:v>
                </c:pt>
                <c:pt idx="1">
                  <c:v>0.6201265962536339</c:v>
                </c:pt>
                <c:pt idx="2">
                  <c:v>1.1687782306929595</c:v>
                </c:pt>
                <c:pt idx="3">
                  <c:v>1.6335145336314583</c:v>
                </c:pt>
                <c:pt idx="4">
                  <c:v>2.274336216338708</c:v>
                </c:pt>
                <c:pt idx="5">
                  <c:v>2.8256117049611125</c:v>
                </c:pt>
                <c:pt idx="6">
                  <c:v>3.331141634956927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'P index'!$M$20:$M$26</c:f>
              <c:numCache>
                <c:ptCount val="7"/>
                <c:pt idx="0">
                  <c:v>3.2</c:v>
                </c:pt>
                <c:pt idx="1">
                  <c:v>3.9</c:v>
                </c:pt>
                <c:pt idx="2">
                  <c:v>5</c:v>
                </c:pt>
                <c:pt idx="3">
                  <c:v>5.8</c:v>
                </c:pt>
                <c:pt idx="4">
                  <c:v>6.8</c:v>
                </c:pt>
                <c:pt idx="5">
                  <c:v>7.6</c:v>
                </c:pt>
                <c:pt idx="6">
                  <c:v>8.3</c:v>
                </c:pt>
              </c:numCache>
            </c:numRef>
          </c:yVal>
          <c:smooth val="0"/>
        </c:ser>
        <c:axId val="2534942"/>
        <c:axId val="32954247"/>
      </c:scatterChart>
      <c:valAx>
        <c:axId val="2534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 storm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4247"/>
        <c:crosses val="autoZero"/>
        <c:crossBetween val="midCat"/>
        <c:dispUnits/>
      </c:valAx>
      <c:valAx>
        <c:axId val="32954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Runoff vol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4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56</xdr:row>
      <xdr:rowOff>0</xdr:rowOff>
    </xdr:from>
    <xdr:to>
      <xdr:col>16</xdr:col>
      <xdr:colOff>123825</xdr:colOff>
      <xdr:row>77</xdr:row>
      <xdr:rowOff>85725</xdr:rowOff>
    </xdr:to>
    <xdr:graphicFrame>
      <xdr:nvGraphicFramePr>
        <xdr:cNvPr id="1" name="Chart 79"/>
        <xdr:cNvGraphicFramePr/>
      </xdr:nvGraphicFramePr>
      <xdr:xfrm>
        <a:off x="15259050" y="9105900"/>
        <a:ext cx="4733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40.7109375" style="0" customWidth="1"/>
    <col min="3" max="3" width="2.57421875" style="0" customWidth="1"/>
    <col min="4" max="4" width="40.7109375" style="0" customWidth="1"/>
    <col min="5" max="5" width="2.7109375" style="0" customWidth="1"/>
    <col min="6" max="6" width="40.7109375" style="0" customWidth="1"/>
    <col min="7" max="7" width="2.28125" style="0" customWidth="1"/>
    <col min="8" max="8" width="40.7109375" style="0" customWidth="1"/>
    <col min="9" max="9" width="14.28125" style="0" customWidth="1"/>
    <col min="10" max="10" width="2.28125" style="0" customWidth="1"/>
    <col min="11" max="11" width="9.140625" style="0" customWidth="1"/>
    <col min="12" max="12" width="39.28125" style="0" customWidth="1"/>
    <col min="13" max="13" width="4.8515625" style="0" customWidth="1"/>
    <col min="14" max="14" width="12.00390625" style="0" customWidth="1"/>
    <col min="15" max="15" width="2.8515625" style="0" customWidth="1"/>
    <col min="16" max="16" width="12.00390625" style="0" customWidth="1"/>
    <col min="17" max="17" width="2.140625" style="0" customWidth="1"/>
    <col min="18" max="18" width="22.00390625" style="0" customWidth="1"/>
    <col min="19" max="19" width="2.7109375" style="0" customWidth="1"/>
    <col min="20" max="20" width="11.8515625" style="0" customWidth="1"/>
    <col min="22" max="22" width="12.57421875" style="0" customWidth="1"/>
    <col min="23" max="23" width="13.140625" style="0" customWidth="1"/>
    <col min="24" max="24" width="12.8515625" style="0" customWidth="1"/>
  </cols>
  <sheetData>
    <row r="1" ht="12.75">
      <c r="A1" s="1" t="s">
        <v>201</v>
      </c>
    </row>
    <row r="2" ht="12.75">
      <c r="A2" t="s">
        <v>209</v>
      </c>
    </row>
    <row r="3" spans="2:8" ht="13.5" thickBot="1">
      <c r="B3" s="59" t="s">
        <v>199</v>
      </c>
      <c r="C3" s="7"/>
      <c r="D3" s="59" t="s">
        <v>200</v>
      </c>
      <c r="E3" s="7"/>
      <c r="F3" s="59" t="s">
        <v>206</v>
      </c>
      <c r="G3" s="7"/>
      <c r="H3" s="59" t="s">
        <v>205</v>
      </c>
    </row>
    <row r="4" spans="1:8" ht="12.75">
      <c r="A4" s="21" t="s">
        <v>10</v>
      </c>
      <c r="B4" s="9" t="s">
        <v>125</v>
      </c>
      <c r="C4" s="14"/>
      <c r="D4" s="9" t="s">
        <v>70</v>
      </c>
      <c r="E4" s="9"/>
      <c r="F4" s="9" t="s">
        <v>135</v>
      </c>
      <c r="G4" s="9"/>
      <c r="H4" s="9" t="s">
        <v>145</v>
      </c>
    </row>
    <row r="5" spans="1:8" ht="12.75">
      <c r="A5" s="22"/>
      <c r="B5" s="11"/>
      <c r="C5" s="15"/>
      <c r="D5" s="16"/>
      <c r="E5" s="16"/>
      <c r="F5" s="17"/>
      <c r="G5" s="16"/>
      <c r="H5" s="17"/>
    </row>
    <row r="6" spans="1:8" ht="12.75">
      <c r="A6" s="23" t="s">
        <v>9</v>
      </c>
      <c r="B6" s="60">
        <v>140</v>
      </c>
      <c r="C6" s="61"/>
      <c r="D6" s="60">
        <v>45</v>
      </c>
      <c r="E6" s="60"/>
      <c r="F6" s="60">
        <v>100</v>
      </c>
      <c r="G6" s="60"/>
      <c r="H6" s="60">
        <v>44</v>
      </c>
    </row>
    <row r="7" spans="1:8" ht="12.75">
      <c r="A7" s="23" t="s">
        <v>0</v>
      </c>
      <c r="B7" s="10" t="s">
        <v>2</v>
      </c>
      <c r="C7" s="18"/>
      <c r="D7" s="10" t="s">
        <v>2</v>
      </c>
      <c r="E7" s="10"/>
      <c r="F7" s="10" t="s">
        <v>2</v>
      </c>
      <c r="G7" s="10"/>
      <c r="H7" s="10" t="s">
        <v>2</v>
      </c>
    </row>
    <row r="8" spans="1:8" ht="12.75">
      <c r="A8" s="24"/>
      <c r="C8" s="15"/>
      <c r="E8" s="16"/>
      <c r="F8" s="16"/>
      <c r="G8" s="16"/>
      <c r="H8" s="16"/>
    </row>
    <row r="9" spans="1:8" ht="12.75">
      <c r="A9" s="23" t="s">
        <v>6</v>
      </c>
      <c r="B9" s="10" t="s">
        <v>3</v>
      </c>
      <c r="C9" s="18"/>
      <c r="D9" s="10" t="s">
        <v>3</v>
      </c>
      <c r="E9" s="10"/>
      <c r="F9" s="10" t="s">
        <v>3</v>
      </c>
      <c r="G9" s="10"/>
      <c r="H9" s="10" t="s">
        <v>3</v>
      </c>
    </row>
    <row r="10" spans="1:8" ht="12.75">
      <c r="A10" s="23" t="s">
        <v>7</v>
      </c>
      <c r="B10" s="10" t="s">
        <v>8</v>
      </c>
      <c r="C10" s="18"/>
      <c r="D10" s="10" t="s">
        <v>8</v>
      </c>
      <c r="E10" s="10"/>
      <c r="F10" s="10" t="s">
        <v>151</v>
      </c>
      <c r="G10" s="10"/>
      <c r="H10" s="10" t="s">
        <v>8</v>
      </c>
    </row>
    <row r="11" spans="1:8" ht="12.75">
      <c r="A11" s="25"/>
      <c r="B11" s="11"/>
      <c r="C11" s="15"/>
      <c r="D11" s="16"/>
      <c r="E11" s="16"/>
      <c r="F11" s="17"/>
      <c r="G11" s="16"/>
      <c r="H11" s="17"/>
    </row>
    <row r="12" spans="1:8" ht="12.75">
      <c r="A12" s="23" t="s">
        <v>168</v>
      </c>
      <c r="B12" s="10" t="s">
        <v>187</v>
      </c>
      <c r="C12" s="18"/>
      <c r="D12" s="10" t="s">
        <v>187</v>
      </c>
      <c r="E12" s="10"/>
      <c r="F12" s="10" t="s">
        <v>187</v>
      </c>
      <c r="G12" s="10"/>
      <c r="H12" s="10" t="s">
        <v>171</v>
      </c>
    </row>
    <row r="13" spans="1:8" ht="13.5" customHeight="1">
      <c r="A13" s="25"/>
      <c r="B13" s="11"/>
      <c r="C13" s="20"/>
      <c r="D13" s="11"/>
      <c r="E13" s="11"/>
      <c r="F13" s="11"/>
      <c r="G13" s="11"/>
      <c r="H13" s="11"/>
    </row>
    <row r="14" spans="1:8" ht="26.25" customHeight="1">
      <c r="A14" s="23" t="s">
        <v>204</v>
      </c>
      <c r="B14" s="60">
        <v>1</v>
      </c>
      <c r="C14" s="61"/>
      <c r="D14" s="60">
        <v>4</v>
      </c>
      <c r="E14" s="60"/>
      <c r="F14" s="60">
        <v>2</v>
      </c>
      <c r="G14" s="60"/>
      <c r="H14" s="60">
        <v>15</v>
      </c>
    </row>
    <row r="15" spans="1:8" ht="13.5" customHeight="1">
      <c r="A15" s="25"/>
      <c r="B15" s="11"/>
      <c r="C15" s="20"/>
      <c r="D15" s="11"/>
      <c r="E15" s="11"/>
      <c r="F15" s="11"/>
      <c r="G15" s="11"/>
      <c r="H15" s="11"/>
    </row>
    <row r="16" spans="1:8" ht="13.5" customHeight="1">
      <c r="A16" s="23" t="s">
        <v>12</v>
      </c>
      <c r="B16" s="10" t="s">
        <v>22</v>
      </c>
      <c r="C16" s="18"/>
      <c r="D16" s="10" t="s">
        <v>22</v>
      </c>
      <c r="E16" s="10"/>
      <c r="F16" s="10" t="s">
        <v>22</v>
      </c>
      <c r="G16" s="10"/>
      <c r="H16" s="10" t="s">
        <v>13</v>
      </c>
    </row>
    <row r="17" spans="1:8" ht="13.5" customHeight="1">
      <c r="A17" s="25"/>
      <c r="B17" s="11"/>
      <c r="C17" s="20"/>
      <c r="D17" s="11"/>
      <c r="E17" s="11"/>
      <c r="F17" s="11"/>
      <c r="G17" s="11"/>
      <c r="H17" s="11"/>
    </row>
    <row r="18" spans="1:8" ht="13.5" customHeight="1">
      <c r="A18" s="23" t="s">
        <v>33</v>
      </c>
      <c r="B18" s="10" t="s">
        <v>29</v>
      </c>
      <c r="C18" s="18"/>
      <c r="D18" s="10" t="s">
        <v>31</v>
      </c>
      <c r="E18" s="10"/>
      <c r="F18" s="10" t="s">
        <v>29</v>
      </c>
      <c r="G18" s="10"/>
      <c r="H18" s="10" t="s">
        <v>31</v>
      </c>
    </row>
    <row r="19" spans="1:8" ht="13.5" customHeight="1">
      <c r="A19" s="23" t="s">
        <v>32</v>
      </c>
      <c r="B19" s="10" t="s">
        <v>27</v>
      </c>
      <c r="C19" s="18"/>
      <c r="D19" s="10" t="s">
        <v>27</v>
      </c>
      <c r="E19" s="10"/>
      <c r="F19" s="10" t="s">
        <v>27</v>
      </c>
      <c r="G19" s="10"/>
      <c r="H19" s="10" t="s">
        <v>27</v>
      </c>
    </row>
    <row r="20" spans="1:24" ht="13.5" customHeight="1">
      <c r="A20" s="25"/>
      <c r="B20" s="11"/>
      <c r="C20" s="20"/>
      <c r="D20" s="11"/>
      <c r="E20" s="11"/>
      <c r="F20" s="11"/>
      <c r="G20" s="11"/>
      <c r="H20" s="11"/>
      <c r="K20">
        <v>1</v>
      </c>
      <c r="L20" s="4">
        <f>((VLOOKUP(B4,$A$109:$I$223,3)-0.2*B48)^2)/(VLOOKUP(B4,$A$109:$I$223,3)+0.8*B48)</f>
        <v>0.34121006981171975</v>
      </c>
      <c r="M20" s="3">
        <f>VLOOKUP(B4,$A$109:$I$223,3)</f>
        <v>3.2</v>
      </c>
      <c r="V20" s="3"/>
      <c r="W20" s="3"/>
      <c r="X20" s="3"/>
    </row>
    <row r="21" spans="1:24" ht="27" customHeight="1" thickBot="1">
      <c r="A21" s="62" t="s">
        <v>191</v>
      </c>
      <c r="B21" s="12">
        <v>100</v>
      </c>
      <c r="C21" s="8"/>
      <c r="D21" s="12">
        <v>100</v>
      </c>
      <c r="E21" s="12"/>
      <c r="F21" s="12">
        <v>100</v>
      </c>
      <c r="G21" s="12"/>
      <c r="H21" s="12">
        <v>250</v>
      </c>
      <c r="K21">
        <v>2</v>
      </c>
      <c r="L21" s="4">
        <f>((VLOOKUP(B4,$A$109:$I$223,4)-0.2*B48)^2)/(VLOOKUP(B4,$A$109:$I$223,4)+0.8*B48)</f>
        <v>0.6201265962536339</v>
      </c>
      <c r="M21" s="3">
        <f>VLOOKUP(B4,$A$109:$I$223,4)</f>
        <v>3.9</v>
      </c>
      <c r="V21" s="3"/>
      <c r="W21" s="3"/>
      <c r="X21" s="3"/>
    </row>
    <row r="22" spans="2:24" ht="13.5" customHeight="1" thickBot="1">
      <c r="B22" s="5"/>
      <c r="K22">
        <v>5</v>
      </c>
      <c r="L22" s="4">
        <f>(((VLOOKUP(B4,$A$109:$I$223,5)-0.2*B48)^2)/(VLOOKUP(B4,$A$109:$I$223,5)+0.8*B48))</f>
        <v>1.1687782306929595</v>
      </c>
      <c r="M22" s="3">
        <f>VLOOKUP(B4,$A$109:$I$223,5)</f>
        <v>5</v>
      </c>
      <c r="V22" s="3"/>
      <c r="W22" s="3"/>
      <c r="X22" s="3"/>
    </row>
    <row r="23" spans="1:24" ht="13.5" customHeight="1">
      <c r="A23" s="26" t="s">
        <v>182</v>
      </c>
      <c r="B23" s="51">
        <f>(((B6/(IF(B7="lbs/acre",VLOOKUP(B10,$A$62:$B$64,2,FALSE),1))*VLOOKUP(B12,$A$68:$G$71,IF(B10="6 to 8 inches",3,IF(B10="3 inches",5,7)),FALSE)*$B$72)+$B$73)*B14*2000/1000000)*VLOOKUP(B21,$A$79:$F$90,IF(B18="A",6,IF(B18="B",5,IF(B18="C",3,3))))*$B$74</f>
        <v>1.1151</v>
      </c>
      <c r="C23" s="40"/>
      <c r="D23" s="51">
        <f>(((D6/(IF(D7="lbs/acre",VLOOKUP(D10,$A$62:$B$64,2,FALSE),1))*VLOOKUP(D12,$A$68:$G$71,IF(D10="6 to 8 inches",3,IF(D10="3 inches",5,7)),FALSE)*$B$72)+$B$73)*D14*2000/1000000)*VLOOKUP(D21,$A$79:$F$90,IF(D18="A",6,IF(D18="B",5,IF(D18="C",3,3))))*$B$74</f>
        <v>4.26645</v>
      </c>
      <c r="E23" s="43"/>
      <c r="F23" s="51">
        <f>(((F6/(IF(F7="lbs/acre",VLOOKUP(F10,$A$62:$B$64,2,FALSE),1))*VLOOKUP(F12,$A$68:$G$71,IF(F10="6 to 8 inches",3,IF(F10="3 inches",5,7)),FALSE)*$B$72)+$B$73)*F14*2000/1000000)*VLOOKUP(F21,$A$79:$F$90,IF(F18="A",6,IF(F18="B",5,IF(F18="C",3,3))))*$B$74</f>
        <v>1.952653673163418</v>
      </c>
      <c r="G23" s="43"/>
      <c r="H23" s="51">
        <f>(((H6/(IF(H7="lbs/acre",VLOOKUP(H10,$A$62:$B$64,2,FALSE),1))*VLOOKUP(H12,$A$68:$G$71,IF(H10="6 to 8 inches",3,IF(H10="3 inches",5,7)),FALSE)*$B$72)+$B$73)*H14*2000/1000000)*VLOOKUP(H21,$A$79:$F$90,IF(H18="A",6,IF(H18="B",5,IF(H18="C",3,3))))*$B$74</f>
        <v>13.859550000000002</v>
      </c>
      <c r="K23">
        <v>10</v>
      </c>
      <c r="L23" s="4">
        <f>(((VLOOKUP(B4,$A$109:$I$223,6)-0.2*B48)^2)/(VLOOKUP(B4,$A$109:$I$223,6)+0.8*B48))</f>
        <v>1.6335145336314583</v>
      </c>
      <c r="M23" s="3">
        <f>VLOOKUP(B4,$A$109:$I$223,6)</f>
        <v>5.8</v>
      </c>
      <c r="V23" s="3"/>
      <c r="W23" s="3"/>
      <c r="X23" s="3"/>
    </row>
    <row r="24" spans="1:24" ht="13.5" customHeight="1">
      <c r="A24" s="27"/>
      <c r="B24" s="52"/>
      <c r="C24" s="41"/>
      <c r="D24" s="52"/>
      <c r="E24" s="44"/>
      <c r="F24" s="52"/>
      <c r="G24" s="44"/>
      <c r="H24" s="52"/>
      <c r="K24">
        <v>25</v>
      </c>
      <c r="L24" s="4">
        <f>(((VLOOKUP(B4,$A$109:$I$223,7)-0.2*B48)^2)/(VLOOKUP(B4,$A$109:$I$223,7)+0.8*B48))</f>
        <v>2.274336216338708</v>
      </c>
      <c r="M24" s="3">
        <f>VLOOKUP(B4,$A$109:$I$223,7)</f>
        <v>6.8</v>
      </c>
      <c r="V24" s="3"/>
      <c r="W24" s="3"/>
      <c r="X24" s="3"/>
    </row>
    <row r="25" spans="1:24" ht="13.5" customHeight="1">
      <c r="A25" s="28" t="s">
        <v>183</v>
      </c>
      <c r="B25" s="53">
        <f>((B6/(IF(B7="lbs/acre",VLOOKUP(B10,$A$62:$B$64,2,FALSE),1))*VLOOKUP(B12,$A$68:$G$71,IF(B10="6 to 8 inches",3,IF(B10="3 inches",5,7)),FALSE))*$B$75)*(B50/12*43560*7.48*8.3/1000000)</f>
        <v>1.3833833143906396</v>
      </c>
      <c r="C25" s="41"/>
      <c r="D25" s="53">
        <f>((D6/(IF(D7="lbs/acre",VLOOKUP(D10,$A$62:$B$64,2,FALSE),1))*VLOOKUP(D12,$A$68:$G$71,IF(D10="6 to 8 inches",3,IF(D10="3 inches",5,7)),FALSE))*$B$75)*(D50/12*43560*7.48*8.3/1000000)</f>
        <v>1.0057283766074796</v>
      </c>
      <c r="E25" s="44"/>
      <c r="F25" s="53">
        <f>((F6/(IF(F7="lbs/acre",VLOOKUP(F10,$A$62:$B$64,2,FALSE),1))*VLOOKUP(F12,$A$68:$G$71,IF(F10="6 to 8 inches",3,IF(F10="3 inches",5,7)),FALSE))*$B$75)*(F50/12*43560*7.48*8.3/1000000)</f>
        <v>1.0555613357935043</v>
      </c>
      <c r="G25" s="44"/>
      <c r="H25" s="53">
        <f>((H6/(IF(H7="lbs/acre",VLOOKUP(H10,$A$62:$B$64,2,FALSE),1))*VLOOKUP(H12,$A$68:$G$71,IF(H10="6 to 8 inches",3,IF(H10="3 inches",5,7)),FALSE))*$B$75)*(H50/12*43560*7.48*8.3/1000000)</f>
        <v>0.5132342355870998</v>
      </c>
      <c r="K25">
        <v>50</v>
      </c>
      <c r="L25" s="4">
        <f>(((VLOOKUP(B4,$A$109:$I$223,8)-0.2*B48)^2)/(VLOOKUP(B4,$A$109:$I$223,8)+0.8*B48))</f>
        <v>2.8256117049611125</v>
      </c>
      <c r="M25" s="3">
        <f>VLOOKUP(B4,$A$109:$I$223,8)</f>
        <v>7.6</v>
      </c>
      <c r="V25" s="3"/>
      <c r="W25" s="3"/>
      <c r="X25" s="3"/>
    </row>
    <row r="26" spans="1:24" ht="13.5" customHeight="1">
      <c r="A26" s="27"/>
      <c r="B26" s="52"/>
      <c r="C26" s="41"/>
      <c r="D26" s="52"/>
      <c r="E26" s="44"/>
      <c r="F26" s="52"/>
      <c r="G26" s="44"/>
      <c r="H26" s="52"/>
      <c r="K26">
        <v>100</v>
      </c>
      <c r="L26" s="4">
        <f>(((VLOOKUP(B4,$A$109:$I$223,9)-0.2*B48)^2)/(VLOOKUP(B4,$A$109:$I$223,9)+0.8*B48))</f>
        <v>3.331141634956927</v>
      </c>
      <c r="M26" s="3">
        <f>VLOOKUP(B4,$A$109:$I$223,9)</f>
        <v>8.3</v>
      </c>
      <c r="V26" s="3"/>
      <c r="W26" s="3"/>
      <c r="X26" s="3"/>
    </row>
    <row r="27" spans="1:24" ht="13.5" customHeight="1" thickBot="1">
      <c r="A27" s="50" t="s">
        <v>184</v>
      </c>
      <c r="B27" s="54">
        <f>B23+B25</f>
        <v>2.4984833143906395</v>
      </c>
      <c r="C27" s="41"/>
      <c r="D27" s="54">
        <f>D23+D25</f>
        <v>5.27217837660748</v>
      </c>
      <c r="E27" s="44"/>
      <c r="F27" s="54">
        <f>F23+F25</f>
        <v>3.008215008956922</v>
      </c>
      <c r="G27" s="44"/>
      <c r="H27" s="54">
        <f>H23+H25</f>
        <v>14.372784235587101</v>
      </c>
      <c r="L27" s="3">
        <f>SUM(L20:L26)</f>
        <v>12.194718986646519</v>
      </c>
      <c r="M27" s="3">
        <f>SUM(M20:M26)</f>
        <v>40.599999999999994</v>
      </c>
      <c r="V27" s="3"/>
      <c r="W27" s="3"/>
      <c r="X27" s="3"/>
    </row>
    <row r="28" spans="2:8" ht="13.5" customHeight="1" thickBot="1">
      <c r="B28" s="5"/>
      <c r="D28" s="5"/>
      <c r="E28" s="5"/>
      <c r="F28" s="5"/>
      <c r="G28" s="5"/>
      <c r="H28" s="5"/>
    </row>
    <row r="29" spans="2:8" ht="13.5" customHeight="1" hidden="1">
      <c r="B29" s="5"/>
      <c r="D29" s="5"/>
      <c r="E29" s="5"/>
      <c r="F29" s="5"/>
      <c r="G29" s="5"/>
      <c r="H29" s="5"/>
    </row>
    <row r="30" spans="2:8" ht="13.5" customHeight="1" hidden="1">
      <c r="B30" s="5"/>
      <c r="D30" s="5"/>
      <c r="E30" s="5"/>
      <c r="F30" s="5"/>
      <c r="G30" s="5"/>
      <c r="H30" s="5"/>
    </row>
    <row r="31" spans="2:8" ht="13.5" hidden="1" thickBot="1">
      <c r="B31" s="5"/>
      <c r="D31" s="5"/>
      <c r="E31" s="5"/>
      <c r="F31" s="5"/>
      <c r="G31" s="5"/>
      <c r="H31" s="5"/>
    </row>
    <row r="32" spans="1:8" ht="12.75">
      <c r="A32" s="42" t="s">
        <v>185</v>
      </c>
      <c r="B32" s="55" t="str">
        <f>IF(B27&lt;=3-VLOOKUP(B4,$A$109:$L$223,12)*delta,"LOW",IF(B27&lt;7-VLOOKUP(B4,$A$109:$L$223,12)*delta,"MEDIUM",IF(B27&gt;12-VLOOKUP(B4,$A$109:$L$223,12)*delta,"VERY HIGH","HIGH")))</f>
        <v>MEDIUM</v>
      </c>
      <c r="C32" s="56"/>
      <c r="D32" s="55" t="str">
        <f>IF(D27&lt;=3-VLOOKUP(D4,$A$109:$L$223,12)*delta,"LOW",IF(D27&lt;7-VLOOKUP(D4,$A$109:$L$223,12)*delta,"MEDIUM",IF(D27&gt;12-VLOOKUP(D4,$A$109:$L$223,12)*delta,"VERY HIGH","HIGH")))</f>
        <v>MEDIUM</v>
      </c>
      <c r="E32" s="57"/>
      <c r="F32" s="55" t="str">
        <f>IF(F27&lt;=3-VLOOKUP(F4,$A$109:$L$223,12)*delta,"LOW",IF(F27&lt;7-VLOOKUP(F4,$A$109:$L$223,12)*delta,"MEDIUM",IF(F27&gt;12-VLOOKUP(F4,$A$109:$L$223,12)*delta,"VERY HIGH","HIGH")))</f>
        <v>MEDIUM</v>
      </c>
      <c r="G32" s="57"/>
      <c r="H32" s="55" t="str">
        <f>IF(H27&lt;=3-VLOOKUP(H4,$A$109:$L$223,12)*delta,"LOW",IF(H27&lt;7-VLOOKUP(H4,$A$109:$L$223,12)*delta,"MEDIUM",IF(H27&gt;12-VLOOKUP(H4,$A$109:$L$223,12)*delta,"VERY HIGH","HIGH")))</f>
        <v>VERY HIGH</v>
      </c>
    </row>
    <row r="33" spans="1:8" ht="14.25" customHeight="1">
      <c r="A33" s="66" t="s">
        <v>202</v>
      </c>
      <c r="B33" s="65" t="str">
        <f>IF(B9="Bray-I",IF(B10="6 to 8 inches",IF(B7="ppm",IF(B6*2&gt;70,"VERY HIGH",IF(B6*2&gt;45,"HIGH",IF(B6*2&gt;22,"MEDIUM","LOW"))),IF(B6&gt;70,"VERY HIGH",IF(B6&gt;45,"HIGH",IF(B6&gt;22,"MEDIUM","LOW")))),"Non-agronomic sampling depth"),"Non-agronomic test for MO")</f>
        <v>VERY HIGH</v>
      </c>
      <c r="C33" s="56"/>
      <c r="D33" s="65" t="str">
        <f>IF(D9="Bray-I",IF(D10="6 to 8 inches",IF(D7="ppm",IF(D6*2&gt;70,"VERY HIGH",IF(D6*2&gt;45,"HIGH",IF(D6*2&gt;22,"MEDIUM","LOW"))),IF(D6&gt;70,"VERY HIGH",IF(D6&gt;45,"HIGH",IF(D6&gt;22,"MEDIUM","LOW")))),"Non-agronomic sampling depth"),"Non-agronomic test for MO")</f>
        <v>MEDIUM</v>
      </c>
      <c r="E33" s="57"/>
      <c r="F33" s="65" t="str">
        <f>IF(F9="Bray-I",IF(F10="6 to 8 inches",IF(F7="ppm",IF(F6*2&gt;70,"VERY HIGH",IF(F6*2&gt;45,"HIGH",IF(F6*2&gt;22,"MEDIUM","LOW"))),IF(F6&gt;70,"VERY HIGH",IF(F6&gt;45,"HIGH",IF(F6&gt;22,"MEDIUM","LOW")))),"Non-agronomic sampling depth"),"Non-agronomic test for MO")</f>
        <v>Non-agronomic sampling depth</v>
      </c>
      <c r="G33" s="57"/>
      <c r="H33" s="65" t="str">
        <f>IF(H9="Bray-I",IF(H10="6 to 8 inches",IF(H7="ppm",IF(H6*2&gt;70,"VERY HIGH",IF(H6*2&gt;45,"HIGH",IF(H6*2&gt;22,"MEDIUM","LOW"))),IF(H6&gt;70,"VERY HIGH",IF(H6&gt;45,"HIGH",IF(H6&gt;22,"MEDIUM","LOW")))),"Non-agronomic sampling depth"),"Non-agronomic test for MO")</f>
        <v>MEDIUM</v>
      </c>
    </row>
    <row r="34" spans="1:8" ht="13.5" thickBot="1">
      <c r="A34" s="58" t="s">
        <v>186</v>
      </c>
      <c r="B34" s="54">
        <f>(((((((B6/(IF(B7="lbs/acre",VLOOKUP(B10,$A$62:$B$64,2,FALSE),1))*VLOOKUP(B12,$A$68:$G$71,IF(B10="6 to 8 inches",3,IF(B10="3 inches",5,7)),FALSE))+100)*$B$72)+$B$73)*B14*2000/1000000)*VLOOKUP(B21,$A$79:$F$90,IF(B18="A",6,IF(B18="B",5,IF(B18="C",3,3))))*$B$74)+((((B6/(IF(B7="lbs/acre",VLOOKUP(B10,$A$62:$B$64,2,FALSE),1))*VLOOKUP(B12,$A$68:$G$71,IF(B10="6 to 8 inches",3,IF(B10="3 inches",5,7)),FALSE))+100)*$B$75)*(B50/12*43560*7.48*8.3/1000000)))-B27</f>
        <v>0.8897539592336376</v>
      </c>
      <c r="C34" s="41"/>
      <c r="D34" s="54">
        <f>(((((((D6/(IF(D7="lbs/acre",VLOOKUP(D10,$A$62:$B$64,2,FALSE),1))*VLOOKUP(D12,$A$68:$G$71,IF(D10="6 to 8 inches",3,IF(D10="3 inches",5,7)),FALSE))+100)*$B$72)+$B$73)*D14*2000/1000000)*VLOOKUP(D21,$A$79:$F$90,IF(D18="A",6,IF(D18="B",5,IF(D18="C",3,3))))*$B$74)+((((D6/(IF(D7="lbs/acre",VLOOKUP(D10,$A$62:$B$64,2,FALSE),1))*VLOOKUP(D12,$A$68:$G$71,IF(D10="6 to 8 inches",3,IF(D10="3 inches",5,7)),FALSE))+100)*$B$75)*(D50/12*43560*7.48*8.3/1000000)))-D27</f>
        <v>2.743967965344414</v>
      </c>
      <c r="E34" s="44"/>
      <c r="F34" s="54">
        <f>(((((((F6/(IF(F7="lbs/acre",VLOOKUP(F10,$A$62:$B$64,2,FALSE),1))*VLOOKUP(F12,$A$68:$G$71,IF(F10="6 to 8 inches",3,IF(F10="3 inches",5,7)),FALSE))+100)*$B$72)+$B$73)*F14*2000/1000000)*VLOOKUP(F21,$A$79:$F$90,IF(F18="A",6,IF(F18="B",5,IF(F18="C",3,3))))*$B$74)+((((F6/(IF(F7="lbs/acre",VLOOKUP(F10,$A$62:$B$64,2,FALSE),1))*VLOOKUP(F12,$A$68:$G$71,IF(F10="6 to 8 inches",3,IF(F10="3 inches",5,7)),FALSE))+100)*$B$75)*(F50/12*43560*7.48*8.3/1000000)))-F27</f>
        <v>1.1660594109742677</v>
      </c>
      <c r="G34" s="44"/>
      <c r="H34" s="54">
        <f>(((((((H6/(IF(H7="lbs/acre",VLOOKUP(H10,$A$62:$B$64,2,FALSE),1))*VLOOKUP(H12,$A$68:$G$71,IF(H10="6 to 8 inches",3,IF(H10="3 inches",5,7)),FALSE))+100)*$B$72)+$B$73)*H14*2000/1000000)*VLOOKUP(H21,$A$79:$F$90,IF(H18="A",6,IF(H18="B",5,IF(H18="C",3,3))))*$B$74)+((((H6/(IF(H7="lbs/acre",VLOOKUP(H10,$A$62:$B$64,2,FALSE),1))*VLOOKUP(H12,$A$68:$G$71,IF(H10="6 to 8 inches",3,IF(H10="3 inches",5,7)),FALSE))+100)*$B$75)*(H50/12*43560*7.48*8.3/1000000)))-H27</f>
        <v>7.03538288903227</v>
      </c>
    </row>
    <row r="35" spans="1:8" s="7" customFormat="1" ht="12.75">
      <c r="A35" s="63"/>
      <c r="B35" s="64"/>
      <c r="C35" s="15"/>
      <c r="D35" s="64"/>
      <c r="E35" s="16"/>
      <c r="F35" s="64"/>
      <c r="G35" s="16"/>
      <c r="H35" s="64"/>
    </row>
    <row r="36" spans="1:8" s="7" customFormat="1" ht="12.75">
      <c r="A36" t="s">
        <v>203</v>
      </c>
      <c r="B36" s="64"/>
      <c r="C36" s="15"/>
      <c r="D36" s="64"/>
      <c r="E36" s="16"/>
      <c r="F36" s="64"/>
      <c r="G36" s="16"/>
      <c r="H36" s="64"/>
    </row>
    <row r="37" spans="1:8" s="7" customFormat="1" ht="12.75">
      <c r="A37" s="63"/>
      <c r="B37" s="64"/>
      <c r="C37" s="15"/>
      <c r="D37" s="64"/>
      <c r="E37" s="16"/>
      <c r="F37" s="64"/>
      <c r="G37" s="16"/>
      <c r="H37" s="64"/>
    </row>
    <row r="38" spans="1:8" s="7" customFormat="1" ht="12.75">
      <c r="A38" s="63"/>
      <c r="B38" s="64"/>
      <c r="C38" s="15"/>
      <c r="D38" s="64"/>
      <c r="E38" s="16"/>
      <c r="F38" s="64"/>
      <c r="G38" s="16"/>
      <c r="H38" s="64"/>
    </row>
    <row r="39" spans="1:8" s="7" customFormat="1" ht="12.75">
      <c r="A39" s="63"/>
      <c r="B39" s="64"/>
      <c r="C39" s="15"/>
      <c r="D39" s="64"/>
      <c r="E39" s="16"/>
      <c r="F39" s="64"/>
      <c r="G39" s="16"/>
      <c r="H39" s="64"/>
    </row>
    <row r="40" spans="1:8" s="7" customFormat="1" ht="12.75">
      <c r="A40" s="63"/>
      <c r="B40" s="64"/>
      <c r="C40" s="15"/>
      <c r="D40" s="64"/>
      <c r="E40" s="16"/>
      <c r="F40" s="64"/>
      <c r="G40" s="16"/>
      <c r="H40" s="64"/>
    </row>
    <row r="41" spans="1:8" s="7" customFormat="1" ht="12.75">
      <c r="A41" s="63"/>
      <c r="B41" s="64"/>
      <c r="C41" s="15"/>
      <c r="D41" s="64"/>
      <c r="E41" s="16"/>
      <c r="F41" s="64"/>
      <c r="G41" s="16"/>
      <c r="H41" s="64"/>
    </row>
    <row r="42" spans="1:8" s="7" customFormat="1" ht="12.75">
      <c r="A42" s="63"/>
      <c r="B42" s="64"/>
      <c r="C42" s="15"/>
      <c r="D42" s="64"/>
      <c r="E42" s="16"/>
      <c r="F42" s="64"/>
      <c r="G42" s="16"/>
      <c r="H42" s="64"/>
    </row>
    <row r="43" spans="1:8" s="7" customFormat="1" ht="12.75">
      <c r="A43" s="63"/>
      <c r="B43" s="64"/>
      <c r="C43" s="15"/>
      <c r="D43" s="64"/>
      <c r="E43" s="16"/>
      <c r="F43" s="64"/>
      <c r="G43" s="16"/>
      <c r="H43" s="64"/>
    </row>
    <row r="44" spans="1:8" s="7" customFormat="1" ht="12.75">
      <c r="A44" s="63"/>
      <c r="B44" s="64"/>
      <c r="C44" s="15"/>
      <c r="D44" s="64"/>
      <c r="E44" s="16"/>
      <c r="F44" s="64"/>
      <c r="G44" s="16"/>
      <c r="H44" s="64"/>
    </row>
    <row r="45" spans="1:8" s="7" customFormat="1" ht="12.75">
      <c r="A45" s="63"/>
      <c r="B45" s="64"/>
      <c r="C45" s="15"/>
      <c r="D45" s="64"/>
      <c r="E45" s="16"/>
      <c r="F45" s="64"/>
      <c r="G45" s="16"/>
      <c r="H45" s="64"/>
    </row>
    <row r="47" spans="1:8" ht="12.75">
      <c r="A47" t="s">
        <v>166</v>
      </c>
      <c r="B47" s="39">
        <f>IF(B19="Poor",VLOOKUP(B16,$A$227:$E$247,VLOOKUP(B18,$E$98:$F$101,2,FALSE),FALSE),IF(B19="Fair",VLOOKUP(B16,$A$249:$E$269,VLOOKUP(B18,$E$98:$F$101,2,FALSE),FALSE),IF(B19="Good",VLOOKUP(B16,$A$271:$E$291,VLOOKUP(B18,$E$98:$F$101,2,FALSE),FALSE),"error")))</f>
        <v>58</v>
      </c>
      <c r="D47" s="39">
        <f>IF(D19="Poor",VLOOKUP(D16,$A$227:$E$247,VLOOKUP(D18,$E$98:$F$101,2,FALSE),FALSE),IF(D19="Fair",VLOOKUP(D16,$A$249:$E$269,VLOOKUP(D18,$E$98:$F$101,2,FALSE),FALSE),IF(D19="Good",VLOOKUP(D16,$A$271:$E$291,VLOOKUP(D18,$E$98:$F$101,2,FALSE),FALSE),"error")))</f>
        <v>78</v>
      </c>
      <c r="F47" s="39">
        <f>IF(F19="Poor",VLOOKUP(F16,$A$227:$E$247,VLOOKUP(F18,$E$98:$F$101,2,FALSE),FALSE),IF(F19="Fair",VLOOKUP(F16,$A$249:$E$269,VLOOKUP(F18,$E$98:$F$101,2,FALSE),FALSE),IF(F19="Good",VLOOKUP(F16,$A$271:$E$291,VLOOKUP(F18,$E$98:$F$101,2,FALSE),FALSE),"error")))</f>
        <v>58</v>
      </c>
      <c r="H47" s="39">
        <f>IF(H19="Poor",VLOOKUP(H16,$A$227:$E$247,VLOOKUP(H18,$E$98:$F$101,2,FALSE),FALSE),IF(H19="Fair",VLOOKUP(H16,$A$249:$E$269,VLOOKUP(H18,$E$98:$F$101,2,FALSE),FALSE),IF(H19="Good",VLOOKUP(H16,$A$271:$E$291,VLOOKUP(H18,$E$98:$F$101,2,FALSE),FALSE),"error")))</f>
        <v>89</v>
      </c>
    </row>
    <row r="48" spans="1:8" ht="12.75">
      <c r="A48" t="s">
        <v>167</v>
      </c>
      <c r="B48" s="3">
        <f>1000/B47-10</f>
        <v>7.241379310344829</v>
      </c>
      <c r="C48" s="3"/>
      <c r="D48" s="3">
        <f>1000/D47-10</f>
        <v>2.820512820512821</v>
      </c>
      <c r="E48" s="3"/>
      <c r="F48" s="3">
        <f>1000/F47-10</f>
        <v>7.241379310344829</v>
      </c>
      <c r="G48" s="3"/>
      <c r="H48" s="3">
        <f>1000/H47-10</f>
        <v>1.235955056179776</v>
      </c>
    </row>
    <row r="49" spans="1:8" ht="12.75">
      <c r="A49" t="s">
        <v>181</v>
      </c>
      <c r="B49" s="4">
        <f>B59/C59</f>
        <v>0.16984628527602794</v>
      </c>
      <c r="C49" s="3"/>
      <c r="D49" s="4">
        <f>D59/E59</f>
        <v>0.43591365535800636</v>
      </c>
      <c r="E49" s="3"/>
      <c r="F49" s="4">
        <f>F59/G59</f>
        <v>0.17646216033527992</v>
      </c>
      <c r="G49" s="3"/>
      <c r="H49" s="4">
        <f>H59/I59</f>
        <v>0.6785251385643667</v>
      </c>
    </row>
    <row r="50" spans="1:8" ht="12.75">
      <c r="A50" t="s">
        <v>179</v>
      </c>
      <c r="B50" s="3">
        <f>B49*VLOOKUP(B4,$A$109:$B$223,2,FALSE)</f>
        <v>7.307636424001101</v>
      </c>
      <c r="C50" s="3"/>
      <c r="D50" s="3">
        <f>D49*VLOOKUP(D4,$A$109:$B$223,2,FALSE)</f>
        <v>16.52839276565774</v>
      </c>
      <c r="E50" s="3"/>
      <c r="F50" s="3">
        <f>F49*VLOOKUP(F4,$A$109:$B$223,2,FALSE)</f>
        <v>7.810215216439489</v>
      </c>
      <c r="G50" s="3"/>
      <c r="H50" s="3">
        <f>H49*VLOOKUP(H4,$A$109:$B$223,2,FALSE)</f>
        <v>25.878948784844948</v>
      </c>
    </row>
    <row r="51" spans="1:8" ht="12.75">
      <c r="A51" t="s">
        <v>190</v>
      </c>
      <c r="B51" s="3">
        <f>VLOOKUP(B4,$A$109:$B$223,2,FALSE)</f>
        <v>43.025</v>
      </c>
      <c r="C51" s="3"/>
      <c r="D51" s="3">
        <f>VLOOKUP(D4,$A$109:$B$223,2,FALSE)</f>
        <v>37.916666666666664</v>
      </c>
      <c r="E51" s="3"/>
      <c r="F51" s="3">
        <f>VLOOKUP(F4,$A$109:$B$223,2,FALSE)</f>
        <v>44.26</v>
      </c>
      <c r="G51" s="3"/>
      <c r="H51" s="3">
        <f>VLOOKUP(H4,$A$109:$B$223,2,FALSE)</f>
        <v>38.14</v>
      </c>
    </row>
    <row r="52" spans="1:9" ht="12.75">
      <c r="A52">
        <v>1</v>
      </c>
      <c r="B52" s="4">
        <f>((VLOOKUP(B4,$A$109:$I$223,3)-0.2*B48)^2)/(VLOOKUP(B4,$A$109:$I$223,3)+0.8*B48)*(100/$A52)/100</f>
        <v>0.34121006981171975</v>
      </c>
      <c r="C52" s="3">
        <f>VLOOKUP(B4,$A$109:$I$223,3)*(100/$A52)/100</f>
        <v>3.2</v>
      </c>
      <c r="D52" s="4">
        <f>((VLOOKUP(D4,$A$109:$I$223,3)-0.2*D48)^2)/(VLOOKUP(D4,$A$109:$I$223,3)+0.8*D48)*(100/$A52)/100</f>
        <v>1.1288305190744212</v>
      </c>
      <c r="E52" s="3">
        <f>VLOOKUP(D4,$A$109:$I$223,3)*(100/$A52)/100</f>
        <v>3</v>
      </c>
      <c r="F52" s="4">
        <f>((VLOOKUP(F4,$A$109:$I$223,3)-0.2*F48)^2)/(VLOOKUP(F4,$A$109:$I$223,3)+0.8*F48)*(100/$A52)/100</f>
        <v>0.37708603036365745</v>
      </c>
      <c r="G52" s="3">
        <f>VLOOKUP(F4,$A$109:$I$223,3)*(100/$A52)/100</f>
        <v>3.3</v>
      </c>
      <c r="H52" s="4">
        <f>((VLOOKUP(H4,$A$109:$I$223,3)-0.2*H48)^2)/(VLOOKUP(H4,$A$109:$I$223,3)+0.8*H48)*(100/$A52)/100</f>
        <v>1.8998259218230726</v>
      </c>
      <c r="I52" s="3">
        <f>VLOOKUP(H4,$A$109:$I$223,3)*(100/$A52)/100</f>
        <v>3</v>
      </c>
    </row>
    <row r="53" spans="1:9" ht="12.75">
      <c r="A53">
        <v>2</v>
      </c>
      <c r="B53" s="4">
        <f>((VLOOKUP(B4,$A$109:$I$223,4)-0.2*B48)^2)/(VLOOKUP(B4,$A$109:$I$223,4)+0.8*B48)*(100/$A53)/100</f>
        <v>0.31006329812681693</v>
      </c>
      <c r="C53" s="3">
        <f>VLOOKUP(B4,$A$109:$I$223,4)*(100/$A53)/100</f>
        <v>1.95</v>
      </c>
      <c r="D53" s="4">
        <f>((VLOOKUP(D4,$A$109:$I$223,4)-0.2*D48)^2)/(VLOOKUP(D4,$A$109:$I$223,4)+0.8*D48)*(100/$A53)/100</f>
        <v>0.710902666387707</v>
      </c>
      <c r="E53" s="3">
        <f>VLOOKUP(D4,$A$109:$I$223,4)*(100/$A53)/100</f>
        <v>1.7</v>
      </c>
      <c r="F53" s="4">
        <f>((VLOOKUP(F4,$A$109:$I$223,4)-0.2*F48)^2)/(VLOOKUP(F4,$A$109:$I$223,4)+0.8*F48)*(100/$A53)/100</f>
        <v>0.3324429334628458</v>
      </c>
      <c r="G53" s="3">
        <f>VLOOKUP(F4,$A$109:$I$223,4)*(100/$A53)/100</f>
        <v>2</v>
      </c>
      <c r="H53" s="4">
        <f>((VLOOKUP(H4,$A$109:$I$223,4)-0.2*H48)^2)/(VLOOKUP(H4,$A$109:$I$223,4)+0.8*H48)*(100/$A53)/100</f>
        <v>1.1785834821616905</v>
      </c>
      <c r="I53" s="3">
        <f>VLOOKUP(H4,$A$109:$I$223,4)*(100/$A53)/100</f>
        <v>1.75</v>
      </c>
    </row>
    <row r="54" spans="1:9" ht="12.75">
      <c r="A54">
        <v>5</v>
      </c>
      <c r="B54" s="4">
        <f>(((VLOOKUP(B4,$A$109:$I$223,5)-0.2*B48)^2)/(VLOOKUP(B4,$A$109:$I$223,5)+0.8*B48))*(100/$A54)/100</f>
        <v>0.2337556461385919</v>
      </c>
      <c r="C54" s="3">
        <f>VLOOKUP(B4,$A$109:$I$223,5)*(100/$A54)/100</f>
        <v>1</v>
      </c>
      <c r="D54" s="4">
        <f>(((VLOOKUP(D4,$A$109:$I$223,5)-0.2*D48)^2)/(VLOOKUP(D4,$A$109:$I$223,5)+0.8*D48))*(100/$A54)/100</f>
        <v>0.45856565951442607</v>
      </c>
      <c r="E54" s="3">
        <f>VLOOKUP(D4,$A$109:$I$223,5)*(100/$A54)/100</f>
        <v>0.9</v>
      </c>
      <c r="F54" s="4">
        <f>(((VLOOKUP(F4,$A$109:$I$223,5)-0.2*F48)^2)/(VLOOKUP(F4,$A$109:$I$223,5)+0.8*F48))*(100/$A54)/100</f>
        <v>0.24483544552510053</v>
      </c>
      <c r="G54" s="3">
        <f>VLOOKUP(F4,$A$109:$I$223,5)*(100/$A54)/100</f>
        <v>1.02</v>
      </c>
      <c r="H54" s="4">
        <f>(((VLOOKUP(H4,$A$109:$I$223,5)-0.2*H48)^2)/(VLOOKUP(H4,$A$109:$I$223,5)+0.8*H48))*(100/$A54)/100</f>
        <v>0.6590330408381538</v>
      </c>
      <c r="I54" s="3">
        <f>VLOOKUP(H4,$A$109:$I$223,5)*(100/$A54)/100</f>
        <v>0.9</v>
      </c>
    </row>
    <row r="55" spans="1:9" ht="12.75">
      <c r="A55">
        <v>10</v>
      </c>
      <c r="B55" s="4">
        <f>(((VLOOKUP(B4,$A$109:$I$223,6)-0.2*B48)^2)/(VLOOKUP(B4,$A$109:$I$223,6)+0.8*B48))*(100/$A55)/100</f>
        <v>0.16335145336314583</v>
      </c>
      <c r="C55" s="3">
        <f>VLOOKUP(B4,$A$109:$I$223,6)*(100/$A55)/100</f>
        <v>0.58</v>
      </c>
      <c r="D55" s="4">
        <f>(((VLOOKUP(D4,$A$109:$I$223,6)-0.2*D48)^2)/(VLOOKUP(D4,$A$109:$I$223,6)+0.8*D48))*(100/$A55)/100</f>
        <v>0.2882291115578599</v>
      </c>
      <c r="E55" s="3">
        <f>VLOOKUP(D4,$A$109:$I$223,6)*(100/$A55)/100</f>
        <v>0.52</v>
      </c>
      <c r="F55" s="4">
        <f>(((VLOOKUP(F4,$A$109:$I$223,6)-0.2*F48)^2)/(VLOOKUP(F4,$A$109:$I$223,6)+0.8*F48))*(100/$A55)/100</f>
        <v>0.16948321622143805</v>
      </c>
      <c r="G55" s="3">
        <f>VLOOKUP(F4,$A$109:$I$223,6)*(100/$A55)/100</f>
        <v>0.59</v>
      </c>
      <c r="H55" s="4">
        <f>(((VLOOKUP(H4,$A$109:$I$223,6)-0.2*H48)^2)/(VLOOKUP(H4,$A$109:$I$223,6)+0.8*H48))*(100/$A55)/100</f>
        <v>0.39636859154814646</v>
      </c>
      <c r="I55" s="3">
        <f>VLOOKUP(H4,$A$109:$I$223,6)*(100/$A55)/100</f>
        <v>0.52</v>
      </c>
    </row>
    <row r="56" spans="1:9" ht="12.75">
      <c r="A56">
        <v>25</v>
      </c>
      <c r="B56" s="4">
        <f>(((VLOOKUP(B4,$A$109:$I$223,7)-0.2*B48)^2)/(VLOOKUP(B4,$A$109:$I$223,7)+0.8*B48))*(100/$A56)/100</f>
        <v>0.09097344865354832</v>
      </c>
      <c r="C56" s="3">
        <f>VLOOKUP(B4,$A$109:$I$223,7)*(100/$A56)/100</f>
        <v>0.272</v>
      </c>
      <c r="D56" s="4">
        <f>(((VLOOKUP(D4,$A$109:$I$223,7)-0.2*D48)^2)/(VLOOKUP(D4,$A$109:$I$223,7)+0.8*D48))*(100/$A56)/100</f>
        <v>0.1431565535913362</v>
      </c>
      <c r="E56" s="3">
        <f>VLOOKUP(D4,$A$109:$I$223,7)*(100/$A56)/100</f>
        <v>0.24</v>
      </c>
      <c r="F56" s="4">
        <f>(((VLOOKUP(F4,$A$109:$I$223,7)-0.2*F48)^2)/(VLOOKUP(F4,$A$109:$I$223,7)+0.8*F48))*(100/$A56)/100</f>
        <v>0.0936612427282691</v>
      </c>
      <c r="G56" s="3">
        <f>VLOOKUP(F4,$A$109:$I$223,7)*(100/$A56)/100</f>
        <v>0.276</v>
      </c>
      <c r="H56" s="4">
        <f>(((VLOOKUP(H4,$A$109:$I$223,7)-0.2*H48)^2)/(VLOOKUP(H4,$A$109:$I$223,7)+0.8*H48))*(100/$A56)/100</f>
        <v>0.18554416586182942</v>
      </c>
      <c r="I56" s="3">
        <f>VLOOKUP(H4,$A$109:$I$223,7)*(100/$A56)/100</f>
        <v>0.23600000000000002</v>
      </c>
    </row>
    <row r="57" spans="1:9" ht="12.75">
      <c r="A57">
        <v>50</v>
      </c>
      <c r="B57" s="4">
        <f>(((VLOOKUP(B4,$A$109:$I$223,8)-0.2*B48)^2)/(VLOOKUP(B4,$A$109:$I$223,8)+0.8*B48))*(100/$A57)/100</f>
        <v>0.05651223409922225</v>
      </c>
      <c r="C57" s="3">
        <f>VLOOKUP(B4,$A$109:$I$223,8)*(100/$A57)/100</f>
        <v>0.152</v>
      </c>
      <c r="D57" s="4">
        <f>(((VLOOKUP(D4,$A$109:$I$223,8)-0.2*D48)^2)/(VLOOKUP(D4,$A$109:$I$223,8)+0.8*D48))*(100/$A57)/100</f>
        <v>0.08587600545924441</v>
      </c>
      <c r="E57" s="3">
        <f>VLOOKUP(D4,$A$109:$I$223,8)*(100/$A57)/100</f>
        <v>0.136</v>
      </c>
      <c r="F57" s="4">
        <f>(((VLOOKUP(F4,$A$109:$I$223,8)-0.2*F48)^2)/(VLOOKUP(F4,$A$109:$I$223,8)+0.8*F48))*(100/$A57)/100</f>
        <v>0.05793189809388685</v>
      </c>
      <c r="G57" s="3">
        <f>VLOOKUP(F4,$A$109:$I$223,8)*(100/$A57)/100</f>
        <v>0.154</v>
      </c>
      <c r="H57" s="4">
        <f>(((VLOOKUP(H4,$A$109:$I$223,8)-0.2*H48)^2)/(VLOOKUP(H4,$A$109:$I$223,8)+0.8*H48))*(100/$A57)/100</f>
        <v>0.10636299088679864</v>
      </c>
      <c r="I57" s="3">
        <f>VLOOKUP(H4,$A$109:$I$223,8)*(100/$A57)/100</f>
        <v>0.132</v>
      </c>
    </row>
    <row r="58" spans="1:9" ht="12.75">
      <c r="A58">
        <v>100</v>
      </c>
      <c r="B58" s="4">
        <f>(((VLOOKUP(B4,$A$109:$I$223,9)-0.2*B48)^2)/(VLOOKUP(B4,$A$109:$I$223,9)+0.8*B48))*(100/$A58)/100</f>
        <v>0.03331141634956927</v>
      </c>
      <c r="C58" s="3">
        <f>VLOOKUP(B4,$A$109:$I$223,9)*(100/$A58)/100</f>
        <v>0.083</v>
      </c>
      <c r="D58" s="4">
        <f>(((VLOOKUP(D4,$A$109:$I$223,9)-0.2*D48)^2)/(VLOOKUP(D4,$A$109:$I$223,9)+0.8*D48))*(100/$A58)/100</f>
        <v>0.04839220011710719</v>
      </c>
      <c r="E58" s="3">
        <f>VLOOKUP(D4,$A$109:$I$223,9)*(100/$A58)/100</f>
        <v>0.07400000000000001</v>
      </c>
      <c r="F58" s="4">
        <f>(((VLOOKUP(F4,$A$109:$I$223,9)-0.2*F48)^2)/(VLOOKUP(F4,$A$109:$I$223,9)+0.8*F48))*(100/$A58)/100</f>
        <v>0.034790774094255635</v>
      </c>
      <c r="G58" s="3">
        <f>VLOOKUP(F4,$A$109:$I$223,9)*(100/$A58)/100</f>
        <v>0.085</v>
      </c>
      <c r="H58" s="4">
        <f>(((VLOOKUP(H4,$A$109:$I$223,9)-0.2*H48)^2)/(VLOOKUP(H4,$A$109:$I$223,9)+0.8*H48))*(100/$A58)/100</f>
        <v>0.060011497929337</v>
      </c>
      <c r="I58" s="3">
        <f>VLOOKUP(H4,$A$109:$I$223,9)*(100/$A58)/100</f>
        <v>0.073</v>
      </c>
    </row>
    <row r="59" spans="2:9" ht="13.5" thickBot="1">
      <c r="B59" s="3">
        <f aca="true" t="shared" si="0" ref="B59:I59">SUM(B52:B58)</f>
        <v>1.2291775665426143</v>
      </c>
      <c r="C59" s="3">
        <f t="shared" si="0"/>
        <v>7.237000000000001</v>
      </c>
      <c r="D59" s="3">
        <f t="shared" si="0"/>
        <v>2.8639527157021023</v>
      </c>
      <c r="E59" s="3">
        <f t="shared" si="0"/>
        <v>6.570000000000001</v>
      </c>
      <c r="F59" s="3">
        <f t="shared" si="0"/>
        <v>1.3102315404894533</v>
      </c>
      <c r="G59" s="3">
        <f t="shared" si="0"/>
        <v>7.425</v>
      </c>
      <c r="H59" s="3">
        <f t="shared" si="0"/>
        <v>4.485729691049028</v>
      </c>
      <c r="I59" s="3">
        <f t="shared" si="0"/>
        <v>6.611</v>
      </c>
    </row>
    <row r="60" spans="1:9" ht="12.75">
      <c r="A60" s="29" t="s">
        <v>169</v>
      </c>
      <c r="B60" s="30"/>
      <c r="C60" s="4">
        <f>B59/C59</f>
        <v>0.16984628527602794</v>
      </c>
      <c r="E60" s="4">
        <f>D59/E59</f>
        <v>0.43591365535800636</v>
      </c>
      <c r="G60" s="4">
        <f>F59/G59</f>
        <v>0.17646216033527992</v>
      </c>
      <c r="I60" s="4">
        <f>H59/I59</f>
        <v>0.6785251385643667</v>
      </c>
    </row>
    <row r="61" spans="1:2" ht="12.75">
      <c r="A61" s="19"/>
      <c r="B61" s="31"/>
    </row>
    <row r="62" spans="1:2" ht="12.75">
      <c r="A62" s="19" t="s">
        <v>8</v>
      </c>
      <c r="B62" s="31">
        <v>2</v>
      </c>
    </row>
    <row r="63" spans="1:2" ht="12.75">
      <c r="A63" s="19" t="s">
        <v>150</v>
      </c>
      <c r="B63" s="31">
        <v>1</v>
      </c>
    </row>
    <row r="64" spans="1:2" ht="13.5" thickBot="1">
      <c r="A64" s="32" t="s">
        <v>151</v>
      </c>
      <c r="B64" s="33">
        <v>0.667</v>
      </c>
    </row>
    <row r="65" spans="1:2" ht="13.5" thickBot="1">
      <c r="A65" s="20"/>
      <c r="B65" s="20"/>
    </row>
    <row r="66" spans="1:7" ht="12.75">
      <c r="A66" s="29" t="s">
        <v>170</v>
      </c>
      <c r="B66" s="34"/>
      <c r="C66" s="34"/>
      <c r="D66" s="34"/>
      <c r="E66" s="34"/>
      <c r="F66" s="34"/>
      <c r="G66" s="30"/>
    </row>
    <row r="67" spans="1:7" ht="12.75">
      <c r="A67" s="19"/>
      <c r="B67" s="20"/>
      <c r="C67" s="20" t="s">
        <v>152</v>
      </c>
      <c r="D67" s="20"/>
      <c r="E67" s="20" t="s">
        <v>150</v>
      </c>
      <c r="F67" s="20"/>
      <c r="G67" s="31" t="s">
        <v>151</v>
      </c>
    </row>
    <row r="68" spans="1:7" ht="12.75">
      <c r="A68" s="19" t="s">
        <v>187</v>
      </c>
      <c r="B68" s="20"/>
      <c r="C68" s="20">
        <v>3</v>
      </c>
      <c r="D68" s="20"/>
      <c r="E68" s="20">
        <v>2</v>
      </c>
      <c r="F68" s="20"/>
      <c r="G68" s="31">
        <v>1</v>
      </c>
    </row>
    <row r="69" spans="1:7" ht="13.5" thickBot="1">
      <c r="A69" s="32" t="s">
        <v>171</v>
      </c>
      <c r="B69" s="13"/>
      <c r="C69" s="13">
        <v>1</v>
      </c>
      <c r="D69" s="13"/>
      <c r="E69" s="13">
        <v>1</v>
      </c>
      <c r="F69" s="13"/>
      <c r="G69" s="33">
        <v>1</v>
      </c>
    </row>
    <row r="70" spans="1:7" ht="13.5" thickBot="1">
      <c r="A70" s="20"/>
      <c r="B70" s="20"/>
      <c r="C70" s="20"/>
      <c r="D70" s="20"/>
      <c r="E70" s="20"/>
      <c r="F70" s="20"/>
      <c r="G70" s="20"/>
    </row>
    <row r="71" spans="1:8" ht="12.75">
      <c r="A71" s="29" t="s">
        <v>172</v>
      </c>
      <c r="B71" s="30"/>
      <c r="C71" s="20"/>
      <c r="D71" s="20"/>
      <c r="E71" s="20"/>
      <c r="F71" s="20"/>
      <c r="G71" s="20"/>
      <c r="H71" s="37" t="s">
        <v>177</v>
      </c>
    </row>
    <row r="72" spans="1:8" ht="12.75">
      <c r="A72" s="19" t="s">
        <v>154</v>
      </c>
      <c r="B72" s="31">
        <v>2.2</v>
      </c>
      <c r="H72" s="25" t="s">
        <v>155</v>
      </c>
    </row>
    <row r="73" spans="1:8" ht="12.75">
      <c r="A73" s="19" t="s">
        <v>153</v>
      </c>
      <c r="B73" s="31">
        <v>600</v>
      </c>
      <c r="H73" s="25" t="s">
        <v>156</v>
      </c>
    </row>
    <row r="74" spans="1:8" ht="13.5" thickBot="1">
      <c r="A74" s="19" t="s">
        <v>158</v>
      </c>
      <c r="B74" s="31">
        <v>0.75</v>
      </c>
      <c r="H74" s="38" t="s">
        <v>157</v>
      </c>
    </row>
    <row r="75" spans="1:2" ht="12.75">
      <c r="A75" s="19" t="s">
        <v>161</v>
      </c>
      <c r="B75" s="31">
        <v>0.004</v>
      </c>
    </row>
    <row r="76" spans="1:2" ht="13.5" thickBot="1">
      <c r="A76" s="45" t="s">
        <v>180</v>
      </c>
      <c r="B76" s="33">
        <v>2.5</v>
      </c>
    </row>
    <row r="77" spans="1:2" ht="13.5" thickBot="1">
      <c r="A77" s="20"/>
      <c r="B77" s="20"/>
    </row>
    <row r="78" spans="1:6" ht="12.75">
      <c r="A78" s="29" t="s">
        <v>173</v>
      </c>
      <c r="B78" s="49"/>
      <c r="C78" s="34" t="s">
        <v>192</v>
      </c>
      <c r="E78" s="34" t="s">
        <v>29</v>
      </c>
      <c r="F78" s="30" t="s">
        <v>28</v>
      </c>
    </row>
    <row r="79" spans="1:6" ht="12.75">
      <c r="A79" s="19">
        <v>0</v>
      </c>
      <c r="B79" s="19">
        <v>1</v>
      </c>
      <c r="C79" s="20">
        <v>0.95</v>
      </c>
      <c r="D79" s="20">
        <v>0.85</v>
      </c>
      <c r="E79" s="20">
        <v>0.7</v>
      </c>
      <c r="F79" s="31">
        <v>0.4</v>
      </c>
    </row>
    <row r="80" spans="1:6" ht="12.75">
      <c r="A80" s="19">
        <v>298</v>
      </c>
      <c r="B80" s="19">
        <v>0.98</v>
      </c>
      <c r="C80" s="20">
        <v>0.9</v>
      </c>
      <c r="D80" s="20">
        <v>0.82</v>
      </c>
      <c r="E80" s="20">
        <v>0.65</v>
      </c>
      <c r="F80" s="31">
        <v>0.38</v>
      </c>
    </row>
    <row r="81" spans="1:6" ht="12.75">
      <c r="A81" s="19">
        <v>421</v>
      </c>
      <c r="B81" s="19">
        <v>0.97</v>
      </c>
      <c r="C81" s="20">
        <v>0.88</v>
      </c>
      <c r="D81" s="20">
        <v>0.8</v>
      </c>
      <c r="E81" s="20">
        <v>0.59</v>
      </c>
      <c r="F81" s="31">
        <v>0.34</v>
      </c>
    </row>
    <row r="82" spans="1:6" ht="12.75">
      <c r="A82" s="19">
        <v>589</v>
      </c>
      <c r="B82" s="19">
        <v>0.96</v>
      </c>
      <c r="C82" s="20">
        <v>0.85</v>
      </c>
      <c r="D82" s="20">
        <v>0.75</v>
      </c>
      <c r="E82" s="20">
        <v>0.51</v>
      </c>
      <c r="F82" s="31">
        <v>0.3</v>
      </c>
    </row>
    <row r="83" spans="1:6" ht="12.75">
      <c r="A83" s="19">
        <v>726</v>
      </c>
      <c r="B83" s="19">
        <v>0.92</v>
      </c>
      <c r="C83" s="20">
        <v>0.8</v>
      </c>
      <c r="D83" s="20">
        <v>0.7</v>
      </c>
      <c r="E83" s="20">
        <v>0.48</v>
      </c>
      <c r="F83" s="31">
        <v>0.28</v>
      </c>
    </row>
    <row r="84" spans="1:6" ht="12.75">
      <c r="A84" s="19">
        <v>841</v>
      </c>
      <c r="B84" s="19">
        <v>0.91</v>
      </c>
      <c r="C84" s="20">
        <v>0.79</v>
      </c>
      <c r="D84" s="20">
        <v>0.69</v>
      </c>
      <c r="E84" s="20">
        <v>0.47</v>
      </c>
      <c r="F84" s="31">
        <v>0.27</v>
      </c>
    </row>
    <row r="85" spans="1:6" ht="12.75">
      <c r="A85" s="19">
        <v>942</v>
      </c>
      <c r="B85" s="19">
        <v>0.9</v>
      </c>
      <c r="C85" s="20">
        <v>0.78</v>
      </c>
      <c r="D85" s="20">
        <v>0.67</v>
      </c>
      <c r="E85" s="20">
        <v>0.45</v>
      </c>
      <c r="F85" s="31">
        <v>0.25</v>
      </c>
    </row>
    <row r="86" spans="1:6" ht="12.75">
      <c r="A86" s="19">
        <v>1333</v>
      </c>
      <c r="B86" s="19">
        <v>0.82</v>
      </c>
      <c r="C86" s="20">
        <v>0.69</v>
      </c>
      <c r="D86" s="20">
        <v>0.6</v>
      </c>
      <c r="E86" s="20">
        <v>0.4</v>
      </c>
      <c r="F86" s="31">
        <v>0.23</v>
      </c>
    </row>
    <row r="87" spans="1:6" ht="12.75">
      <c r="A87" s="19">
        <v>1885</v>
      </c>
      <c r="B87" s="19">
        <v>0.76</v>
      </c>
      <c r="C87" s="20">
        <v>0.62</v>
      </c>
      <c r="D87" s="20">
        <v>0.54</v>
      </c>
      <c r="E87" s="20">
        <v>0.35</v>
      </c>
      <c r="F87" s="31">
        <v>0.2</v>
      </c>
    </row>
    <row r="88" spans="1:6" ht="12.75">
      <c r="A88" s="19">
        <v>2308</v>
      </c>
      <c r="B88" s="19">
        <v>0.7</v>
      </c>
      <c r="C88" s="20">
        <v>0.59</v>
      </c>
      <c r="D88" s="20">
        <v>0.5</v>
      </c>
      <c r="E88" s="20">
        <v>0.33</v>
      </c>
      <c r="F88" s="31">
        <v>0.18</v>
      </c>
    </row>
    <row r="89" spans="1:6" ht="12.75">
      <c r="A89" s="19">
        <v>2665</v>
      </c>
      <c r="B89" s="19">
        <v>0.67</v>
      </c>
      <c r="C89" s="20">
        <v>0.56</v>
      </c>
      <c r="D89" s="20">
        <v>0.47</v>
      </c>
      <c r="E89" s="20">
        <v>0.31</v>
      </c>
      <c r="F89" s="31">
        <v>0.17</v>
      </c>
    </row>
    <row r="90" spans="1:6" ht="13.5" thickBot="1">
      <c r="A90" s="32">
        <v>2980</v>
      </c>
      <c r="B90" s="32">
        <v>0.63</v>
      </c>
      <c r="C90" s="13">
        <v>0.54</v>
      </c>
      <c r="D90" s="13">
        <v>0.45</v>
      </c>
      <c r="E90" s="13">
        <v>0.3</v>
      </c>
      <c r="F90" s="33">
        <v>0.16</v>
      </c>
    </row>
    <row r="91" ht="13.5" thickBot="1"/>
    <row r="92" spans="1:2" ht="12.75">
      <c r="A92" s="29" t="s">
        <v>164</v>
      </c>
      <c r="B92" s="30"/>
    </row>
    <row r="93" spans="1:2" ht="12.75">
      <c r="A93" s="19" t="s">
        <v>26</v>
      </c>
      <c r="B93" s="31">
        <v>1</v>
      </c>
    </row>
    <row r="94" spans="1:2" ht="12.75">
      <c r="A94" s="19" t="s">
        <v>165</v>
      </c>
      <c r="B94" s="31">
        <v>2</v>
      </c>
    </row>
    <row r="95" spans="1:2" ht="13.5" thickBot="1">
      <c r="A95" s="32" t="s">
        <v>27</v>
      </c>
      <c r="B95" s="33">
        <v>3</v>
      </c>
    </row>
    <row r="96" ht="13.5" thickBot="1"/>
    <row r="97" spans="1:6" ht="12.75">
      <c r="A97" s="37" t="s">
        <v>0</v>
      </c>
      <c r="E97" s="29" t="s">
        <v>176</v>
      </c>
      <c r="F97" s="30"/>
    </row>
    <row r="98" spans="1:6" ht="12.75">
      <c r="A98" s="25" t="s">
        <v>1</v>
      </c>
      <c r="E98" s="19" t="s">
        <v>28</v>
      </c>
      <c r="F98" s="31">
        <v>2</v>
      </c>
    </row>
    <row r="99" spans="1:6" ht="13.5" thickBot="1">
      <c r="A99" s="38" t="s">
        <v>2</v>
      </c>
      <c r="E99" s="19" t="s">
        <v>29</v>
      </c>
      <c r="F99" s="31">
        <v>3</v>
      </c>
    </row>
    <row r="100" spans="1:6" ht="13.5" thickBot="1">
      <c r="A100" s="20"/>
      <c r="E100" s="19" t="s">
        <v>30</v>
      </c>
      <c r="F100" s="31">
        <v>4</v>
      </c>
    </row>
    <row r="101" spans="1:6" ht="13.5" thickBot="1">
      <c r="A101" s="37" t="s">
        <v>175</v>
      </c>
      <c r="E101" s="32" t="s">
        <v>31</v>
      </c>
      <c r="F101" s="33">
        <v>5</v>
      </c>
    </row>
    <row r="102" ht="12.75">
      <c r="A102" s="25" t="s">
        <v>3</v>
      </c>
    </row>
    <row r="103" ht="12.75">
      <c r="A103" s="25" t="s">
        <v>4</v>
      </c>
    </row>
    <row r="104" ht="13.5" thickBot="1">
      <c r="A104" s="38" t="s">
        <v>5</v>
      </c>
    </row>
    <row r="105" spans="1:9" ht="12.75">
      <c r="A105" s="20"/>
      <c r="C105" s="4"/>
      <c r="D105" s="4"/>
      <c r="E105" s="4"/>
      <c r="F105" s="4"/>
      <c r="G105" s="4"/>
      <c r="H105" s="4"/>
      <c r="I105" s="4"/>
    </row>
    <row r="106" spans="3:12" ht="13.5" thickBo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9" ht="12.75">
      <c r="A107" s="29" t="s">
        <v>174</v>
      </c>
      <c r="B107" s="47" t="s">
        <v>189</v>
      </c>
      <c r="C107" s="34">
        <v>1</v>
      </c>
      <c r="D107" s="34">
        <v>2</v>
      </c>
      <c r="E107" s="34">
        <v>5</v>
      </c>
      <c r="F107" s="34">
        <v>10</v>
      </c>
      <c r="G107" s="34">
        <v>25</v>
      </c>
      <c r="H107" s="34">
        <v>50</v>
      </c>
      <c r="I107" s="30">
        <v>100</v>
      </c>
    </row>
    <row r="108" spans="1:9" ht="12.75">
      <c r="A108" s="19"/>
      <c r="B108" s="20"/>
      <c r="C108" s="20"/>
      <c r="D108" s="20"/>
      <c r="E108" s="20"/>
      <c r="F108" s="20"/>
      <c r="G108" s="20"/>
      <c r="H108" s="20"/>
      <c r="I108" s="31"/>
    </row>
    <row r="109" spans="1:12" ht="12.75">
      <c r="A109" s="35" t="s">
        <v>45</v>
      </c>
      <c r="B109" s="46">
        <v>36.39</v>
      </c>
      <c r="C109" s="20">
        <v>2.8</v>
      </c>
      <c r="D109" s="20">
        <v>3.3</v>
      </c>
      <c r="E109" s="20">
        <v>4.3</v>
      </c>
      <c r="F109" s="20">
        <v>5</v>
      </c>
      <c r="G109" s="20">
        <v>5.7</v>
      </c>
      <c r="H109" s="20">
        <v>6.4</v>
      </c>
      <c r="I109" s="31">
        <v>7</v>
      </c>
      <c r="K109">
        <f>SUM(C109:I109)</f>
        <v>34.5</v>
      </c>
      <c r="L109" s="4">
        <v>0</v>
      </c>
    </row>
    <row r="110" spans="1:12" ht="12.75">
      <c r="A110" s="35" t="s">
        <v>50</v>
      </c>
      <c r="B110" s="46">
        <v>35.858</v>
      </c>
      <c r="C110" s="20">
        <v>2.8</v>
      </c>
      <c r="D110" s="20">
        <v>3.4</v>
      </c>
      <c r="E110" s="20">
        <v>4.4</v>
      </c>
      <c r="F110" s="20">
        <v>5.1</v>
      </c>
      <c r="G110" s="20">
        <v>5.9</v>
      </c>
      <c r="H110" s="20">
        <v>6.6</v>
      </c>
      <c r="I110" s="31">
        <v>7.3</v>
      </c>
      <c r="K110">
        <f aca="true" t="shared" si="1" ref="K110:K173">SUM(C110:I110)</f>
        <v>35.5</v>
      </c>
      <c r="L110" s="4">
        <v>0</v>
      </c>
    </row>
    <row r="111" spans="1:12" ht="12.75">
      <c r="A111" s="35" t="s">
        <v>35</v>
      </c>
      <c r="B111" s="46">
        <v>33.31</v>
      </c>
      <c r="C111" s="20">
        <v>2.8</v>
      </c>
      <c r="D111" s="20">
        <v>3.3</v>
      </c>
      <c r="E111" s="20">
        <v>4.2</v>
      </c>
      <c r="F111" s="20">
        <v>5</v>
      </c>
      <c r="G111" s="20">
        <v>5.7</v>
      </c>
      <c r="H111" s="20">
        <v>6.4</v>
      </c>
      <c r="I111" s="31">
        <v>7.1</v>
      </c>
      <c r="K111">
        <f t="shared" si="1"/>
        <v>34.5</v>
      </c>
      <c r="L111" s="4">
        <v>0</v>
      </c>
    </row>
    <row r="112" spans="1:12" ht="12.75">
      <c r="A112" s="35" t="s">
        <v>144</v>
      </c>
      <c r="B112" s="46">
        <v>39.705</v>
      </c>
      <c r="C112" s="20">
        <v>2.9</v>
      </c>
      <c r="D112" s="20">
        <v>3.4</v>
      </c>
      <c r="E112" s="20">
        <v>4.4</v>
      </c>
      <c r="F112" s="20">
        <v>5.1</v>
      </c>
      <c r="G112" s="20">
        <v>5.8</v>
      </c>
      <c r="H112" s="20">
        <v>6.5</v>
      </c>
      <c r="I112" s="31">
        <v>7.1</v>
      </c>
      <c r="K112">
        <f t="shared" si="1"/>
        <v>35.199999999999996</v>
      </c>
      <c r="L112" s="4">
        <v>0</v>
      </c>
    </row>
    <row r="113" spans="1:12" ht="12.75">
      <c r="A113" s="35" t="s">
        <v>135</v>
      </c>
      <c r="B113" s="46">
        <v>44.26</v>
      </c>
      <c r="C113" s="20">
        <v>3.3</v>
      </c>
      <c r="D113" s="20">
        <v>4</v>
      </c>
      <c r="E113" s="20">
        <v>5.1</v>
      </c>
      <c r="F113" s="20">
        <v>5.9</v>
      </c>
      <c r="G113" s="20">
        <v>6.9</v>
      </c>
      <c r="H113" s="20">
        <v>7.7</v>
      </c>
      <c r="I113" s="31">
        <v>8.5</v>
      </c>
      <c r="K113">
        <f t="shared" si="1"/>
        <v>41.4</v>
      </c>
      <c r="L113" s="4">
        <v>1</v>
      </c>
    </row>
    <row r="114" spans="1:12" ht="12.75">
      <c r="A114" s="35" t="s">
        <v>112</v>
      </c>
      <c r="B114" s="46">
        <v>44.95</v>
      </c>
      <c r="C114" s="20">
        <v>3.2</v>
      </c>
      <c r="D114" s="20">
        <v>3.9</v>
      </c>
      <c r="E114" s="20">
        <v>5</v>
      </c>
      <c r="F114" s="20">
        <v>5.7</v>
      </c>
      <c r="G114" s="20">
        <v>6.7</v>
      </c>
      <c r="H114" s="20">
        <v>7.5</v>
      </c>
      <c r="I114" s="31">
        <v>8.3</v>
      </c>
      <c r="K114">
        <f t="shared" si="1"/>
        <v>40.3</v>
      </c>
      <c r="L114" s="4">
        <v>0</v>
      </c>
    </row>
    <row r="115" spans="1:12" ht="12.75">
      <c r="A115" s="35" t="s">
        <v>91</v>
      </c>
      <c r="B115" s="46">
        <v>41.85</v>
      </c>
      <c r="C115" s="20">
        <v>3.1</v>
      </c>
      <c r="D115" s="20">
        <v>3.6</v>
      </c>
      <c r="E115" s="20">
        <v>4.8</v>
      </c>
      <c r="F115" s="20">
        <v>5.5</v>
      </c>
      <c r="G115" s="20">
        <v>6.5</v>
      </c>
      <c r="H115" s="20">
        <v>7.2</v>
      </c>
      <c r="I115" s="31">
        <v>8</v>
      </c>
      <c r="K115">
        <f t="shared" si="1"/>
        <v>38.7</v>
      </c>
      <c r="L115" s="4">
        <v>0</v>
      </c>
    </row>
    <row r="116" spans="1:12" ht="12.75">
      <c r="A116" s="35" t="s">
        <v>89</v>
      </c>
      <c r="B116" s="46">
        <v>42.22</v>
      </c>
      <c r="C116" s="20">
        <v>3.1</v>
      </c>
      <c r="D116" s="20">
        <v>3.6</v>
      </c>
      <c r="E116" s="20">
        <v>4.7</v>
      </c>
      <c r="F116" s="20">
        <v>5.4</v>
      </c>
      <c r="G116" s="20">
        <v>6.3</v>
      </c>
      <c r="H116" s="20">
        <v>7</v>
      </c>
      <c r="I116" s="31">
        <v>7.7</v>
      </c>
      <c r="K116">
        <f t="shared" si="1"/>
        <v>37.800000000000004</v>
      </c>
      <c r="L116" s="4">
        <v>1</v>
      </c>
    </row>
    <row r="117" spans="1:12" ht="12.75">
      <c r="A117" s="35" t="s">
        <v>114</v>
      </c>
      <c r="B117" s="46">
        <v>46.715</v>
      </c>
      <c r="C117" s="20">
        <v>3.1</v>
      </c>
      <c r="D117" s="20">
        <v>3.7</v>
      </c>
      <c r="E117" s="20">
        <v>4.5</v>
      </c>
      <c r="F117" s="20">
        <v>5.2</v>
      </c>
      <c r="G117" s="20">
        <v>5.9</v>
      </c>
      <c r="H117" s="20">
        <v>6.6</v>
      </c>
      <c r="I117" s="31">
        <v>7.2</v>
      </c>
      <c r="K117">
        <f t="shared" si="1"/>
        <v>36.2</v>
      </c>
      <c r="L117" s="4">
        <v>1</v>
      </c>
    </row>
    <row r="118" spans="1:12" ht="12.75">
      <c r="A118" s="35" t="s">
        <v>145</v>
      </c>
      <c r="B118" s="46">
        <v>38.14</v>
      </c>
      <c r="C118" s="20">
        <v>3</v>
      </c>
      <c r="D118" s="20">
        <v>3.5</v>
      </c>
      <c r="E118" s="20">
        <v>4.5</v>
      </c>
      <c r="F118" s="20">
        <v>5.2</v>
      </c>
      <c r="G118" s="20">
        <v>5.9</v>
      </c>
      <c r="H118" s="20">
        <v>6.6</v>
      </c>
      <c r="I118" s="31">
        <v>7.3</v>
      </c>
      <c r="K118">
        <f t="shared" si="1"/>
        <v>36</v>
      </c>
      <c r="L118" s="4">
        <v>0</v>
      </c>
    </row>
    <row r="119" spans="1:12" ht="12.75">
      <c r="A119" s="35" t="s">
        <v>58</v>
      </c>
      <c r="B119" s="46">
        <v>35.69</v>
      </c>
      <c r="C119" s="20">
        <v>2.9</v>
      </c>
      <c r="D119" s="20">
        <v>3.4</v>
      </c>
      <c r="E119" s="20">
        <v>4.4</v>
      </c>
      <c r="F119" s="20">
        <v>5.2</v>
      </c>
      <c r="G119" s="20">
        <v>6</v>
      </c>
      <c r="H119" s="20">
        <v>6.7</v>
      </c>
      <c r="I119" s="31">
        <v>7.5</v>
      </c>
      <c r="K119">
        <f t="shared" si="1"/>
        <v>36.099999999999994</v>
      </c>
      <c r="L119" s="4">
        <v>0</v>
      </c>
    </row>
    <row r="120" spans="1:12" ht="12.75">
      <c r="A120" s="35" t="s">
        <v>134</v>
      </c>
      <c r="B120" s="46">
        <v>46.43</v>
      </c>
      <c r="C120" s="20">
        <v>3.2</v>
      </c>
      <c r="D120" s="20">
        <v>3.8</v>
      </c>
      <c r="E120" s="20">
        <v>4.7</v>
      </c>
      <c r="F120" s="20">
        <v>5.4</v>
      </c>
      <c r="G120" s="20">
        <v>6.1</v>
      </c>
      <c r="H120" s="20">
        <v>6.7</v>
      </c>
      <c r="I120" s="31">
        <v>7.4</v>
      </c>
      <c r="K120">
        <f t="shared" si="1"/>
        <v>37.300000000000004</v>
      </c>
      <c r="L120" s="4">
        <v>0</v>
      </c>
    </row>
    <row r="121" spans="1:12" ht="12.75">
      <c r="A121" s="35" t="s">
        <v>59</v>
      </c>
      <c r="B121" s="46">
        <v>37.105</v>
      </c>
      <c r="C121" s="20">
        <v>2.9</v>
      </c>
      <c r="D121" s="20">
        <v>3.4</v>
      </c>
      <c r="E121" s="20">
        <v>4.5</v>
      </c>
      <c r="F121" s="20">
        <v>5.1</v>
      </c>
      <c r="G121" s="20">
        <v>6</v>
      </c>
      <c r="H121" s="20">
        <v>6.7</v>
      </c>
      <c r="I121" s="31">
        <v>7.4</v>
      </c>
      <c r="K121">
        <f t="shared" si="1"/>
        <v>36</v>
      </c>
      <c r="L121" s="4">
        <v>0</v>
      </c>
    </row>
    <row r="122" spans="1:12" ht="12.75">
      <c r="A122" s="35" t="s">
        <v>146</v>
      </c>
      <c r="B122" s="46">
        <v>38.63</v>
      </c>
      <c r="C122" s="20">
        <v>3</v>
      </c>
      <c r="D122" s="20">
        <v>3.5</v>
      </c>
      <c r="E122" s="20">
        <v>4.5</v>
      </c>
      <c r="F122" s="20">
        <v>5.1</v>
      </c>
      <c r="G122" s="20">
        <v>5.9</v>
      </c>
      <c r="H122" s="20">
        <v>6.6</v>
      </c>
      <c r="I122" s="31">
        <v>7.2</v>
      </c>
      <c r="K122">
        <f t="shared" si="1"/>
        <v>35.800000000000004</v>
      </c>
      <c r="L122" s="4">
        <v>0</v>
      </c>
    </row>
    <row r="123" spans="1:12" ht="12.75">
      <c r="A123" s="35" t="s">
        <v>94</v>
      </c>
      <c r="B123" s="46">
        <v>43.53</v>
      </c>
      <c r="C123" s="20">
        <v>3.1</v>
      </c>
      <c r="D123" s="20">
        <v>3.6</v>
      </c>
      <c r="E123" s="20">
        <v>4.7</v>
      </c>
      <c r="F123" s="20">
        <v>5.4</v>
      </c>
      <c r="G123" s="20">
        <v>6.3</v>
      </c>
      <c r="H123" s="20">
        <v>7</v>
      </c>
      <c r="I123" s="31">
        <v>7.7</v>
      </c>
      <c r="K123">
        <f t="shared" si="1"/>
        <v>37.800000000000004</v>
      </c>
      <c r="L123" s="4">
        <v>1</v>
      </c>
    </row>
    <row r="124" spans="1:12" ht="12.75">
      <c r="A124" s="35" t="s">
        <v>113</v>
      </c>
      <c r="B124" s="46">
        <v>46.855</v>
      </c>
      <c r="C124" s="20">
        <v>3.1</v>
      </c>
      <c r="D124" s="20">
        <v>3.7</v>
      </c>
      <c r="E124" s="20">
        <v>4.5</v>
      </c>
      <c r="F124" s="20">
        <v>5.1</v>
      </c>
      <c r="G124" s="20">
        <v>5.8</v>
      </c>
      <c r="H124" s="20">
        <v>6.5</v>
      </c>
      <c r="I124" s="31">
        <v>7.1</v>
      </c>
      <c r="K124">
        <f t="shared" si="1"/>
        <v>35.8</v>
      </c>
      <c r="L124" s="4">
        <v>0</v>
      </c>
    </row>
    <row r="125" spans="1:12" ht="12.75">
      <c r="A125" s="35" t="s">
        <v>64</v>
      </c>
      <c r="B125" s="46">
        <v>39.06</v>
      </c>
      <c r="C125" s="20">
        <v>2.9</v>
      </c>
      <c r="D125" s="20">
        <v>3.4</v>
      </c>
      <c r="E125" s="20">
        <v>4.5</v>
      </c>
      <c r="F125" s="20">
        <v>5.2</v>
      </c>
      <c r="G125" s="20">
        <v>6</v>
      </c>
      <c r="H125" s="20">
        <v>6.7</v>
      </c>
      <c r="I125" s="31">
        <v>7.4</v>
      </c>
      <c r="K125">
        <f t="shared" si="1"/>
        <v>36.1</v>
      </c>
      <c r="L125" s="4">
        <v>0</v>
      </c>
    </row>
    <row r="126" spans="1:12" ht="12.75">
      <c r="A126" s="35" t="s">
        <v>128</v>
      </c>
      <c r="B126" s="46">
        <v>46.75</v>
      </c>
      <c r="C126" s="20">
        <v>3.2</v>
      </c>
      <c r="D126" s="20">
        <v>3.7</v>
      </c>
      <c r="E126" s="20">
        <v>4.7</v>
      </c>
      <c r="F126" s="20">
        <v>5.4</v>
      </c>
      <c r="G126" s="20">
        <v>6.2</v>
      </c>
      <c r="H126" s="20">
        <v>6.8</v>
      </c>
      <c r="I126" s="31">
        <v>7.5</v>
      </c>
      <c r="K126">
        <f t="shared" si="1"/>
        <v>37.5</v>
      </c>
      <c r="L126" s="4">
        <v>1</v>
      </c>
    </row>
    <row r="127" spans="1:12" ht="12.75">
      <c r="A127" s="35" t="s">
        <v>83</v>
      </c>
      <c r="B127" s="46">
        <v>39.07</v>
      </c>
      <c r="C127" s="20">
        <v>3</v>
      </c>
      <c r="D127" s="20">
        <v>3.6</v>
      </c>
      <c r="E127" s="20">
        <v>4.7</v>
      </c>
      <c r="F127" s="20">
        <v>5.4</v>
      </c>
      <c r="G127" s="20">
        <v>6.3</v>
      </c>
      <c r="H127" s="20">
        <v>7</v>
      </c>
      <c r="I127" s="31">
        <v>7.8</v>
      </c>
      <c r="K127">
        <f t="shared" si="1"/>
        <v>37.800000000000004</v>
      </c>
      <c r="L127" s="4">
        <v>0</v>
      </c>
    </row>
    <row r="128" spans="1:12" ht="12.75">
      <c r="A128" s="35" t="s">
        <v>105</v>
      </c>
      <c r="B128" s="46">
        <v>42.1</v>
      </c>
      <c r="C128" s="20">
        <v>3.1</v>
      </c>
      <c r="D128" s="20">
        <v>3.8</v>
      </c>
      <c r="E128" s="20">
        <v>4.9</v>
      </c>
      <c r="F128" s="20">
        <v>5.6</v>
      </c>
      <c r="G128" s="20">
        <v>6.6</v>
      </c>
      <c r="H128" s="20">
        <v>7.3</v>
      </c>
      <c r="I128" s="31">
        <v>8</v>
      </c>
      <c r="K128">
        <f t="shared" si="1"/>
        <v>39.3</v>
      </c>
      <c r="L128" s="4">
        <v>1</v>
      </c>
    </row>
    <row r="129" spans="1:12" ht="12.75">
      <c r="A129" s="35" t="s">
        <v>61</v>
      </c>
      <c r="B129" s="46">
        <v>39.39666666666667</v>
      </c>
      <c r="C129" s="20">
        <v>2.9</v>
      </c>
      <c r="D129" s="20">
        <v>3.4</v>
      </c>
      <c r="E129" s="20">
        <v>4.5</v>
      </c>
      <c r="F129" s="20">
        <v>5.1</v>
      </c>
      <c r="G129" s="20">
        <v>5.9</v>
      </c>
      <c r="H129" s="20">
        <v>6.6</v>
      </c>
      <c r="I129" s="31">
        <v>7.3</v>
      </c>
      <c r="K129">
        <f t="shared" si="1"/>
        <v>35.699999999999996</v>
      </c>
      <c r="L129" s="4">
        <v>0</v>
      </c>
    </row>
    <row r="130" spans="1:12" ht="12.75">
      <c r="A130" s="35" t="s">
        <v>129</v>
      </c>
      <c r="B130" s="46">
        <v>43.79</v>
      </c>
      <c r="C130" s="20">
        <v>3.2</v>
      </c>
      <c r="D130" s="20">
        <v>3.9</v>
      </c>
      <c r="E130" s="20">
        <v>5</v>
      </c>
      <c r="F130" s="20">
        <v>5.7</v>
      </c>
      <c r="G130" s="20">
        <v>6.7</v>
      </c>
      <c r="H130" s="20">
        <v>7.4</v>
      </c>
      <c r="I130" s="31">
        <v>8.1</v>
      </c>
      <c r="K130">
        <f t="shared" si="1"/>
        <v>40</v>
      </c>
      <c r="L130" s="4">
        <v>1</v>
      </c>
    </row>
    <row r="131" spans="1:28" ht="12.75">
      <c r="A131" s="35" t="s">
        <v>34</v>
      </c>
      <c r="B131" s="46">
        <v>42.845</v>
      </c>
      <c r="C131" s="20">
        <v>2.8</v>
      </c>
      <c r="D131" s="20">
        <v>3.3</v>
      </c>
      <c r="E131" s="20">
        <v>4.2</v>
      </c>
      <c r="F131" s="20">
        <v>4.9</v>
      </c>
      <c r="G131" s="20">
        <v>5.6</v>
      </c>
      <c r="H131" s="20">
        <v>6.2</v>
      </c>
      <c r="I131" s="31">
        <v>6.8</v>
      </c>
      <c r="K131">
        <f t="shared" si="1"/>
        <v>33.8</v>
      </c>
      <c r="L131" s="4">
        <v>0</v>
      </c>
      <c r="U131" t="s">
        <v>162</v>
      </c>
      <c r="AB131" t="s">
        <v>163</v>
      </c>
    </row>
    <row r="132" spans="1:23" ht="12.75">
      <c r="A132" s="35" t="s">
        <v>69</v>
      </c>
      <c r="B132" s="46">
        <v>38.67</v>
      </c>
      <c r="C132" s="20">
        <v>2.9</v>
      </c>
      <c r="D132" s="20">
        <v>3.5</v>
      </c>
      <c r="E132" s="20">
        <v>4.5</v>
      </c>
      <c r="F132" s="20">
        <v>5.2</v>
      </c>
      <c r="G132" s="20">
        <v>6.1</v>
      </c>
      <c r="H132" s="20">
        <v>6.8</v>
      </c>
      <c r="I132" s="31">
        <v>7.6</v>
      </c>
      <c r="K132">
        <f t="shared" si="1"/>
        <v>36.6</v>
      </c>
      <c r="L132" s="4">
        <v>0</v>
      </c>
      <c r="W132" t="s">
        <v>149</v>
      </c>
    </row>
    <row r="133" spans="1:24" ht="12.75">
      <c r="A133" s="35" t="s">
        <v>60</v>
      </c>
      <c r="B133" s="46">
        <v>37.70666666666667</v>
      </c>
      <c r="C133" s="20">
        <v>2.9</v>
      </c>
      <c r="D133" s="20">
        <v>3.4</v>
      </c>
      <c r="E133" s="20">
        <v>4.5</v>
      </c>
      <c r="F133" s="20">
        <v>5.2</v>
      </c>
      <c r="G133" s="20">
        <v>6</v>
      </c>
      <c r="H133" s="20">
        <v>6.7</v>
      </c>
      <c r="I133" s="31">
        <v>7.5</v>
      </c>
      <c r="K133">
        <f t="shared" si="1"/>
        <v>36.2</v>
      </c>
      <c r="L133" s="4">
        <v>0</v>
      </c>
      <c r="X133" t="s">
        <v>159</v>
      </c>
    </row>
    <row r="134" spans="1:28" ht="12.75">
      <c r="A134" s="35" t="s">
        <v>147</v>
      </c>
      <c r="B134" s="46">
        <v>39.20333333333334</v>
      </c>
      <c r="C134" s="20">
        <v>3</v>
      </c>
      <c r="D134" s="20">
        <v>3.5</v>
      </c>
      <c r="E134" s="20">
        <v>4.5</v>
      </c>
      <c r="F134" s="20">
        <v>5.3</v>
      </c>
      <c r="G134" s="20">
        <v>6</v>
      </c>
      <c r="H134" s="20">
        <v>6.8</v>
      </c>
      <c r="I134" s="31">
        <v>7.4</v>
      </c>
      <c r="K134">
        <f t="shared" si="1"/>
        <v>36.5</v>
      </c>
      <c r="L134" s="4">
        <v>1</v>
      </c>
      <c r="V134">
        <v>0.2</v>
      </c>
      <c r="W134" s="3">
        <f aca="true" t="shared" si="2" ref="W134:W139">2.5/V134</f>
        <v>12.5</v>
      </c>
      <c r="X134" s="3">
        <f aca="true" t="shared" si="3" ref="X134:X139">W134/2</f>
        <v>6.25</v>
      </c>
      <c r="AB134">
        <v>0.007</v>
      </c>
    </row>
    <row r="135" spans="1:28" ht="12.75">
      <c r="A135" s="35" t="s">
        <v>76</v>
      </c>
      <c r="B135" s="46">
        <v>40.995</v>
      </c>
      <c r="C135" s="20">
        <v>3</v>
      </c>
      <c r="D135" s="20">
        <v>3.5</v>
      </c>
      <c r="E135" s="20">
        <v>4.6</v>
      </c>
      <c r="F135" s="20">
        <v>5.3</v>
      </c>
      <c r="G135" s="20">
        <v>6</v>
      </c>
      <c r="H135" s="20">
        <v>6.8</v>
      </c>
      <c r="I135" s="31">
        <v>7.5</v>
      </c>
      <c r="K135">
        <f t="shared" si="1"/>
        <v>36.7</v>
      </c>
      <c r="L135" s="4">
        <v>1</v>
      </c>
      <c r="U135" s="4">
        <f>2.47/2.205</f>
        <v>1.1201814058956916</v>
      </c>
      <c r="V135">
        <v>0.3</v>
      </c>
      <c r="W135" s="3">
        <f t="shared" si="2"/>
        <v>8.333333333333334</v>
      </c>
      <c r="X135" s="3">
        <f t="shared" si="3"/>
        <v>4.166666666666667</v>
      </c>
      <c r="AB135">
        <v>0.0022</v>
      </c>
    </row>
    <row r="136" spans="1:28" ht="12.75">
      <c r="A136" s="35" t="s">
        <v>96</v>
      </c>
      <c r="B136" s="46">
        <v>40.92666666666667</v>
      </c>
      <c r="C136" s="20">
        <v>3.1</v>
      </c>
      <c r="D136" s="20">
        <v>3.6</v>
      </c>
      <c r="E136" s="20">
        <v>4.6</v>
      </c>
      <c r="F136" s="20">
        <v>5.3</v>
      </c>
      <c r="G136" s="20">
        <v>5.9</v>
      </c>
      <c r="H136" s="20">
        <v>6.6</v>
      </c>
      <c r="I136" s="31">
        <v>7.3</v>
      </c>
      <c r="K136">
        <f t="shared" si="1"/>
        <v>36.4</v>
      </c>
      <c r="L136" s="4">
        <v>1</v>
      </c>
      <c r="U136" s="4">
        <f>U135/0.44</f>
        <v>2.545866831581117</v>
      </c>
      <c r="V136">
        <v>0.4</v>
      </c>
      <c r="W136" s="3">
        <f t="shared" si="2"/>
        <v>6.25</v>
      </c>
      <c r="X136" s="3">
        <f t="shared" si="3"/>
        <v>3.125</v>
      </c>
      <c r="AB136">
        <v>0.0043</v>
      </c>
    </row>
    <row r="137" spans="1:28" ht="12.75">
      <c r="A137" s="35" t="s">
        <v>117</v>
      </c>
      <c r="B137" s="46">
        <v>44.27</v>
      </c>
      <c r="C137" s="20">
        <v>3.2</v>
      </c>
      <c r="D137" s="20">
        <v>3.8</v>
      </c>
      <c r="E137" s="20">
        <v>5</v>
      </c>
      <c r="F137" s="20">
        <v>5.7</v>
      </c>
      <c r="G137" s="20">
        <v>6.7</v>
      </c>
      <c r="H137" s="20">
        <v>7.4</v>
      </c>
      <c r="I137" s="31">
        <v>8.1</v>
      </c>
      <c r="K137">
        <f t="shared" si="1"/>
        <v>39.9</v>
      </c>
      <c r="L137" s="4">
        <v>0</v>
      </c>
      <c r="V137">
        <v>0.5</v>
      </c>
      <c r="W137" s="3">
        <f t="shared" si="2"/>
        <v>5</v>
      </c>
      <c r="X137" s="3">
        <f t="shared" si="3"/>
        <v>2.5</v>
      </c>
      <c r="AB137">
        <v>0.0042</v>
      </c>
    </row>
    <row r="138" spans="1:28" ht="12.75">
      <c r="A138" s="35" t="s">
        <v>106</v>
      </c>
      <c r="B138" s="46">
        <v>42.95</v>
      </c>
      <c r="C138" s="20">
        <v>3.1</v>
      </c>
      <c r="D138" s="20">
        <v>3.7</v>
      </c>
      <c r="E138" s="20">
        <v>4.8</v>
      </c>
      <c r="F138" s="20">
        <v>5.6</v>
      </c>
      <c r="G138" s="20">
        <v>6.5</v>
      </c>
      <c r="H138" s="20">
        <v>7.2</v>
      </c>
      <c r="I138" s="31">
        <v>7.9</v>
      </c>
      <c r="K138">
        <f t="shared" si="1"/>
        <v>38.800000000000004</v>
      </c>
      <c r="L138" s="4">
        <v>1</v>
      </c>
      <c r="V138">
        <v>0.6</v>
      </c>
      <c r="W138" s="3">
        <f t="shared" si="2"/>
        <v>4.166666666666667</v>
      </c>
      <c r="X138" s="3">
        <f t="shared" si="3"/>
        <v>2.0833333333333335</v>
      </c>
      <c r="AB138">
        <v>0.0027</v>
      </c>
    </row>
    <row r="139" spans="1:29" ht="12.75">
      <c r="A139" s="35" t="s">
        <v>51</v>
      </c>
      <c r="B139" s="46">
        <v>35.74</v>
      </c>
      <c r="C139" s="20">
        <v>2.9</v>
      </c>
      <c r="D139" s="20">
        <v>3.4</v>
      </c>
      <c r="E139" s="20">
        <v>4.4</v>
      </c>
      <c r="F139" s="20">
        <v>5.1</v>
      </c>
      <c r="G139" s="20">
        <v>5.9</v>
      </c>
      <c r="H139" s="20">
        <v>6.6</v>
      </c>
      <c r="I139" s="31">
        <v>7.3</v>
      </c>
      <c r="K139">
        <f t="shared" si="1"/>
        <v>35.599999999999994</v>
      </c>
      <c r="L139" s="4">
        <v>0</v>
      </c>
      <c r="V139">
        <v>0.7</v>
      </c>
      <c r="W139" s="3">
        <f t="shared" si="2"/>
        <v>3.5714285714285716</v>
      </c>
      <c r="X139" s="3">
        <f t="shared" si="3"/>
        <v>1.7857142857142858</v>
      </c>
      <c r="AC139">
        <v>0.0083</v>
      </c>
    </row>
    <row r="140" spans="1:29" ht="12.75">
      <c r="A140" s="35" t="s">
        <v>52</v>
      </c>
      <c r="B140" s="46">
        <v>35.9</v>
      </c>
      <c r="C140" s="20">
        <v>2.9</v>
      </c>
      <c r="D140" s="20">
        <v>3.4</v>
      </c>
      <c r="E140" s="20" t="s">
        <v>188</v>
      </c>
      <c r="F140" s="20">
        <v>5.1</v>
      </c>
      <c r="G140" s="20">
        <v>5.9</v>
      </c>
      <c r="H140" s="20">
        <v>6.6</v>
      </c>
      <c r="I140" s="31">
        <v>7.3</v>
      </c>
      <c r="K140">
        <f t="shared" si="1"/>
        <v>31.2</v>
      </c>
      <c r="L140" s="4">
        <v>0</v>
      </c>
      <c r="AC140">
        <v>0.0041</v>
      </c>
    </row>
    <row r="141" spans="1:29" ht="12.75">
      <c r="A141" s="35" t="s">
        <v>109</v>
      </c>
      <c r="B141" s="46">
        <v>42.1</v>
      </c>
      <c r="C141" s="20">
        <v>3.1</v>
      </c>
      <c r="D141" s="20">
        <v>3.7</v>
      </c>
      <c r="E141" s="20">
        <v>4.6</v>
      </c>
      <c r="F141" s="20">
        <v>5.4</v>
      </c>
      <c r="G141" s="20">
        <v>6.1</v>
      </c>
      <c r="H141" s="20">
        <v>6.8</v>
      </c>
      <c r="I141" s="31">
        <v>7.5</v>
      </c>
      <c r="K141">
        <f t="shared" si="1"/>
        <v>37.2</v>
      </c>
      <c r="L141" s="4">
        <v>1</v>
      </c>
      <c r="V141" t="s">
        <v>160</v>
      </c>
      <c r="AC141">
        <v>0.0125</v>
      </c>
    </row>
    <row r="142" spans="1:24" ht="12.75">
      <c r="A142" s="35" t="s">
        <v>130</v>
      </c>
      <c r="B142" s="46">
        <v>40.97</v>
      </c>
      <c r="C142" s="20">
        <v>3.2</v>
      </c>
      <c r="D142" s="20">
        <v>3.8</v>
      </c>
      <c r="E142" s="20">
        <v>4.9</v>
      </c>
      <c r="F142" s="20">
        <v>5.6</v>
      </c>
      <c r="G142" s="20">
        <v>6.5</v>
      </c>
      <c r="H142" s="20">
        <v>7.2</v>
      </c>
      <c r="I142" s="31">
        <v>7.9</v>
      </c>
      <c r="K142">
        <f t="shared" si="1"/>
        <v>39.1</v>
      </c>
      <c r="L142" s="4">
        <v>1</v>
      </c>
      <c r="V142">
        <v>0.06</v>
      </c>
      <c r="W142" s="3">
        <f aca="true" t="shared" si="4" ref="W142:W152">2.5/V142</f>
        <v>41.66666666666667</v>
      </c>
      <c r="X142" s="3">
        <f aca="true" t="shared" si="5" ref="X142:X152">W142/2</f>
        <v>20.833333333333336</v>
      </c>
    </row>
    <row r="143" spans="1:28" ht="12.75">
      <c r="A143" s="35" t="s">
        <v>142</v>
      </c>
      <c r="B143" s="46">
        <v>48.505</v>
      </c>
      <c r="C143" s="20">
        <v>3.2</v>
      </c>
      <c r="D143" s="20">
        <v>3.8</v>
      </c>
      <c r="E143" s="20">
        <v>4.7</v>
      </c>
      <c r="F143" s="20">
        <v>5.4</v>
      </c>
      <c r="G143" s="20">
        <v>6.1</v>
      </c>
      <c r="H143" s="20">
        <v>6.8</v>
      </c>
      <c r="I143" s="31">
        <v>7.4</v>
      </c>
      <c r="K143">
        <f t="shared" si="1"/>
        <v>37.400000000000006</v>
      </c>
      <c r="L143" s="4">
        <v>0</v>
      </c>
      <c r="V143">
        <v>0.08</v>
      </c>
      <c r="W143" s="3">
        <f t="shared" si="4"/>
        <v>31.25</v>
      </c>
      <c r="X143" s="3">
        <f t="shared" si="5"/>
        <v>15.625</v>
      </c>
      <c r="AB143">
        <f>AVERAGE(AB134:AB141)</f>
        <v>0.00408</v>
      </c>
    </row>
    <row r="144" spans="1:24" ht="12.75">
      <c r="A144" s="35" t="s">
        <v>85</v>
      </c>
      <c r="B144" s="46">
        <v>39.63</v>
      </c>
      <c r="C144" s="20">
        <v>3</v>
      </c>
      <c r="D144" s="20">
        <v>3.5</v>
      </c>
      <c r="E144" s="20">
        <v>4.5</v>
      </c>
      <c r="F144" s="20">
        <v>5.1</v>
      </c>
      <c r="G144" s="20">
        <v>5.8</v>
      </c>
      <c r="H144" s="20">
        <v>6.5</v>
      </c>
      <c r="I144" s="31">
        <v>7.2</v>
      </c>
      <c r="K144">
        <f t="shared" si="1"/>
        <v>35.6</v>
      </c>
      <c r="L144" s="4">
        <v>1</v>
      </c>
      <c r="V144">
        <v>0.07</v>
      </c>
      <c r="W144" s="3">
        <f t="shared" si="4"/>
        <v>35.71428571428571</v>
      </c>
      <c r="X144" s="3">
        <f t="shared" si="5"/>
        <v>17.857142857142854</v>
      </c>
    </row>
    <row r="145" spans="1:28" ht="12.75">
      <c r="A145" s="35" t="s">
        <v>86</v>
      </c>
      <c r="B145" s="46">
        <v>39.685</v>
      </c>
      <c r="C145" s="20">
        <v>3</v>
      </c>
      <c r="D145" s="20">
        <v>3.5</v>
      </c>
      <c r="E145" s="20">
        <v>4.5</v>
      </c>
      <c r="F145" s="20">
        <v>5.2</v>
      </c>
      <c r="G145" s="20">
        <v>5.9</v>
      </c>
      <c r="H145" s="20">
        <v>6.6</v>
      </c>
      <c r="I145" s="31">
        <v>7.3</v>
      </c>
      <c r="K145">
        <f t="shared" si="1"/>
        <v>36</v>
      </c>
      <c r="L145" s="4">
        <v>1</v>
      </c>
      <c r="V145">
        <v>0.85</v>
      </c>
      <c r="W145" s="3">
        <f t="shared" si="4"/>
        <v>2.9411764705882355</v>
      </c>
      <c r="X145" s="3">
        <f t="shared" si="5"/>
        <v>1.4705882352941178</v>
      </c>
      <c r="AB145">
        <f>1/AB143</f>
        <v>245.09803921568627</v>
      </c>
    </row>
    <row r="146" spans="1:24" ht="12.75">
      <c r="A146" s="35" t="s">
        <v>43</v>
      </c>
      <c r="B146" s="46">
        <v>35.75</v>
      </c>
      <c r="C146" s="20">
        <v>2.8</v>
      </c>
      <c r="D146" s="20">
        <v>3.4</v>
      </c>
      <c r="E146" s="20">
        <v>4.4</v>
      </c>
      <c r="F146" s="20">
        <v>5</v>
      </c>
      <c r="G146" s="20">
        <v>5.8</v>
      </c>
      <c r="H146" s="20">
        <v>6.5</v>
      </c>
      <c r="I146" s="31">
        <v>7.2</v>
      </c>
      <c r="K146">
        <f t="shared" si="1"/>
        <v>35.1</v>
      </c>
      <c r="L146" s="4">
        <v>0</v>
      </c>
      <c r="V146">
        <v>0.155</v>
      </c>
      <c r="W146" s="3">
        <f t="shared" si="4"/>
        <v>16.129032258064516</v>
      </c>
      <c r="X146" s="3">
        <f t="shared" si="5"/>
        <v>8.064516129032258</v>
      </c>
    </row>
    <row r="147" spans="1:24" ht="12.75">
      <c r="A147" s="35" t="s">
        <v>121</v>
      </c>
      <c r="B147" s="46">
        <v>43.04</v>
      </c>
      <c r="C147" s="20">
        <v>3.2</v>
      </c>
      <c r="D147" s="20">
        <v>3.8</v>
      </c>
      <c r="E147" s="20">
        <v>4.9</v>
      </c>
      <c r="F147" s="20">
        <v>5.7</v>
      </c>
      <c r="G147" s="20">
        <v>6.7</v>
      </c>
      <c r="H147" s="20">
        <v>7.4</v>
      </c>
      <c r="I147" s="31">
        <v>8.1</v>
      </c>
      <c r="K147">
        <f t="shared" si="1"/>
        <v>39.800000000000004</v>
      </c>
      <c r="L147" s="4">
        <v>1</v>
      </c>
      <c r="V147" s="6">
        <v>0.1</v>
      </c>
      <c r="W147" s="3">
        <f t="shared" si="4"/>
        <v>25</v>
      </c>
      <c r="X147" s="3">
        <f t="shared" si="5"/>
        <v>12.5</v>
      </c>
    </row>
    <row r="148" spans="1:24" ht="12.75">
      <c r="A148" s="35" t="s">
        <v>48</v>
      </c>
      <c r="B148" s="46">
        <v>35.875</v>
      </c>
      <c r="C148" s="20">
        <v>2.9</v>
      </c>
      <c r="D148" s="20">
        <v>3.4</v>
      </c>
      <c r="E148" s="20">
        <v>4.4</v>
      </c>
      <c r="F148" s="20">
        <v>5</v>
      </c>
      <c r="G148" s="20">
        <v>5.8</v>
      </c>
      <c r="H148" s="20">
        <v>6.5</v>
      </c>
      <c r="I148" s="31">
        <v>7.2</v>
      </c>
      <c r="K148">
        <f t="shared" si="1"/>
        <v>35.2</v>
      </c>
      <c r="L148" s="4">
        <v>0</v>
      </c>
      <c r="V148">
        <v>0.38</v>
      </c>
      <c r="W148" s="3">
        <f t="shared" si="4"/>
        <v>6.578947368421052</v>
      </c>
      <c r="X148" s="3">
        <f t="shared" si="5"/>
        <v>3.289473684210526</v>
      </c>
    </row>
    <row r="149" spans="1:24" ht="12.75">
      <c r="A149" s="35" t="s">
        <v>42</v>
      </c>
      <c r="B149" s="46">
        <v>36.26</v>
      </c>
      <c r="C149" s="20">
        <v>2.8</v>
      </c>
      <c r="D149" s="20">
        <v>3.3</v>
      </c>
      <c r="E149" s="20">
        <v>4.3</v>
      </c>
      <c r="F149" s="20">
        <v>5</v>
      </c>
      <c r="G149" s="20">
        <v>5.8</v>
      </c>
      <c r="H149" s="20">
        <v>6.5</v>
      </c>
      <c r="I149" s="31">
        <v>7.1</v>
      </c>
      <c r="K149">
        <f t="shared" si="1"/>
        <v>34.8</v>
      </c>
      <c r="L149" s="4">
        <v>0</v>
      </c>
      <c r="V149">
        <v>0.15</v>
      </c>
      <c r="W149" s="3">
        <f t="shared" si="4"/>
        <v>16.666666666666668</v>
      </c>
      <c r="X149" s="3">
        <f t="shared" si="5"/>
        <v>8.333333333333334</v>
      </c>
    </row>
    <row r="150" spans="1:24" ht="12.75">
      <c r="A150" s="35" t="s">
        <v>88</v>
      </c>
      <c r="B150" s="46">
        <v>42.42</v>
      </c>
      <c r="C150" s="20">
        <v>3</v>
      </c>
      <c r="D150" s="20">
        <v>3.6</v>
      </c>
      <c r="E150" s="20">
        <v>4.7</v>
      </c>
      <c r="F150" s="20">
        <v>5.5</v>
      </c>
      <c r="G150" s="20">
        <v>6.4</v>
      </c>
      <c r="H150" s="20">
        <v>7.1</v>
      </c>
      <c r="I150" s="31">
        <v>7.8</v>
      </c>
      <c r="K150">
        <f t="shared" si="1"/>
        <v>38.1</v>
      </c>
      <c r="L150" s="4">
        <v>1</v>
      </c>
      <c r="V150">
        <v>0.9</v>
      </c>
      <c r="W150" s="3">
        <f t="shared" si="4"/>
        <v>2.7777777777777777</v>
      </c>
      <c r="X150" s="3">
        <f t="shared" si="5"/>
        <v>1.3888888888888888</v>
      </c>
    </row>
    <row r="151" spans="1:24" ht="12.75">
      <c r="A151" s="35" t="s">
        <v>101</v>
      </c>
      <c r="B151" s="46">
        <v>40.14</v>
      </c>
      <c r="C151" s="20">
        <v>3.1</v>
      </c>
      <c r="D151" s="20">
        <v>3.7</v>
      </c>
      <c r="E151" s="20">
        <v>4.8</v>
      </c>
      <c r="F151" s="20">
        <v>5.5</v>
      </c>
      <c r="G151" s="20">
        <v>6.4</v>
      </c>
      <c r="H151" s="20">
        <v>7.1</v>
      </c>
      <c r="I151" s="31">
        <v>7.8</v>
      </c>
      <c r="K151">
        <f t="shared" si="1"/>
        <v>38.4</v>
      </c>
      <c r="L151" s="4">
        <v>1</v>
      </c>
      <c r="V151">
        <v>0.28</v>
      </c>
      <c r="W151" s="3">
        <f t="shared" si="4"/>
        <v>8.928571428571427</v>
      </c>
      <c r="X151" s="3">
        <f t="shared" si="5"/>
        <v>4.4642857142857135</v>
      </c>
    </row>
    <row r="152" spans="1:24" ht="12.75">
      <c r="A152" s="35" t="s">
        <v>47</v>
      </c>
      <c r="B152" s="46">
        <v>35.96</v>
      </c>
      <c r="C152" s="20">
        <v>2.8</v>
      </c>
      <c r="D152" s="20">
        <v>3.4</v>
      </c>
      <c r="E152" s="20">
        <v>4.3</v>
      </c>
      <c r="F152" s="20">
        <v>5</v>
      </c>
      <c r="G152" s="20">
        <v>5.8</v>
      </c>
      <c r="H152" s="20">
        <v>6.5</v>
      </c>
      <c r="I152" s="31">
        <v>7.2</v>
      </c>
      <c r="K152">
        <f t="shared" si="1"/>
        <v>35</v>
      </c>
      <c r="L152" s="4">
        <v>0</v>
      </c>
      <c r="V152">
        <v>0.14</v>
      </c>
      <c r="W152" s="3">
        <f t="shared" si="4"/>
        <v>17.857142857142854</v>
      </c>
      <c r="X152" s="3">
        <f t="shared" si="5"/>
        <v>8.928571428571427</v>
      </c>
    </row>
    <row r="153" spans="1:12" ht="12.75">
      <c r="A153" s="35" t="s">
        <v>71</v>
      </c>
      <c r="B153" s="46">
        <v>37.15</v>
      </c>
      <c r="C153" s="20">
        <v>3</v>
      </c>
      <c r="D153" s="20">
        <v>3.4</v>
      </c>
      <c r="E153" s="20">
        <v>4.5</v>
      </c>
      <c r="F153" s="20">
        <v>5.2</v>
      </c>
      <c r="G153" s="20">
        <v>5.9</v>
      </c>
      <c r="H153" s="20">
        <v>6.7</v>
      </c>
      <c r="I153" s="31">
        <v>7.3</v>
      </c>
      <c r="K153">
        <f t="shared" si="1"/>
        <v>36</v>
      </c>
      <c r="L153" s="4">
        <v>0</v>
      </c>
    </row>
    <row r="154" spans="1:24" ht="12.75">
      <c r="A154" s="35" t="s">
        <v>132</v>
      </c>
      <c r="B154" s="46">
        <v>43.196666666666665</v>
      </c>
      <c r="C154" s="20">
        <v>3.2</v>
      </c>
      <c r="D154" s="20">
        <v>3.8</v>
      </c>
      <c r="E154" s="20">
        <v>4.8</v>
      </c>
      <c r="F154" s="20">
        <v>5.6</v>
      </c>
      <c r="G154" s="20">
        <v>6.4</v>
      </c>
      <c r="H154" s="20">
        <v>7</v>
      </c>
      <c r="I154" s="31">
        <v>7.7</v>
      </c>
      <c r="K154">
        <f t="shared" si="1"/>
        <v>38.5</v>
      </c>
      <c r="L154" s="4">
        <v>1</v>
      </c>
      <c r="W154" s="3"/>
      <c r="X154" s="3">
        <f>AVERAGE(X142:X152)</f>
        <v>9.341375782190221</v>
      </c>
    </row>
    <row r="155" spans="1:12" ht="12.75">
      <c r="A155" s="35" t="s">
        <v>110</v>
      </c>
      <c r="B155" s="46">
        <v>43.245</v>
      </c>
      <c r="C155" s="20">
        <v>3.1</v>
      </c>
      <c r="D155" s="20">
        <v>3.6</v>
      </c>
      <c r="E155" s="20">
        <v>4.6</v>
      </c>
      <c r="F155" s="20">
        <v>5.3</v>
      </c>
      <c r="G155" s="20">
        <v>5.9</v>
      </c>
      <c r="H155" s="20">
        <v>6.6</v>
      </c>
      <c r="I155" s="31">
        <v>7.3</v>
      </c>
      <c r="K155">
        <f t="shared" si="1"/>
        <v>36.4</v>
      </c>
      <c r="L155" s="4">
        <v>1</v>
      </c>
    </row>
    <row r="156" spans="1:12" ht="12.75">
      <c r="A156" s="35" t="s">
        <v>74</v>
      </c>
      <c r="B156" s="46">
        <v>39.84</v>
      </c>
      <c r="C156" s="20">
        <v>3</v>
      </c>
      <c r="D156" s="20">
        <v>3.5</v>
      </c>
      <c r="E156" s="20">
        <v>4.6</v>
      </c>
      <c r="F156" s="20">
        <v>5.3</v>
      </c>
      <c r="G156" s="20">
        <v>6.2</v>
      </c>
      <c r="H156" s="20">
        <v>6.9</v>
      </c>
      <c r="I156" s="31">
        <v>7.7</v>
      </c>
      <c r="K156">
        <f t="shared" si="1"/>
        <v>37.2</v>
      </c>
      <c r="L156" s="4">
        <v>0</v>
      </c>
    </row>
    <row r="157" spans="1:24" ht="12.75">
      <c r="A157" s="35" t="s">
        <v>122</v>
      </c>
      <c r="B157" s="46">
        <v>42.403333333333336</v>
      </c>
      <c r="C157" s="20">
        <v>3.2</v>
      </c>
      <c r="D157" s="20">
        <v>3.9</v>
      </c>
      <c r="E157" s="20">
        <v>5</v>
      </c>
      <c r="F157" s="20">
        <v>5.8</v>
      </c>
      <c r="G157" s="20">
        <v>6.8</v>
      </c>
      <c r="H157" s="20">
        <v>7.6</v>
      </c>
      <c r="I157" s="31">
        <v>8.4</v>
      </c>
      <c r="K157">
        <f t="shared" si="1"/>
        <v>40.699999999999996</v>
      </c>
      <c r="L157" s="4">
        <v>1</v>
      </c>
      <c r="W157" s="3"/>
      <c r="X157" s="3"/>
    </row>
    <row r="158" spans="1:24" ht="12.75">
      <c r="A158" s="35" t="s">
        <v>90</v>
      </c>
      <c r="B158" s="46">
        <v>38.93</v>
      </c>
      <c r="C158" s="20">
        <v>3</v>
      </c>
      <c r="D158" s="20">
        <v>3.6</v>
      </c>
      <c r="E158" s="20">
        <v>4.4</v>
      </c>
      <c r="F158" s="20">
        <v>5.1</v>
      </c>
      <c r="G158" s="20">
        <v>5.8</v>
      </c>
      <c r="H158" s="20">
        <v>6.5</v>
      </c>
      <c r="I158" s="31">
        <v>7.1</v>
      </c>
      <c r="K158">
        <f t="shared" si="1"/>
        <v>35.5</v>
      </c>
      <c r="L158" s="4">
        <v>1</v>
      </c>
      <c r="W158" s="3"/>
      <c r="X158" s="3"/>
    </row>
    <row r="159" spans="1:12" ht="12.75">
      <c r="A159" s="35" t="s">
        <v>80</v>
      </c>
      <c r="B159" s="46">
        <v>40.92</v>
      </c>
      <c r="C159" s="20">
        <v>3</v>
      </c>
      <c r="D159" s="20">
        <v>3.5</v>
      </c>
      <c r="E159" s="20">
        <v>4.6</v>
      </c>
      <c r="F159" s="20">
        <v>5.4</v>
      </c>
      <c r="G159" s="20">
        <v>6.2</v>
      </c>
      <c r="H159" s="20">
        <v>6.9</v>
      </c>
      <c r="I159" s="31">
        <v>7.7</v>
      </c>
      <c r="K159">
        <f t="shared" si="1"/>
        <v>37.300000000000004</v>
      </c>
      <c r="L159" s="4">
        <v>0</v>
      </c>
    </row>
    <row r="160" spans="1:12" ht="12.75">
      <c r="A160" s="35" t="s">
        <v>46</v>
      </c>
      <c r="B160" s="46">
        <v>37.96</v>
      </c>
      <c r="C160" s="20">
        <v>2.8</v>
      </c>
      <c r="D160" s="20">
        <v>3.3</v>
      </c>
      <c r="E160" s="20">
        <v>4.3</v>
      </c>
      <c r="F160" s="20">
        <v>4.9</v>
      </c>
      <c r="G160" s="20">
        <v>5.7</v>
      </c>
      <c r="H160" s="20">
        <v>6.3</v>
      </c>
      <c r="I160" s="31">
        <v>7</v>
      </c>
      <c r="K160">
        <f t="shared" si="1"/>
        <v>34.3</v>
      </c>
      <c r="L160" s="4">
        <v>0</v>
      </c>
    </row>
    <row r="161" spans="1:25" ht="12.75">
      <c r="A161" s="35" t="s">
        <v>107</v>
      </c>
      <c r="B161" s="46">
        <v>41.37</v>
      </c>
      <c r="C161" s="20">
        <v>3.1</v>
      </c>
      <c r="D161" s="20">
        <v>3.7</v>
      </c>
      <c r="E161" s="20">
        <v>4.8</v>
      </c>
      <c r="F161" s="20">
        <v>5.5</v>
      </c>
      <c r="G161" s="20">
        <v>6.3</v>
      </c>
      <c r="H161" s="20">
        <v>7</v>
      </c>
      <c r="I161" s="31">
        <v>7.7</v>
      </c>
      <c r="K161">
        <f t="shared" si="1"/>
        <v>38.1</v>
      </c>
      <c r="L161" s="4">
        <v>1</v>
      </c>
      <c r="V161">
        <v>40</v>
      </c>
      <c r="W161">
        <v>0</v>
      </c>
      <c r="X161">
        <f>110*(SQRT(V161)-SQRT(W161))</f>
        <v>695.7010852370435</v>
      </c>
      <c r="Y161">
        <f>X161/(V161-W161)</f>
        <v>17.392527130926087</v>
      </c>
    </row>
    <row r="162" spans="1:27" ht="12.75">
      <c r="A162" s="35" t="s">
        <v>72</v>
      </c>
      <c r="B162" s="46">
        <v>40.01666666666666</v>
      </c>
      <c r="C162" s="20">
        <v>3</v>
      </c>
      <c r="D162" s="20">
        <v>3.5</v>
      </c>
      <c r="E162" s="20">
        <v>4.6</v>
      </c>
      <c r="F162" s="20">
        <v>5.3</v>
      </c>
      <c r="G162" s="20">
        <v>6.1</v>
      </c>
      <c r="H162" s="20">
        <v>6.8</v>
      </c>
      <c r="I162" s="31">
        <v>7.6</v>
      </c>
      <c r="K162">
        <f t="shared" si="1"/>
        <v>36.9</v>
      </c>
      <c r="L162" s="4">
        <v>0</v>
      </c>
      <c r="V162">
        <v>40</v>
      </c>
      <c r="W162">
        <v>5</v>
      </c>
      <c r="X162">
        <f>110*(SQRT(V162)-SQRT(W162))</f>
        <v>449.7336077120666</v>
      </c>
      <c r="Y162">
        <f>X162/(V162-W162)</f>
        <v>12.849531648916189</v>
      </c>
      <c r="AA162">
        <f>AVERAGE(Y162:Y168)</f>
        <v>10.49146680450666</v>
      </c>
    </row>
    <row r="163" spans="1:25" ht="12.75">
      <c r="A163" s="35" t="s">
        <v>125</v>
      </c>
      <c r="B163" s="46">
        <v>43.025</v>
      </c>
      <c r="C163" s="20">
        <v>3.2</v>
      </c>
      <c r="D163" s="20">
        <v>3.9</v>
      </c>
      <c r="E163" s="20">
        <v>5</v>
      </c>
      <c r="F163" s="20">
        <v>5.8</v>
      </c>
      <c r="G163" s="20">
        <v>6.8</v>
      </c>
      <c r="H163" s="20">
        <v>7.6</v>
      </c>
      <c r="I163" s="31">
        <v>8.3</v>
      </c>
      <c r="K163">
        <f t="shared" si="1"/>
        <v>40.599999999999994</v>
      </c>
      <c r="L163" s="4">
        <v>1</v>
      </c>
      <c r="V163">
        <v>40</v>
      </c>
      <c r="W163">
        <v>10</v>
      </c>
      <c r="X163">
        <f aca="true" t="shared" si="6" ref="X163:X168">110*(SQRT(V163)-SQRT(W163))</f>
        <v>347.85054261852173</v>
      </c>
      <c r="Y163">
        <f aca="true" t="shared" si="7" ref="Y163:Y168">X163/(V163-W163)</f>
        <v>11.595018087284057</v>
      </c>
    </row>
    <row r="164" spans="1:25" ht="12.75">
      <c r="A164" s="35" t="s">
        <v>49</v>
      </c>
      <c r="B164" s="46">
        <v>37.17333333333334</v>
      </c>
      <c r="C164" s="20">
        <v>2.8</v>
      </c>
      <c r="D164" s="20">
        <v>3.3</v>
      </c>
      <c r="E164" s="20">
        <v>4.3</v>
      </c>
      <c r="F164" s="20">
        <v>4.9</v>
      </c>
      <c r="G164" s="20">
        <v>5.6</v>
      </c>
      <c r="H164" s="20">
        <v>6.2</v>
      </c>
      <c r="I164" s="31">
        <v>6.9</v>
      </c>
      <c r="K164">
        <f t="shared" si="1"/>
        <v>34</v>
      </c>
      <c r="L164" s="4">
        <v>0</v>
      </c>
      <c r="V164">
        <v>40</v>
      </c>
      <c r="W164">
        <v>15</v>
      </c>
      <c r="X164">
        <f t="shared" si="6"/>
        <v>269.6729171542276</v>
      </c>
      <c r="Y164">
        <f t="shared" si="7"/>
        <v>10.786916686169103</v>
      </c>
    </row>
    <row r="165" spans="1:25" ht="12.75">
      <c r="A165" s="35" t="s">
        <v>73</v>
      </c>
      <c r="B165" s="46">
        <v>38.3</v>
      </c>
      <c r="C165" s="20">
        <v>2.9</v>
      </c>
      <c r="D165" s="20">
        <v>3.5</v>
      </c>
      <c r="E165" s="20">
        <v>4.4</v>
      </c>
      <c r="F165" s="20">
        <v>5</v>
      </c>
      <c r="G165" s="20">
        <v>5.7</v>
      </c>
      <c r="H165" s="20">
        <v>6.4</v>
      </c>
      <c r="I165" s="31">
        <v>7</v>
      </c>
      <c r="K165">
        <f t="shared" si="1"/>
        <v>34.9</v>
      </c>
      <c r="L165" s="4">
        <v>0</v>
      </c>
      <c r="V165">
        <v>40</v>
      </c>
      <c r="W165">
        <v>20</v>
      </c>
      <c r="X165">
        <f t="shared" si="6"/>
        <v>203.76613018708974</v>
      </c>
      <c r="Y165">
        <f t="shared" si="7"/>
        <v>10.188306509354486</v>
      </c>
    </row>
    <row r="166" spans="1:25" ht="12.75">
      <c r="A166" s="35" t="s">
        <v>54</v>
      </c>
      <c r="B166" s="46">
        <v>39.38</v>
      </c>
      <c r="C166" s="20">
        <v>2.9</v>
      </c>
      <c r="D166" s="20">
        <v>3.4</v>
      </c>
      <c r="E166" s="20">
        <v>4.4</v>
      </c>
      <c r="F166" s="20">
        <v>5</v>
      </c>
      <c r="G166" s="20">
        <v>5.8</v>
      </c>
      <c r="H166" s="20">
        <v>6.5</v>
      </c>
      <c r="I166" s="31">
        <v>7.2</v>
      </c>
      <c r="K166">
        <f t="shared" si="1"/>
        <v>35.2</v>
      </c>
      <c r="L166" s="4">
        <v>0</v>
      </c>
      <c r="V166">
        <v>40</v>
      </c>
      <c r="W166">
        <v>25</v>
      </c>
      <c r="X166">
        <f t="shared" si="6"/>
        <v>145.7010852370435</v>
      </c>
      <c r="Y166">
        <f t="shared" si="7"/>
        <v>9.713405682469565</v>
      </c>
    </row>
    <row r="167" spans="1:25" ht="12.75">
      <c r="A167" s="35" t="s">
        <v>55</v>
      </c>
      <c r="B167" s="46">
        <v>36.37</v>
      </c>
      <c r="C167" s="20">
        <v>2.9</v>
      </c>
      <c r="D167" s="20">
        <v>3.4</v>
      </c>
      <c r="E167" s="20">
        <v>4.4</v>
      </c>
      <c r="F167" s="20">
        <v>5.1</v>
      </c>
      <c r="G167" s="20">
        <v>5.9</v>
      </c>
      <c r="H167" s="20">
        <v>6.6</v>
      </c>
      <c r="I167" s="31">
        <v>7.3</v>
      </c>
      <c r="K167">
        <f t="shared" si="1"/>
        <v>35.599999999999994</v>
      </c>
      <c r="L167" s="4">
        <v>0</v>
      </c>
      <c r="V167">
        <v>40</v>
      </c>
      <c r="W167">
        <v>30</v>
      </c>
      <c r="X167">
        <f t="shared" si="6"/>
        <v>93.20627198136077</v>
      </c>
      <c r="Y167">
        <f t="shared" si="7"/>
        <v>9.320627198136076</v>
      </c>
    </row>
    <row r="168" spans="1:25" ht="12.75">
      <c r="A168" s="35" t="s">
        <v>53</v>
      </c>
      <c r="B168" s="46">
        <v>39.31</v>
      </c>
      <c r="C168" s="20">
        <v>3.2</v>
      </c>
      <c r="D168" s="20">
        <v>4</v>
      </c>
      <c r="E168" s="20">
        <v>5.1</v>
      </c>
      <c r="F168" s="20">
        <v>6</v>
      </c>
      <c r="G168" s="20">
        <v>7</v>
      </c>
      <c r="H168" s="20">
        <v>7.8</v>
      </c>
      <c r="I168" s="31">
        <v>8.7</v>
      </c>
      <c r="K168">
        <f t="shared" si="1"/>
        <v>41.8</v>
      </c>
      <c r="L168" s="4">
        <v>0</v>
      </c>
      <c r="V168">
        <v>40</v>
      </c>
      <c r="W168">
        <v>35</v>
      </c>
      <c r="X168">
        <f t="shared" si="6"/>
        <v>44.93230909608572</v>
      </c>
      <c r="Y168">
        <f t="shared" si="7"/>
        <v>8.986461819217144</v>
      </c>
    </row>
    <row r="169" spans="1:12" ht="12.75">
      <c r="A169" s="35" t="s">
        <v>111</v>
      </c>
      <c r="B169" s="46">
        <v>43.44</v>
      </c>
      <c r="C169" s="20">
        <v>2.9</v>
      </c>
      <c r="D169" s="20">
        <v>3.4</v>
      </c>
      <c r="E169" s="20">
        <v>4.4</v>
      </c>
      <c r="F169" s="20">
        <v>5</v>
      </c>
      <c r="G169" s="20">
        <v>5.8</v>
      </c>
      <c r="H169" s="20">
        <v>6.5</v>
      </c>
      <c r="I169" s="31">
        <v>7.1</v>
      </c>
      <c r="K169">
        <f t="shared" si="1"/>
        <v>35.1</v>
      </c>
      <c r="L169" s="4">
        <v>1</v>
      </c>
    </row>
    <row r="170" spans="1:25" ht="12.75">
      <c r="A170" s="35" t="s">
        <v>93</v>
      </c>
      <c r="B170" s="46">
        <v>41.37</v>
      </c>
      <c r="C170" s="20">
        <v>3.1</v>
      </c>
      <c r="D170" s="20">
        <v>3.7</v>
      </c>
      <c r="E170" s="20">
        <v>4.5</v>
      </c>
      <c r="F170" s="20">
        <v>5.2</v>
      </c>
      <c r="G170" s="20">
        <v>5.9</v>
      </c>
      <c r="H170" s="20">
        <v>6.6</v>
      </c>
      <c r="I170" s="31">
        <v>7.2</v>
      </c>
      <c r="K170">
        <f t="shared" si="1"/>
        <v>36.2</v>
      </c>
      <c r="L170" s="4">
        <v>1</v>
      </c>
      <c r="V170">
        <v>30</v>
      </c>
      <c r="W170">
        <v>0</v>
      </c>
      <c r="X170">
        <f aca="true" t="shared" si="8" ref="X170:X175">110*(SQRT(V170)-SQRT(W170))</f>
        <v>602.4948132556827</v>
      </c>
      <c r="Y170">
        <f aca="true" t="shared" si="9" ref="Y170:Y175">X170/(V170-W170)</f>
        <v>20.08316044185609</v>
      </c>
    </row>
    <row r="171" spans="1:27" ht="12.75">
      <c r="A171" s="35" t="s">
        <v>57</v>
      </c>
      <c r="B171" s="46">
        <v>38.905</v>
      </c>
      <c r="C171" s="20">
        <v>3.1</v>
      </c>
      <c r="D171" s="20">
        <v>3.6</v>
      </c>
      <c r="E171" s="20">
        <v>4.6</v>
      </c>
      <c r="F171" s="20">
        <v>5.3</v>
      </c>
      <c r="G171" s="20">
        <v>6</v>
      </c>
      <c r="H171" s="20">
        <v>6.8</v>
      </c>
      <c r="I171" s="31">
        <v>7.4</v>
      </c>
      <c r="K171">
        <f t="shared" si="1"/>
        <v>36.800000000000004</v>
      </c>
      <c r="L171" s="4">
        <v>0</v>
      </c>
      <c r="V171">
        <v>30</v>
      </c>
      <c r="W171">
        <v>5</v>
      </c>
      <c r="X171">
        <f t="shared" si="8"/>
        <v>356.52733573070583</v>
      </c>
      <c r="Y171">
        <f t="shared" si="9"/>
        <v>14.261093429228232</v>
      </c>
      <c r="AA171">
        <f>AVERAGE(Y171:Y175)</f>
        <v>12.062539688864037</v>
      </c>
    </row>
    <row r="172" spans="1:25" ht="12.75">
      <c r="A172" s="35" t="s">
        <v>141</v>
      </c>
      <c r="B172" s="46">
        <v>42.79</v>
      </c>
      <c r="C172" s="20">
        <v>2.9</v>
      </c>
      <c r="D172" s="20">
        <v>3.4</v>
      </c>
      <c r="E172" s="20">
        <v>4.3</v>
      </c>
      <c r="F172" s="20">
        <v>4.9</v>
      </c>
      <c r="G172" s="20">
        <v>5.6</v>
      </c>
      <c r="H172" s="20">
        <v>6.3</v>
      </c>
      <c r="I172" s="31">
        <v>7</v>
      </c>
      <c r="K172">
        <f t="shared" si="1"/>
        <v>34.400000000000006</v>
      </c>
      <c r="L172" s="4">
        <v>1</v>
      </c>
      <c r="V172">
        <v>30</v>
      </c>
      <c r="W172">
        <v>10</v>
      </c>
      <c r="X172">
        <f t="shared" si="8"/>
        <v>254.644270637161</v>
      </c>
      <c r="Y172">
        <f t="shared" si="9"/>
        <v>12.732213531858049</v>
      </c>
    </row>
    <row r="173" spans="1:25" ht="12.75">
      <c r="A173" s="35" t="s">
        <v>41</v>
      </c>
      <c r="B173" s="46">
        <v>35.77</v>
      </c>
      <c r="C173" s="20">
        <v>2.8</v>
      </c>
      <c r="D173" s="20">
        <v>3.3</v>
      </c>
      <c r="E173" s="20">
        <v>4.3</v>
      </c>
      <c r="F173" s="20">
        <v>5</v>
      </c>
      <c r="G173" s="20">
        <v>5.8</v>
      </c>
      <c r="H173" s="20">
        <v>6.4</v>
      </c>
      <c r="I173" s="31">
        <v>7</v>
      </c>
      <c r="K173">
        <f t="shared" si="1"/>
        <v>34.6</v>
      </c>
      <c r="L173" s="4">
        <v>0</v>
      </c>
      <c r="V173">
        <v>30</v>
      </c>
      <c r="W173">
        <v>15</v>
      </c>
      <c r="X173">
        <f t="shared" si="8"/>
        <v>176.46664517286686</v>
      </c>
      <c r="Y173">
        <f t="shared" si="9"/>
        <v>11.764443011524458</v>
      </c>
    </row>
    <row r="174" spans="1:25" ht="12.75">
      <c r="A174" s="35" t="s">
        <v>92</v>
      </c>
      <c r="B174" s="46">
        <v>40.255</v>
      </c>
      <c r="C174" s="20">
        <v>3.1</v>
      </c>
      <c r="D174" s="20">
        <v>3.6</v>
      </c>
      <c r="E174" s="20">
        <v>4.7</v>
      </c>
      <c r="F174" s="20">
        <v>5.4</v>
      </c>
      <c r="G174" s="20">
        <v>6.1</v>
      </c>
      <c r="H174" s="20">
        <v>6.9</v>
      </c>
      <c r="I174" s="31">
        <v>7.6</v>
      </c>
      <c r="K174">
        <f aca="true" t="shared" si="10" ref="K174:K223">SUM(C174:I174)</f>
        <v>37.4</v>
      </c>
      <c r="L174" s="4">
        <v>1</v>
      </c>
      <c r="V174">
        <v>30</v>
      </c>
      <c r="W174">
        <v>20</v>
      </c>
      <c r="X174">
        <f t="shared" si="8"/>
        <v>110.55985820572897</v>
      </c>
      <c r="Y174">
        <f t="shared" si="9"/>
        <v>11.055985820572896</v>
      </c>
    </row>
    <row r="175" spans="1:25" ht="12.75">
      <c r="A175" s="35" t="s">
        <v>127</v>
      </c>
      <c r="B175" s="46">
        <v>48.6</v>
      </c>
      <c r="C175" s="20">
        <v>3.1</v>
      </c>
      <c r="D175" s="20">
        <v>3.7</v>
      </c>
      <c r="E175" s="20">
        <v>4.5</v>
      </c>
      <c r="F175" s="20">
        <v>5.1</v>
      </c>
      <c r="G175" s="20">
        <v>5.8</v>
      </c>
      <c r="H175" s="20">
        <v>6.6</v>
      </c>
      <c r="I175" s="31">
        <v>7.1</v>
      </c>
      <c r="K175">
        <f t="shared" si="10"/>
        <v>35.9</v>
      </c>
      <c r="L175" s="4">
        <v>0</v>
      </c>
      <c r="V175">
        <v>30</v>
      </c>
      <c r="W175">
        <v>25</v>
      </c>
      <c r="X175">
        <f t="shared" si="8"/>
        <v>52.49481325568273</v>
      </c>
      <c r="Y175">
        <f t="shared" si="9"/>
        <v>10.498962651136546</v>
      </c>
    </row>
    <row r="176" spans="1:12" ht="12.75">
      <c r="A176" s="35" t="s">
        <v>81</v>
      </c>
      <c r="B176" s="46">
        <v>38.34</v>
      </c>
      <c r="C176" s="20">
        <v>3</v>
      </c>
      <c r="D176" s="20">
        <v>3.5</v>
      </c>
      <c r="E176" s="20">
        <v>4.6</v>
      </c>
      <c r="F176" s="20">
        <v>5.3</v>
      </c>
      <c r="G176" s="20">
        <v>6</v>
      </c>
      <c r="H176" s="20">
        <v>6.8</v>
      </c>
      <c r="I176" s="31">
        <v>7.5</v>
      </c>
      <c r="K176">
        <f t="shared" si="10"/>
        <v>36.7</v>
      </c>
      <c r="L176" s="4">
        <v>1</v>
      </c>
    </row>
    <row r="177" spans="1:12" ht="12.75">
      <c r="A177" s="35" t="s">
        <v>63</v>
      </c>
      <c r="B177" s="46">
        <v>39.52333333333333</v>
      </c>
      <c r="C177" s="20">
        <v>2.9</v>
      </c>
      <c r="D177" s="20">
        <v>3.4</v>
      </c>
      <c r="E177" s="20">
        <v>4.4</v>
      </c>
      <c r="F177" s="20">
        <v>5</v>
      </c>
      <c r="G177" s="20">
        <v>5.7</v>
      </c>
      <c r="H177" s="20">
        <v>6.4</v>
      </c>
      <c r="I177" s="31">
        <v>7.1</v>
      </c>
      <c r="K177">
        <f t="shared" si="10"/>
        <v>34.9</v>
      </c>
      <c r="L177" s="4">
        <v>0</v>
      </c>
    </row>
    <row r="178" spans="1:12" ht="12.75">
      <c r="A178" s="35" t="s">
        <v>75</v>
      </c>
      <c r="B178" s="46">
        <v>39.105</v>
      </c>
      <c r="C178" s="20">
        <v>2.9</v>
      </c>
      <c r="D178" s="20">
        <v>3.5</v>
      </c>
      <c r="E178" s="20">
        <v>4.4</v>
      </c>
      <c r="F178" s="20">
        <v>5.1</v>
      </c>
      <c r="G178" s="20">
        <v>5.8</v>
      </c>
      <c r="H178" s="20">
        <v>6.5</v>
      </c>
      <c r="I178" s="31">
        <v>7.1</v>
      </c>
      <c r="K178">
        <f t="shared" si="10"/>
        <v>35.3</v>
      </c>
      <c r="L178" s="4">
        <v>0</v>
      </c>
    </row>
    <row r="179" spans="1:12" ht="12.75">
      <c r="A179" s="35" t="s">
        <v>87</v>
      </c>
      <c r="B179" s="46">
        <v>41.58</v>
      </c>
      <c r="C179" s="20">
        <v>3</v>
      </c>
      <c r="D179" s="20">
        <v>3.5</v>
      </c>
      <c r="E179" s="20">
        <v>4.6</v>
      </c>
      <c r="F179" s="20">
        <v>5.3</v>
      </c>
      <c r="G179" s="20">
        <v>6.1</v>
      </c>
      <c r="H179" s="20">
        <v>6.9</v>
      </c>
      <c r="I179" s="31">
        <v>7.6</v>
      </c>
      <c r="K179">
        <f t="shared" si="10"/>
        <v>37</v>
      </c>
      <c r="L179" s="4">
        <v>1</v>
      </c>
    </row>
    <row r="180" spans="1:12" ht="12.75">
      <c r="A180" s="35" t="s">
        <v>136</v>
      </c>
      <c r="B180" s="46">
        <v>47.96</v>
      </c>
      <c r="C180" s="20">
        <v>3.2</v>
      </c>
      <c r="D180" s="20">
        <v>3.8</v>
      </c>
      <c r="E180" s="20">
        <v>4.6</v>
      </c>
      <c r="F180" s="20">
        <v>5.3</v>
      </c>
      <c r="G180" s="20">
        <v>5.9</v>
      </c>
      <c r="H180" s="20">
        <v>6.7</v>
      </c>
      <c r="I180" s="31">
        <v>7.2</v>
      </c>
      <c r="K180">
        <f t="shared" si="10"/>
        <v>36.699999999999996</v>
      </c>
      <c r="L180" s="4">
        <v>0</v>
      </c>
    </row>
    <row r="181" spans="1:12" ht="12.75">
      <c r="A181" s="35" t="s">
        <v>131</v>
      </c>
      <c r="B181" s="46">
        <v>43.07</v>
      </c>
      <c r="C181" s="20">
        <v>3.2</v>
      </c>
      <c r="D181" s="20">
        <v>4</v>
      </c>
      <c r="E181" s="20">
        <v>5.1</v>
      </c>
      <c r="F181" s="20">
        <v>5.9</v>
      </c>
      <c r="G181" s="20">
        <v>6.9</v>
      </c>
      <c r="H181" s="20">
        <v>7.7</v>
      </c>
      <c r="I181" s="31">
        <v>8.6</v>
      </c>
      <c r="K181">
        <f t="shared" si="10"/>
        <v>41.400000000000006</v>
      </c>
      <c r="L181" s="4">
        <v>1</v>
      </c>
    </row>
    <row r="182" spans="1:12" ht="12.75">
      <c r="A182" s="35" t="s">
        <v>37</v>
      </c>
      <c r="B182" s="46">
        <v>34.54666666666667</v>
      </c>
      <c r="C182" s="20">
        <v>2.8</v>
      </c>
      <c r="D182" s="20">
        <v>3.3</v>
      </c>
      <c r="E182" s="20">
        <v>4.3</v>
      </c>
      <c r="F182" s="20">
        <v>5</v>
      </c>
      <c r="G182" s="20">
        <v>5.8</v>
      </c>
      <c r="H182" s="20">
        <v>6.5</v>
      </c>
      <c r="I182" s="31">
        <v>7.1</v>
      </c>
      <c r="K182">
        <f t="shared" si="10"/>
        <v>34.8</v>
      </c>
      <c r="L182" s="4">
        <v>0</v>
      </c>
    </row>
    <row r="183" spans="1:12" ht="12.75">
      <c r="A183" s="35" t="s">
        <v>137</v>
      </c>
      <c r="B183" s="46">
        <v>45.57</v>
      </c>
      <c r="C183" s="20">
        <v>3.2</v>
      </c>
      <c r="D183" s="20">
        <v>3.8</v>
      </c>
      <c r="E183" s="20">
        <v>4.8</v>
      </c>
      <c r="F183" s="20">
        <v>5.5</v>
      </c>
      <c r="G183" s="20">
        <v>6.3</v>
      </c>
      <c r="H183" s="20">
        <v>6.9</v>
      </c>
      <c r="I183" s="31">
        <v>7.6</v>
      </c>
      <c r="K183">
        <f t="shared" si="10"/>
        <v>38.1</v>
      </c>
      <c r="L183" s="4">
        <v>1</v>
      </c>
    </row>
    <row r="184" spans="1:12" ht="12.75">
      <c r="A184" s="35" t="s">
        <v>148</v>
      </c>
      <c r="B184" s="46">
        <v>39.02</v>
      </c>
      <c r="C184" s="20">
        <v>3</v>
      </c>
      <c r="D184" s="20">
        <v>3.5</v>
      </c>
      <c r="E184" s="20">
        <v>4.5</v>
      </c>
      <c r="F184" s="20">
        <v>5.2</v>
      </c>
      <c r="G184" s="20">
        <v>5.9</v>
      </c>
      <c r="H184" s="20">
        <v>6.7</v>
      </c>
      <c r="I184" s="31">
        <v>7.3</v>
      </c>
      <c r="K184">
        <f t="shared" si="10"/>
        <v>36.1</v>
      </c>
      <c r="L184" s="4">
        <v>1</v>
      </c>
    </row>
    <row r="185" spans="1:12" ht="12.75">
      <c r="A185" s="35" t="s">
        <v>140</v>
      </c>
      <c r="B185" s="46">
        <v>42.845</v>
      </c>
      <c r="C185" s="20">
        <v>3.3</v>
      </c>
      <c r="D185" s="20">
        <v>3.8</v>
      </c>
      <c r="E185" s="20">
        <v>4.9</v>
      </c>
      <c r="F185" s="20">
        <v>5.7</v>
      </c>
      <c r="G185" s="20">
        <v>6.6</v>
      </c>
      <c r="H185" s="20">
        <v>7.2</v>
      </c>
      <c r="I185" s="31">
        <v>7.9</v>
      </c>
      <c r="K185">
        <f t="shared" si="10"/>
        <v>39.4</v>
      </c>
      <c r="L185" s="4">
        <v>1</v>
      </c>
    </row>
    <row r="186" spans="1:12" ht="12.75">
      <c r="A186" s="35" t="s">
        <v>143</v>
      </c>
      <c r="B186" s="46">
        <v>48.6</v>
      </c>
      <c r="C186" s="20">
        <v>3.2</v>
      </c>
      <c r="D186" s="20">
        <v>3.8</v>
      </c>
      <c r="E186" s="20">
        <v>4.6</v>
      </c>
      <c r="F186" s="20">
        <v>5.4</v>
      </c>
      <c r="G186" s="20">
        <v>6.1</v>
      </c>
      <c r="H186" s="20">
        <v>6.8</v>
      </c>
      <c r="I186" s="31">
        <v>7.3</v>
      </c>
      <c r="K186">
        <f t="shared" si="10"/>
        <v>37.2</v>
      </c>
      <c r="L186" s="4">
        <v>0</v>
      </c>
    </row>
    <row r="187" spans="1:12" ht="12.75">
      <c r="A187" s="35" t="s">
        <v>104</v>
      </c>
      <c r="B187" s="46">
        <v>41.27</v>
      </c>
      <c r="C187" s="20">
        <v>3</v>
      </c>
      <c r="D187" s="20">
        <v>3.6</v>
      </c>
      <c r="E187" s="20">
        <v>4.4</v>
      </c>
      <c r="F187" s="20">
        <v>5.1</v>
      </c>
      <c r="G187" s="20">
        <v>5.8</v>
      </c>
      <c r="H187" s="20">
        <v>6.5</v>
      </c>
      <c r="I187" s="31">
        <v>7.1</v>
      </c>
      <c r="K187">
        <f t="shared" si="10"/>
        <v>35.5</v>
      </c>
      <c r="L187" s="4">
        <v>1</v>
      </c>
    </row>
    <row r="188" spans="1:12" ht="12.75">
      <c r="A188" s="35" t="s">
        <v>79</v>
      </c>
      <c r="B188" s="46">
        <v>40.725</v>
      </c>
      <c r="C188" s="20">
        <v>3</v>
      </c>
      <c r="D188" s="20">
        <v>3.5</v>
      </c>
      <c r="E188" s="20">
        <v>4.6</v>
      </c>
      <c r="F188" s="20">
        <v>5.3</v>
      </c>
      <c r="G188" s="20">
        <v>6.2</v>
      </c>
      <c r="H188" s="20">
        <v>6.9</v>
      </c>
      <c r="I188" s="31">
        <v>7.6</v>
      </c>
      <c r="K188">
        <f t="shared" si="10"/>
        <v>37.1</v>
      </c>
      <c r="L188" s="4">
        <v>0</v>
      </c>
    </row>
    <row r="189" spans="1:12" ht="12.75">
      <c r="A189" s="35" t="s">
        <v>98</v>
      </c>
      <c r="B189" s="46">
        <v>41.425</v>
      </c>
      <c r="C189" s="20">
        <v>3.1</v>
      </c>
      <c r="D189" s="20">
        <v>3.6</v>
      </c>
      <c r="E189" s="20">
        <v>4.6</v>
      </c>
      <c r="F189" s="20">
        <v>5.3</v>
      </c>
      <c r="G189" s="20">
        <v>6</v>
      </c>
      <c r="H189" s="20">
        <v>6.8</v>
      </c>
      <c r="I189" s="31">
        <v>7.5</v>
      </c>
      <c r="K189">
        <f t="shared" si="10"/>
        <v>36.900000000000006</v>
      </c>
      <c r="L189" s="4">
        <v>1</v>
      </c>
    </row>
    <row r="190" spans="1:12" ht="12.75">
      <c r="A190" s="35" t="s">
        <v>65</v>
      </c>
      <c r="B190" s="46">
        <v>38.315</v>
      </c>
      <c r="C190" s="20">
        <v>2.9</v>
      </c>
      <c r="D190" s="20">
        <v>3.4</v>
      </c>
      <c r="E190" s="20">
        <v>4.3</v>
      </c>
      <c r="F190" s="20">
        <v>5</v>
      </c>
      <c r="G190" s="20">
        <v>5.6</v>
      </c>
      <c r="H190" s="20">
        <v>6.4</v>
      </c>
      <c r="I190" s="31">
        <v>7</v>
      </c>
      <c r="K190">
        <f t="shared" si="10"/>
        <v>34.6</v>
      </c>
      <c r="L190" s="4">
        <v>0</v>
      </c>
    </row>
    <row r="191" spans="1:12" ht="12.75">
      <c r="A191" s="35" t="s">
        <v>67</v>
      </c>
      <c r="B191" s="46">
        <v>38.045</v>
      </c>
      <c r="C191" s="20">
        <v>2.9</v>
      </c>
      <c r="D191" s="20">
        <v>3.5</v>
      </c>
      <c r="E191" s="20">
        <v>4.5</v>
      </c>
      <c r="F191" s="20">
        <v>5.2</v>
      </c>
      <c r="G191" s="20">
        <v>6.1</v>
      </c>
      <c r="H191" s="20">
        <v>6.8</v>
      </c>
      <c r="I191" s="31">
        <v>7.6</v>
      </c>
      <c r="K191">
        <f t="shared" si="10"/>
        <v>36.6</v>
      </c>
      <c r="L191" s="4">
        <v>0</v>
      </c>
    </row>
    <row r="192" spans="1:12" ht="12.75">
      <c r="A192" s="35" t="s">
        <v>108</v>
      </c>
      <c r="B192" s="46">
        <v>42.88</v>
      </c>
      <c r="C192" s="20">
        <v>3.1</v>
      </c>
      <c r="D192" s="20">
        <v>3.8</v>
      </c>
      <c r="E192" s="20">
        <v>4.9</v>
      </c>
      <c r="F192" s="20">
        <v>5.6</v>
      </c>
      <c r="G192" s="20">
        <v>6.6</v>
      </c>
      <c r="H192" s="20">
        <v>7.3</v>
      </c>
      <c r="I192" s="31">
        <v>8</v>
      </c>
      <c r="K192">
        <f t="shared" si="10"/>
        <v>39.3</v>
      </c>
      <c r="L192" s="4">
        <v>1</v>
      </c>
    </row>
    <row r="193" spans="1:12" ht="12.75">
      <c r="A193" s="35" t="s">
        <v>103</v>
      </c>
      <c r="B193" s="46">
        <v>42.66</v>
      </c>
      <c r="C193" s="20">
        <v>3.1</v>
      </c>
      <c r="D193" s="20">
        <v>3.6</v>
      </c>
      <c r="E193" s="20">
        <v>4.7</v>
      </c>
      <c r="F193" s="20">
        <v>5.4</v>
      </c>
      <c r="G193" s="20">
        <v>6.2</v>
      </c>
      <c r="H193" s="20">
        <v>6.9</v>
      </c>
      <c r="I193" s="31">
        <v>7.6</v>
      </c>
      <c r="K193">
        <f t="shared" si="10"/>
        <v>37.5</v>
      </c>
      <c r="L193" s="4">
        <v>1</v>
      </c>
    </row>
    <row r="194" spans="1:12" ht="12.75">
      <c r="A194" s="35" t="s">
        <v>39</v>
      </c>
      <c r="B194" s="46">
        <v>37.21</v>
      </c>
      <c r="C194" s="20">
        <v>2.8</v>
      </c>
      <c r="D194" s="20">
        <v>3.3</v>
      </c>
      <c r="E194" s="20">
        <v>4.3</v>
      </c>
      <c r="F194" s="20">
        <v>4.9</v>
      </c>
      <c r="G194" s="20">
        <v>5.7</v>
      </c>
      <c r="H194" s="20">
        <v>6.3</v>
      </c>
      <c r="I194" s="31">
        <v>7</v>
      </c>
      <c r="K194">
        <f t="shared" si="10"/>
        <v>34.3</v>
      </c>
      <c r="L194" s="4">
        <v>0</v>
      </c>
    </row>
    <row r="195" spans="1:12" ht="12.75">
      <c r="A195" s="35" t="s">
        <v>62</v>
      </c>
      <c r="B195" s="46">
        <v>38.545</v>
      </c>
      <c r="C195" s="20">
        <v>2.9</v>
      </c>
      <c r="D195" s="20">
        <v>3.4</v>
      </c>
      <c r="E195" s="20">
        <v>4.3</v>
      </c>
      <c r="F195" s="20">
        <v>5</v>
      </c>
      <c r="G195" s="20">
        <v>5.7</v>
      </c>
      <c r="H195" s="20">
        <v>6.3</v>
      </c>
      <c r="I195" s="31">
        <v>7</v>
      </c>
      <c r="K195">
        <f t="shared" si="10"/>
        <v>34.6</v>
      </c>
      <c r="L195" s="4">
        <v>0</v>
      </c>
    </row>
    <row r="196" spans="1:12" ht="12.75">
      <c r="A196" s="35" t="s">
        <v>66</v>
      </c>
      <c r="B196" s="46">
        <v>39.77</v>
      </c>
      <c r="C196" s="20">
        <v>2.9</v>
      </c>
      <c r="D196" s="20">
        <v>3.4</v>
      </c>
      <c r="E196" s="20">
        <v>4.4</v>
      </c>
      <c r="F196" s="20">
        <v>5.1</v>
      </c>
      <c r="G196" s="20">
        <v>5.8</v>
      </c>
      <c r="H196" s="20">
        <v>6.5</v>
      </c>
      <c r="I196" s="31">
        <v>7.2</v>
      </c>
      <c r="K196">
        <f t="shared" si="10"/>
        <v>35.3</v>
      </c>
      <c r="L196" s="4">
        <v>0</v>
      </c>
    </row>
    <row r="197" spans="1:12" ht="12.75">
      <c r="A197" s="35" t="s">
        <v>68</v>
      </c>
      <c r="B197" s="46">
        <v>38.865</v>
      </c>
      <c r="C197" s="20">
        <v>2.9</v>
      </c>
      <c r="D197" s="20">
        <v>3.5</v>
      </c>
      <c r="E197" s="20">
        <v>4.5</v>
      </c>
      <c r="F197" s="20">
        <v>5.2</v>
      </c>
      <c r="G197" s="20">
        <v>6</v>
      </c>
      <c r="H197" s="20">
        <v>6.8</v>
      </c>
      <c r="I197" s="31">
        <v>7.5</v>
      </c>
      <c r="K197">
        <f t="shared" si="10"/>
        <v>36.400000000000006</v>
      </c>
      <c r="L197" s="4">
        <v>0</v>
      </c>
    </row>
    <row r="198" spans="1:12" ht="12.75">
      <c r="A198" s="35" t="s">
        <v>115</v>
      </c>
      <c r="B198" s="46">
        <v>43.93</v>
      </c>
      <c r="C198" s="20">
        <v>3.1</v>
      </c>
      <c r="D198" s="20">
        <v>3.7</v>
      </c>
      <c r="E198" s="20">
        <v>4.6</v>
      </c>
      <c r="F198" s="20">
        <v>5.3</v>
      </c>
      <c r="G198" s="20">
        <v>6</v>
      </c>
      <c r="H198" s="20">
        <v>6.7</v>
      </c>
      <c r="I198" s="31">
        <v>7.4</v>
      </c>
      <c r="K198">
        <f t="shared" si="10"/>
        <v>36.8</v>
      </c>
      <c r="L198" s="4">
        <v>1</v>
      </c>
    </row>
    <row r="199" spans="1:12" ht="12.75">
      <c r="A199" s="35" t="s">
        <v>138</v>
      </c>
      <c r="B199" s="46">
        <v>49.11</v>
      </c>
      <c r="C199" s="20">
        <v>3.2</v>
      </c>
      <c r="D199" s="20">
        <v>3.8</v>
      </c>
      <c r="E199" s="20">
        <v>4.7</v>
      </c>
      <c r="F199" s="20">
        <v>5.5</v>
      </c>
      <c r="G199" s="20">
        <v>6.2</v>
      </c>
      <c r="H199" s="20">
        <v>6.8</v>
      </c>
      <c r="I199" s="31">
        <v>7.5</v>
      </c>
      <c r="K199">
        <f t="shared" si="10"/>
        <v>37.7</v>
      </c>
      <c r="L199" s="4">
        <v>1</v>
      </c>
    </row>
    <row r="200" spans="1:12" ht="12.75">
      <c r="A200" s="35" t="s">
        <v>70</v>
      </c>
      <c r="B200" s="46">
        <v>37.916666666666664</v>
      </c>
      <c r="C200" s="20">
        <v>3</v>
      </c>
      <c r="D200" s="20">
        <v>3.4</v>
      </c>
      <c r="E200" s="20">
        <v>4.5</v>
      </c>
      <c r="F200" s="20">
        <v>5.2</v>
      </c>
      <c r="G200" s="20">
        <v>6</v>
      </c>
      <c r="H200" s="20">
        <v>6.8</v>
      </c>
      <c r="I200" s="31">
        <v>7.4</v>
      </c>
      <c r="K200">
        <f t="shared" si="10"/>
        <v>36.300000000000004</v>
      </c>
      <c r="L200" s="4">
        <v>0</v>
      </c>
    </row>
    <row r="201" spans="1:12" ht="12.75">
      <c r="A201" s="35" t="s">
        <v>38</v>
      </c>
      <c r="B201" s="46">
        <v>36.64333333333333</v>
      </c>
      <c r="C201" s="20">
        <v>2.8</v>
      </c>
      <c r="D201" s="20">
        <v>3.3</v>
      </c>
      <c r="E201" s="20">
        <v>4.3</v>
      </c>
      <c r="F201" s="20">
        <v>4.9</v>
      </c>
      <c r="G201" s="20">
        <v>5.7</v>
      </c>
      <c r="H201" s="20">
        <v>6.3</v>
      </c>
      <c r="I201" s="31">
        <v>6.9</v>
      </c>
      <c r="K201">
        <f t="shared" si="10"/>
        <v>34.2</v>
      </c>
      <c r="L201" s="4">
        <v>0</v>
      </c>
    </row>
    <row r="202" spans="1:12" ht="12.75">
      <c r="A202" s="35" t="s">
        <v>36</v>
      </c>
      <c r="B202" s="46">
        <v>36.33</v>
      </c>
      <c r="C202" s="20">
        <v>2.8</v>
      </c>
      <c r="D202" s="20">
        <v>3.3</v>
      </c>
      <c r="E202" s="20">
        <v>4.3</v>
      </c>
      <c r="F202" s="20">
        <v>4.9</v>
      </c>
      <c r="G202" s="20">
        <v>5.6</v>
      </c>
      <c r="H202" s="20">
        <v>6.2</v>
      </c>
      <c r="I202" s="31">
        <v>6.9</v>
      </c>
      <c r="K202">
        <f t="shared" si="10"/>
        <v>34</v>
      </c>
      <c r="L202" s="4">
        <v>0</v>
      </c>
    </row>
    <row r="203" spans="1:12" ht="12.75">
      <c r="A203" s="35" t="s">
        <v>124</v>
      </c>
      <c r="B203" s="46">
        <v>47.64</v>
      </c>
      <c r="C203" s="20">
        <v>3.1</v>
      </c>
      <c r="D203" s="20">
        <v>3.7</v>
      </c>
      <c r="E203" s="20">
        <v>4.5</v>
      </c>
      <c r="F203" s="20">
        <v>5.1</v>
      </c>
      <c r="G203" s="20">
        <v>5.9</v>
      </c>
      <c r="H203" s="20">
        <v>6.6</v>
      </c>
      <c r="I203" s="31">
        <v>7.1</v>
      </c>
      <c r="K203">
        <f t="shared" si="10"/>
        <v>36</v>
      </c>
      <c r="L203" s="4">
        <v>0</v>
      </c>
    </row>
    <row r="204" spans="1:12" ht="12.75">
      <c r="A204" s="35" t="s">
        <v>120</v>
      </c>
      <c r="B204" s="46">
        <v>43.395</v>
      </c>
      <c r="C204" s="20">
        <v>3.2</v>
      </c>
      <c r="D204" s="20">
        <v>3.7</v>
      </c>
      <c r="E204" s="20">
        <v>4.7</v>
      </c>
      <c r="F204" s="20">
        <v>5.4</v>
      </c>
      <c r="G204" s="20">
        <v>6.2</v>
      </c>
      <c r="H204" s="20">
        <v>6.8</v>
      </c>
      <c r="I204" s="31">
        <v>7.5</v>
      </c>
      <c r="K204">
        <f t="shared" si="10"/>
        <v>37.5</v>
      </c>
      <c r="L204" s="4">
        <v>1</v>
      </c>
    </row>
    <row r="205" spans="1:12" ht="12.75">
      <c r="A205" s="35" t="s">
        <v>56</v>
      </c>
      <c r="B205" s="46">
        <v>38.78</v>
      </c>
      <c r="C205" s="20">
        <v>2.9</v>
      </c>
      <c r="D205" s="20">
        <v>3.4</v>
      </c>
      <c r="E205" s="20">
        <v>4.3</v>
      </c>
      <c r="F205" s="20">
        <v>5</v>
      </c>
      <c r="G205" s="20">
        <v>5.7</v>
      </c>
      <c r="H205" s="20">
        <v>6.4</v>
      </c>
      <c r="I205" s="31">
        <v>7</v>
      </c>
      <c r="K205">
        <f t="shared" si="10"/>
        <v>34.7</v>
      </c>
      <c r="L205" s="4">
        <v>0</v>
      </c>
    </row>
    <row r="206" spans="1:12" ht="12.75">
      <c r="A206" s="35" t="s">
        <v>78</v>
      </c>
      <c r="B206" s="46">
        <v>37.83</v>
      </c>
      <c r="C206" s="20">
        <v>3</v>
      </c>
      <c r="D206" s="20">
        <v>3.5</v>
      </c>
      <c r="E206" s="20">
        <v>4.4</v>
      </c>
      <c r="F206" s="20">
        <v>5</v>
      </c>
      <c r="G206" s="20">
        <v>5.7</v>
      </c>
      <c r="H206" s="20">
        <v>6.4</v>
      </c>
      <c r="I206" s="31">
        <v>7</v>
      </c>
      <c r="K206">
        <f t="shared" si="10"/>
        <v>35</v>
      </c>
      <c r="L206" s="4">
        <v>0</v>
      </c>
    </row>
    <row r="207" spans="1:12" ht="12.75">
      <c r="A207" s="35" t="s">
        <v>97</v>
      </c>
      <c r="B207" s="46">
        <v>40.835</v>
      </c>
      <c r="C207" s="20">
        <v>3.1</v>
      </c>
      <c r="D207" s="20">
        <v>3.7</v>
      </c>
      <c r="E207" s="20">
        <v>4.8</v>
      </c>
      <c r="F207" s="20">
        <v>5.5</v>
      </c>
      <c r="G207" s="20">
        <v>6.5</v>
      </c>
      <c r="H207" s="20">
        <v>7.2</v>
      </c>
      <c r="I207" s="31">
        <v>7.9</v>
      </c>
      <c r="K207">
        <f t="shared" si="10"/>
        <v>38.7</v>
      </c>
      <c r="L207" s="4">
        <v>1</v>
      </c>
    </row>
    <row r="208" spans="1:12" ht="12.75">
      <c r="A208" s="35" t="s">
        <v>100</v>
      </c>
      <c r="B208" s="46">
        <v>41</v>
      </c>
      <c r="C208" s="20">
        <v>3.1</v>
      </c>
      <c r="D208" s="20">
        <v>3.6</v>
      </c>
      <c r="E208" s="20">
        <v>4.5</v>
      </c>
      <c r="F208" s="20">
        <v>5.2</v>
      </c>
      <c r="G208" s="20">
        <v>5.8</v>
      </c>
      <c r="H208" s="20">
        <v>6.5</v>
      </c>
      <c r="I208" s="31">
        <v>7.2</v>
      </c>
      <c r="K208">
        <f t="shared" si="10"/>
        <v>35.9</v>
      </c>
      <c r="L208" s="4">
        <v>1</v>
      </c>
    </row>
    <row r="209" spans="1:12" ht="12.75">
      <c r="A209" s="35" t="s">
        <v>82</v>
      </c>
      <c r="B209" s="46">
        <v>38.85333333333333</v>
      </c>
      <c r="C209" s="20">
        <v>3</v>
      </c>
      <c r="D209" s="20">
        <v>3.5</v>
      </c>
      <c r="E209" s="20">
        <v>4.4</v>
      </c>
      <c r="F209" s="20">
        <v>5</v>
      </c>
      <c r="G209" s="20">
        <v>5.7</v>
      </c>
      <c r="H209" s="20">
        <v>6.4</v>
      </c>
      <c r="I209" s="31">
        <v>7</v>
      </c>
      <c r="K209">
        <f t="shared" si="10"/>
        <v>35</v>
      </c>
      <c r="L209" s="4">
        <v>0</v>
      </c>
    </row>
    <row r="210" spans="1:12" ht="12.75">
      <c r="A210" s="35" t="s">
        <v>84</v>
      </c>
      <c r="B210" s="46">
        <v>40.0325</v>
      </c>
      <c r="C210" s="20">
        <v>3</v>
      </c>
      <c r="D210" s="20">
        <v>3.5</v>
      </c>
      <c r="E210" s="20">
        <v>4.4</v>
      </c>
      <c r="F210" s="20">
        <v>5</v>
      </c>
      <c r="G210" s="20">
        <v>5.7</v>
      </c>
      <c r="H210" s="20">
        <v>6.4</v>
      </c>
      <c r="I210" s="31">
        <v>7</v>
      </c>
      <c r="K210">
        <f t="shared" si="10"/>
        <v>35</v>
      </c>
      <c r="L210" s="4">
        <v>0</v>
      </c>
    </row>
    <row r="211" spans="1:12" ht="12.75">
      <c r="A211" s="35" t="s">
        <v>99</v>
      </c>
      <c r="B211" s="46">
        <v>40.0325</v>
      </c>
      <c r="C211" s="20">
        <v>3</v>
      </c>
      <c r="D211" s="20">
        <v>3.6</v>
      </c>
      <c r="E211" s="20">
        <v>4.4</v>
      </c>
      <c r="F211" s="20">
        <v>5.1</v>
      </c>
      <c r="G211" s="20">
        <v>5.8</v>
      </c>
      <c r="H211" s="20">
        <v>6.5</v>
      </c>
      <c r="I211" s="31">
        <v>7.1</v>
      </c>
      <c r="K211">
        <f t="shared" si="10"/>
        <v>35.5</v>
      </c>
      <c r="L211" s="4">
        <v>1</v>
      </c>
    </row>
    <row r="212" spans="1:12" ht="12.75">
      <c r="A212" s="35" t="s">
        <v>126</v>
      </c>
      <c r="B212" s="46">
        <v>48.30799999999999</v>
      </c>
      <c r="C212" s="20">
        <v>3.1</v>
      </c>
      <c r="D212" s="20">
        <v>3.7</v>
      </c>
      <c r="E212" s="20">
        <v>4.6</v>
      </c>
      <c r="F212" s="20">
        <v>5.3</v>
      </c>
      <c r="G212" s="20">
        <v>5.9</v>
      </c>
      <c r="H212" s="20">
        <v>6.6</v>
      </c>
      <c r="I212" s="31">
        <v>7.2</v>
      </c>
      <c r="K212">
        <f t="shared" si="10"/>
        <v>36.400000000000006</v>
      </c>
      <c r="L212" s="4">
        <v>0</v>
      </c>
    </row>
    <row r="213" spans="1:12" ht="12.75">
      <c r="A213" s="35" t="s">
        <v>133</v>
      </c>
      <c r="B213" s="46">
        <v>43.54</v>
      </c>
      <c r="C213" s="20">
        <v>3.3</v>
      </c>
      <c r="D213" s="20">
        <v>3.9</v>
      </c>
      <c r="E213" s="20">
        <v>5</v>
      </c>
      <c r="F213" s="20">
        <v>5.8</v>
      </c>
      <c r="G213" s="20">
        <v>6.8</v>
      </c>
      <c r="H213" s="20">
        <v>7.6</v>
      </c>
      <c r="I213" s="31">
        <v>8.3</v>
      </c>
      <c r="K213">
        <f t="shared" si="10"/>
        <v>40.7</v>
      </c>
      <c r="L213" s="4">
        <v>1</v>
      </c>
    </row>
    <row r="214" spans="1:12" ht="12.75">
      <c r="A214" s="35" t="s">
        <v>44</v>
      </c>
      <c r="B214" s="46">
        <v>37.28</v>
      </c>
      <c r="C214" s="20">
        <v>2.8</v>
      </c>
      <c r="D214" s="20">
        <v>3.3</v>
      </c>
      <c r="E214" s="20">
        <v>4.3</v>
      </c>
      <c r="F214" s="20">
        <v>5</v>
      </c>
      <c r="G214" s="20">
        <v>5.8</v>
      </c>
      <c r="H214" s="20">
        <v>6.4</v>
      </c>
      <c r="I214" s="31">
        <v>7.1</v>
      </c>
      <c r="K214">
        <f t="shared" si="10"/>
        <v>34.7</v>
      </c>
      <c r="L214" s="4">
        <v>0</v>
      </c>
    </row>
    <row r="215" spans="1:12" ht="12.75">
      <c r="A215" s="35" t="s">
        <v>139</v>
      </c>
      <c r="B215" s="46">
        <v>42.17</v>
      </c>
      <c r="C215" s="20">
        <v>3.3</v>
      </c>
      <c r="D215" s="20">
        <v>3.9</v>
      </c>
      <c r="E215" s="20">
        <v>5</v>
      </c>
      <c r="F215" s="20">
        <v>5.8</v>
      </c>
      <c r="G215" s="20">
        <v>6.8</v>
      </c>
      <c r="H215" s="20">
        <v>7.5</v>
      </c>
      <c r="I215" s="31">
        <v>8.2</v>
      </c>
      <c r="K215">
        <f t="shared" si="10"/>
        <v>40.5</v>
      </c>
      <c r="L215" s="4">
        <v>1</v>
      </c>
    </row>
    <row r="216" spans="1:12" ht="12.75">
      <c r="A216" s="35" t="s">
        <v>116</v>
      </c>
      <c r="B216" s="46">
        <v>42.4825</v>
      </c>
      <c r="C216" s="20">
        <v>3.2</v>
      </c>
      <c r="D216" s="20">
        <v>3.7</v>
      </c>
      <c r="E216" s="20">
        <v>4.7</v>
      </c>
      <c r="F216" s="20">
        <v>5.5</v>
      </c>
      <c r="G216" s="20">
        <v>6.3</v>
      </c>
      <c r="H216" s="20">
        <v>6.9</v>
      </c>
      <c r="I216" s="31">
        <v>7.6</v>
      </c>
      <c r="K216">
        <f t="shared" si="10"/>
        <v>37.900000000000006</v>
      </c>
      <c r="L216" s="4">
        <v>1</v>
      </c>
    </row>
    <row r="217" spans="1:12" ht="12.75">
      <c r="A217" s="35" t="s">
        <v>102</v>
      </c>
      <c r="B217" s="46">
        <v>42.42</v>
      </c>
      <c r="C217" s="20">
        <v>3.1</v>
      </c>
      <c r="D217" s="20">
        <v>3.7</v>
      </c>
      <c r="E217" s="20">
        <v>4.9</v>
      </c>
      <c r="F217" s="20">
        <v>5.6</v>
      </c>
      <c r="G217" s="20">
        <v>6.6</v>
      </c>
      <c r="H217" s="20">
        <v>7.4</v>
      </c>
      <c r="I217" s="31">
        <v>8.1</v>
      </c>
      <c r="K217">
        <f t="shared" si="10"/>
        <v>39.4</v>
      </c>
      <c r="L217" s="4">
        <v>0</v>
      </c>
    </row>
    <row r="218" spans="1:12" ht="12.75">
      <c r="A218" s="35" t="s">
        <v>77</v>
      </c>
      <c r="B218" s="46">
        <v>38.2</v>
      </c>
      <c r="C218" s="20">
        <v>3</v>
      </c>
      <c r="D218" s="20">
        <v>3.5</v>
      </c>
      <c r="E218" s="20">
        <v>4.4</v>
      </c>
      <c r="F218" s="20">
        <v>5.1</v>
      </c>
      <c r="G218" s="20">
        <v>5.8</v>
      </c>
      <c r="H218" s="20">
        <v>6.5</v>
      </c>
      <c r="I218" s="31">
        <v>7.1</v>
      </c>
      <c r="K218">
        <f t="shared" si="10"/>
        <v>35.4</v>
      </c>
      <c r="L218" s="4">
        <v>0</v>
      </c>
    </row>
    <row r="219" spans="1:12" ht="12.75">
      <c r="A219" s="35" t="s">
        <v>95</v>
      </c>
      <c r="B219" s="46">
        <v>41.32</v>
      </c>
      <c r="C219" s="20">
        <v>3.1</v>
      </c>
      <c r="D219" s="20">
        <v>3.6</v>
      </c>
      <c r="E219" s="20">
        <v>4.5</v>
      </c>
      <c r="F219" s="20">
        <v>5.2</v>
      </c>
      <c r="G219" s="20">
        <v>5.9</v>
      </c>
      <c r="H219" s="20">
        <v>6.6</v>
      </c>
      <c r="I219" s="31">
        <v>7.3</v>
      </c>
      <c r="K219">
        <f t="shared" si="10"/>
        <v>36.199999999999996</v>
      </c>
      <c r="L219" s="4">
        <v>1</v>
      </c>
    </row>
    <row r="220" spans="1:12" ht="12.75">
      <c r="A220" s="35" t="s">
        <v>123</v>
      </c>
      <c r="B220" s="46">
        <v>45.54</v>
      </c>
      <c r="C220" s="20">
        <v>3.1</v>
      </c>
      <c r="D220" s="20">
        <v>3.7</v>
      </c>
      <c r="E220" s="20">
        <v>4.6</v>
      </c>
      <c r="F220" s="20">
        <v>5.3</v>
      </c>
      <c r="G220" s="20">
        <v>6</v>
      </c>
      <c r="H220" s="20">
        <v>6.7</v>
      </c>
      <c r="I220" s="31">
        <v>7.3</v>
      </c>
      <c r="K220">
        <f t="shared" si="10"/>
        <v>36.699999999999996</v>
      </c>
      <c r="L220" s="4">
        <v>1</v>
      </c>
    </row>
    <row r="221" spans="1:12" ht="12.75">
      <c r="A221" s="35" t="s">
        <v>118</v>
      </c>
      <c r="B221" s="46">
        <v>42.67</v>
      </c>
      <c r="C221" s="20">
        <v>3.2</v>
      </c>
      <c r="D221" s="20">
        <v>3.8</v>
      </c>
      <c r="E221" s="20">
        <v>4.9</v>
      </c>
      <c r="F221" s="20">
        <v>5.6</v>
      </c>
      <c r="G221" s="20">
        <v>6.5</v>
      </c>
      <c r="H221" s="20">
        <v>7.3</v>
      </c>
      <c r="I221" s="31">
        <v>7.9</v>
      </c>
      <c r="K221">
        <f t="shared" si="10"/>
        <v>39.2</v>
      </c>
      <c r="L221" s="4">
        <v>1</v>
      </c>
    </row>
    <row r="222" spans="1:12" ht="12.75">
      <c r="A222" s="35" t="s">
        <v>40</v>
      </c>
      <c r="B222" s="46">
        <v>34.38</v>
      </c>
      <c r="C222" s="20">
        <v>2.8</v>
      </c>
      <c r="D222" s="20">
        <v>3.3</v>
      </c>
      <c r="E222" s="20">
        <v>4.3</v>
      </c>
      <c r="F222" s="20">
        <v>5</v>
      </c>
      <c r="G222" s="20">
        <v>5.8</v>
      </c>
      <c r="H222" s="20">
        <v>6.5</v>
      </c>
      <c r="I222" s="31">
        <v>7.1</v>
      </c>
      <c r="K222">
        <f t="shared" si="10"/>
        <v>34.8</v>
      </c>
      <c r="L222" s="4">
        <v>0</v>
      </c>
    </row>
    <row r="223" spans="1:12" ht="13.5" thickBot="1">
      <c r="A223" s="36" t="s">
        <v>119</v>
      </c>
      <c r="B223" s="48">
        <v>43.3</v>
      </c>
      <c r="C223" s="13">
        <v>3.2</v>
      </c>
      <c r="D223" s="13">
        <v>3.7</v>
      </c>
      <c r="E223" s="13">
        <v>4.8</v>
      </c>
      <c r="F223" s="13">
        <v>5.6</v>
      </c>
      <c r="G223" s="13">
        <v>6.4</v>
      </c>
      <c r="H223" s="13">
        <v>7.1</v>
      </c>
      <c r="I223" s="33">
        <v>7.8</v>
      </c>
      <c r="K223">
        <f t="shared" si="10"/>
        <v>38.599999999999994</v>
      </c>
      <c r="L223" s="4">
        <v>1</v>
      </c>
    </row>
    <row r="226" ht="12.75">
      <c r="A226" s="1" t="s">
        <v>178</v>
      </c>
    </row>
    <row r="227" spans="2:6" ht="12.75">
      <c r="B227" t="s">
        <v>28</v>
      </c>
      <c r="C227" t="s">
        <v>29</v>
      </c>
      <c r="D227" t="s">
        <v>30</v>
      </c>
      <c r="E227" t="s">
        <v>31</v>
      </c>
      <c r="F227" t="s">
        <v>26</v>
      </c>
    </row>
    <row r="228" spans="1:5" ht="12.75">
      <c r="A228" t="s">
        <v>24</v>
      </c>
      <c r="B228">
        <v>77</v>
      </c>
      <c r="C228">
        <v>86</v>
      </c>
      <c r="D228">
        <v>91</v>
      </c>
      <c r="E228">
        <v>94</v>
      </c>
    </row>
    <row r="229" spans="1:5" ht="12.75">
      <c r="A229" t="s">
        <v>25</v>
      </c>
      <c r="B229">
        <v>76</v>
      </c>
      <c r="C229">
        <v>85</v>
      </c>
      <c r="D229">
        <v>90</v>
      </c>
      <c r="E229">
        <v>93</v>
      </c>
    </row>
    <row r="230" spans="1:5" ht="12.75">
      <c r="A230" t="s">
        <v>13</v>
      </c>
      <c r="B230">
        <v>72</v>
      </c>
      <c r="C230">
        <v>81</v>
      </c>
      <c r="D230">
        <v>88</v>
      </c>
      <c r="E230">
        <v>91</v>
      </c>
    </row>
    <row r="231" spans="1:5" ht="12.75">
      <c r="A231" t="s">
        <v>193</v>
      </c>
      <c r="B231">
        <v>71</v>
      </c>
      <c r="C231">
        <v>80</v>
      </c>
      <c r="D231">
        <v>87</v>
      </c>
      <c r="E231">
        <v>90</v>
      </c>
    </row>
    <row r="232" spans="1:5" ht="12.75">
      <c r="A232" t="s">
        <v>14</v>
      </c>
      <c r="B232">
        <v>70</v>
      </c>
      <c r="C232">
        <v>79</v>
      </c>
      <c r="D232">
        <v>84</v>
      </c>
      <c r="E232">
        <v>88</v>
      </c>
    </row>
    <row r="233" spans="1:5" ht="12.75">
      <c r="A233" t="s">
        <v>194</v>
      </c>
      <c r="B233">
        <v>69</v>
      </c>
      <c r="C233">
        <v>78</v>
      </c>
      <c r="D233">
        <v>83</v>
      </c>
      <c r="E233">
        <v>87</v>
      </c>
    </row>
    <row r="234" spans="1:5" ht="12.75">
      <c r="A234" t="s">
        <v>15</v>
      </c>
      <c r="B234">
        <v>66</v>
      </c>
      <c r="C234">
        <v>74</v>
      </c>
      <c r="D234">
        <v>80</v>
      </c>
      <c r="E234">
        <v>82</v>
      </c>
    </row>
    <row r="235" spans="1:5" ht="12.75">
      <c r="A235" t="s">
        <v>197</v>
      </c>
      <c r="B235">
        <v>65</v>
      </c>
      <c r="C235">
        <v>73</v>
      </c>
      <c r="D235">
        <v>79</v>
      </c>
      <c r="E235">
        <v>81</v>
      </c>
    </row>
    <row r="236" spans="1:5" ht="12.75">
      <c r="A236" t="s">
        <v>16</v>
      </c>
      <c r="B236">
        <v>65</v>
      </c>
      <c r="C236">
        <v>76</v>
      </c>
      <c r="D236">
        <v>84</v>
      </c>
      <c r="E236">
        <v>88</v>
      </c>
    </row>
    <row r="237" spans="1:5" ht="12.75">
      <c r="A237" t="s">
        <v>195</v>
      </c>
      <c r="B237">
        <v>64</v>
      </c>
      <c r="C237">
        <v>75</v>
      </c>
      <c r="D237">
        <v>83</v>
      </c>
      <c r="E237">
        <v>86</v>
      </c>
    </row>
    <row r="238" spans="1:5" ht="12.75">
      <c r="A238" t="s">
        <v>17</v>
      </c>
      <c r="B238">
        <v>63</v>
      </c>
      <c r="C238">
        <v>74</v>
      </c>
      <c r="D238">
        <v>82</v>
      </c>
      <c r="E238">
        <v>85</v>
      </c>
    </row>
    <row r="239" spans="1:5" ht="12.75">
      <c r="A239" t="s">
        <v>196</v>
      </c>
      <c r="B239">
        <v>62</v>
      </c>
      <c r="C239">
        <v>73</v>
      </c>
      <c r="D239">
        <v>81</v>
      </c>
      <c r="E239">
        <v>84</v>
      </c>
    </row>
    <row r="240" spans="1:5" ht="12.75">
      <c r="A240" t="s">
        <v>18</v>
      </c>
      <c r="B240">
        <v>61</v>
      </c>
      <c r="C240">
        <v>72</v>
      </c>
      <c r="D240">
        <v>79</v>
      </c>
      <c r="E240">
        <v>82</v>
      </c>
    </row>
    <row r="241" spans="1:5" ht="12.75">
      <c r="A241" t="s">
        <v>198</v>
      </c>
      <c r="B241">
        <v>60</v>
      </c>
      <c r="C241">
        <v>71</v>
      </c>
      <c r="D241">
        <v>78</v>
      </c>
      <c r="E241">
        <v>81</v>
      </c>
    </row>
    <row r="242" spans="1:5" ht="12.75">
      <c r="A242" t="s">
        <v>19</v>
      </c>
      <c r="B242">
        <v>66</v>
      </c>
      <c r="C242">
        <v>77</v>
      </c>
      <c r="D242">
        <v>85</v>
      </c>
      <c r="E242">
        <v>89</v>
      </c>
    </row>
    <row r="243" spans="1:5" ht="12.75">
      <c r="A243" t="s">
        <v>20</v>
      </c>
      <c r="B243">
        <v>64</v>
      </c>
      <c r="C243">
        <v>75</v>
      </c>
      <c r="D243">
        <v>83</v>
      </c>
      <c r="E243">
        <v>85</v>
      </c>
    </row>
    <row r="244" spans="1:5" ht="12.75">
      <c r="A244" t="s">
        <v>21</v>
      </c>
      <c r="B244">
        <v>63</v>
      </c>
      <c r="C244">
        <v>73</v>
      </c>
      <c r="D244">
        <v>80</v>
      </c>
      <c r="E244">
        <v>83</v>
      </c>
    </row>
    <row r="245" spans="1:5" ht="12.75">
      <c r="A245" t="s">
        <v>11</v>
      </c>
      <c r="B245">
        <v>68</v>
      </c>
      <c r="C245">
        <v>79</v>
      </c>
      <c r="D245">
        <v>86</v>
      </c>
      <c r="E245">
        <v>89</v>
      </c>
    </row>
    <row r="246" spans="1:5" ht="12.75">
      <c r="A246" t="s">
        <v>22</v>
      </c>
      <c r="B246">
        <v>30</v>
      </c>
      <c r="C246">
        <v>58</v>
      </c>
      <c r="D246">
        <v>71</v>
      </c>
      <c r="E246">
        <v>78</v>
      </c>
    </row>
    <row r="247" spans="1:5" ht="12.75">
      <c r="A247" t="s">
        <v>23</v>
      </c>
      <c r="B247">
        <v>48</v>
      </c>
      <c r="C247">
        <v>67</v>
      </c>
      <c r="D247">
        <v>77</v>
      </c>
      <c r="E247">
        <v>83</v>
      </c>
    </row>
    <row r="249" spans="2:6" ht="12.75">
      <c r="B249" t="s">
        <v>28</v>
      </c>
      <c r="C249" t="s">
        <v>29</v>
      </c>
      <c r="D249" t="s">
        <v>30</v>
      </c>
      <c r="E249" t="s">
        <v>31</v>
      </c>
      <c r="F249" t="s">
        <v>165</v>
      </c>
    </row>
    <row r="250" spans="1:5" ht="12.75">
      <c r="A250" t="s">
        <v>24</v>
      </c>
      <c r="B250" s="2">
        <f aca="true" t="shared" si="11" ref="B250:E265">(B228+B272)/2</f>
        <v>77</v>
      </c>
      <c r="C250" s="2">
        <f t="shared" si="11"/>
        <v>86</v>
      </c>
      <c r="D250" s="2">
        <f>(D228+D272)/2</f>
        <v>91</v>
      </c>
      <c r="E250" s="2">
        <f>(E228+E272)/2</f>
        <v>94</v>
      </c>
    </row>
    <row r="251" spans="1:5" ht="12.75">
      <c r="A251" t="s">
        <v>25</v>
      </c>
      <c r="B251" s="2">
        <f t="shared" si="11"/>
        <v>75</v>
      </c>
      <c r="C251" s="2">
        <f t="shared" si="11"/>
        <v>84</v>
      </c>
      <c r="D251" s="2">
        <f t="shared" si="11"/>
        <v>89</v>
      </c>
      <c r="E251" s="2">
        <f t="shared" si="11"/>
        <v>91.5</v>
      </c>
    </row>
    <row r="252" spans="1:5" ht="12.75">
      <c r="A252" t="s">
        <v>13</v>
      </c>
      <c r="B252" s="2">
        <f t="shared" si="11"/>
        <v>69.5</v>
      </c>
      <c r="C252" s="2">
        <f t="shared" si="11"/>
        <v>79.5</v>
      </c>
      <c r="D252" s="2">
        <f t="shared" si="11"/>
        <v>86.5</v>
      </c>
      <c r="E252" s="2">
        <f t="shared" si="11"/>
        <v>90</v>
      </c>
    </row>
    <row r="253" spans="1:5" ht="12.75">
      <c r="A253" t="s">
        <v>193</v>
      </c>
      <c r="B253" s="2">
        <f t="shared" si="11"/>
        <v>67.5</v>
      </c>
      <c r="C253" s="2">
        <f t="shared" si="11"/>
        <v>77.5</v>
      </c>
      <c r="D253" s="2">
        <f t="shared" si="11"/>
        <v>84.5</v>
      </c>
      <c r="E253" s="2">
        <f t="shared" si="11"/>
        <v>87.5</v>
      </c>
    </row>
    <row r="254" spans="1:5" ht="12.75">
      <c r="A254" t="s">
        <v>14</v>
      </c>
      <c r="B254" s="2">
        <f t="shared" si="11"/>
        <v>67.5</v>
      </c>
      <c r="C254" s="2">
        <f t="shared" si="11"/>
        <v>77</v>
      </c>
      <c r="D254" s="2">
        <f t="shared" si="11"/>
        <v>83</v>
      </c>
      <c r="E254" s="2">
        <f t="shared" si="11"/>
        <v>87</v>
      </c>
    </row>
    <row r="255" spans="1:5" ht="12.75">
      <c r="A255" t="s">
        <v>194</v>
      </c>
      <c r="B255" s="2">
        <f t="shared" si="11"/>
        <v>66.5</v>
      </c>
      <c r="C255" s="2">
        <f t="shared" si="11"/>
        <v>76</v>
      </c>
      <c r="D255" s="2">
        <f t="shared" si="11"/>
        <v>82</v>
      </c>
      <c r="E255" s="2">
        <f t="shared" si="11"/>
        <v>86</v>
      </c>
    </row>
    <row r="256" spans="1:5" ht="12.75">
      <c r="A256" t="s">
        <v>15</v>
      </c>
      <c r="B256" s="2">
        <f t="shared" si="11"/>
        <v>64</v>
      </c>
      <c r="C256" s="2">
        <f t="shared" si="11"/>
        <v>72.5</v>
      </c>
      <c r="D256" s="2">
        <f t="shared" si="11"/>
        <v>79</v>
      </c>
      <c r="E256" s="2">
        <f t="shared" si="11"/>
        <v>81.5</v>
      </c>
    </row>
    <row r="257" spans="1:5" ht="12.75">
      <c r="A257" t="s">
        <v>197</v>
      </c>
      <c r="B257" s="2">
        <f t="shared" si="11"/>
        <v>63</v>
      </c>
      <c r="C257" s="2">
        <f t="shared" si="11"/>
        <v>71.5</v>
      </c>
      <c r="D257" s="2">
        <f t="shared" si="11"/>
        <v>78</v>
      </c>
      <c r="E257" s="2">
        <f t="shared" si="11"/>
        <v>80.5</v>
      </c>
    </row>
    <row r="258" spans="1:5" ht="12.75">
      <c r="A258" t="s">
        <v>16</v>
      </c>
      <c r="B258" s="2">
        <f t="shared" si="11"/>
        <v>64</v>
      </c>
      <c r="C258" s="2">
        <f t="shared" si="11"/>
        <v>75.5</v>
      </c>
      <c r="D258" s="2">
        <f t="shared" si="11"/>
        <v>83.5</v>
      </c>
      <c r="E258" s="2">
        <f t="shared" si="11"/>
        <v>87.5</v>
      </c>
    </row>
    <row r="259" spans="1:5" ht="12.75">
      <c r="A259" t="s">
        <v>195</v>
      </c>
      <c r="B259" s="2">
        <f t="shared" si="11"/>
        <v>62</v>
      </c>
      <c r="C259" s="2">
        <f t="shared" si="11"/>
        <v>73.5</v>
      </c>
      <c r="D259" s="2">
        <f t="shared" si="11"/>
        <v>81.5</v>
      </c>
      <c r="E259" s="2">
        <f t="shared" si="11"/>
        <v>85</v>
      </c>
    </row>
    <row r="260" spans="1:5" ht="12.75">
      <c r="A260" t="s">
        <v>17</v>
      </c>
      <c r="B260" s="2">
        <f t="shared" si="11"/>
        <v>62</v>
      </c>
      <c r="C260" s="2">
        <f t="shared" si="11"/>
        <v>73.5</v>
      </c>
      <c r="D260" s="2">
        <f t="shared" si="11"/>
        <v>81.5</v>
      </c>
      <c r="E260" s="2">
        <f t="shared" si="11"/>
        <v>84.5</v>
      </c>
    </row>
    <row r="261" spans="1:5" ht="12.75">
      <c r="A261" t="s">
        <v>196</v>
      </c>
      <c r="B261" s="2">
        <f t="shared" si="11"/>
        <v>61</v>
      </c>
      <c r="C261" s="2">
        <f t="shared" si="11"/>
        <v>72.5</v>
      </c>
      <c r="D261" s="2">
        <f t="shared" si="11"/>
        <v>80.5</v>
      </c>
      <c r="E261" s="2">
        <f t="shared" si="11"/>
        <v>83.5</v>
      </c>
    </row>
    <row r="262" spans="1:5" ht="12.75">
      <c r="A262" t="s">
        <v>18</v>
      </c>
      <c r="B262" s="2">
        <f t="shared" si="11"/>
        <v>60</v>
      </c>
      <c r="C262" s="2">
        <f t="shared" si="11"/>
        <v>71</v>
      </c>
      <c r="D262" s="2">
        <f t="shared" si="11"/>
        <v>78.5</v>
      </c>
      <c r="E262" s="2">
        <f t="shared" si="11"/>
        <v>81.5</v>
      </c>
    </row>
    <row r="263" spans="1:5" ht="12.75">
      <c r="A263" t="s">
        <v>198</v>
      </c>
      <c r="B263" s="2">
        <f t="shared" si="11"/>
        <v>59</v>
      </c>
      <c r="C263" s="2">
        <f t="shared" si="11"/>
        <v>70</v>
      </c>
      <c r="D263" s="2">
        <f t="shared" si="11"/>
        <v>77.5</v>
      </c>
      <c r="E263" s="2">
        <f t="shared" si="11"/>
        <v>80.5</v>
      </c>
    </row>
    <row r="264" spans="1:5" ht="12.75">
      <c r="A264" t="s">
        <v>19</v>
      </c>
      <c r="B264" s="2">
        <f t="shared" si="11"/>
        <v>62</v>
      </c>
      <c r="C264" s="2">
        <f t="shared" si="11"/>
        <v>74.5</v>
      </c>
      <c r="D264" s="2">
        <f t="shared" si="11"/>
        <v>83</v>
      </c>
      <c r="E264" s="2">
        <f t="shared" si="11"/>
        <v>87</v>
      </c>
    </row>
    <row r="265" spans="1:5" ht="12.75">
      <c r="A265" t="s">
        <v>20</v>
      </c>
      <c r="B265" s="2">
        <f t="shared" si="11"/>
        <v>59.5</v>
      </c>
      <c r="C265" s="2">
        <f t="shared" si="11"/>
        <v>72</v>
      </c>
      <c r="D265" s="2">
        <f t="shared" si="11"/>
        <v>80.5</v>
      </c>
      <c r="E265" s="2">
        <f t="shared" si="11"/>
        <v>84</v>
      </c>
    </row>
    <row r="266" spans="1:5" ht="12.75">
      <c r="A266" t="s">
        <v>21</v>
      </c>
      <c r="B266" s="2">
        <f aca="true" t="shared" si="12" ref="B266:E269">(B244+B288)/2</f>
        <v>57</v>
      </c>
      <c r="C266" s="2">
        <f t="shared" si="12"/>
        <v>70</v>
      </c>
      <c r="D266" s="2">
        <f t="shared" si="12"/>
        <v>78</v>
      </c>
      <c r="E266" s="2">
        <f t="shared" si="12"/>
        <v>81.5</v>
      </c>
    </row>
    <row r="267" spans="1:5" ht="12.75">
      <c r="A267" t="s">
        <v>11</v>
      </c>
      <c r="B267" s="2">
        <f t="shared" si="12"/>
        <v>53.5</v>
      </c>
      <c r="C267" s="2">
        <f t="shared" si="12"/>
        <v>70</v>
      </c>
      <c r="D267" s="2">
        <f t="shared" si="12"/>
        <v>80</v>
      </c>
      <c r="E267" s="2">
        <f t="shared" si="12"/>
        <v>84.5</v>
      </c>
    </row>
    <row r="268" spans="1:5" ht="12.75">
      <c r="A268" t="s">
        <v>22</v>
      </c>
      <c r="B268" s="2">
        <f t="shared" si="12"/>
        <v>30</v>
      </c>
      <c r="C268" s="2">
        <f t="shared" si="12"/>
        <v>58</v>
      </c>
      <c r="D268" s="2">
        <f t="shared" si="12"/>
        <v>71</v>
      </c>
      <c r="E268" s="2">
        <f t="shared" si="12"/>
        <v>78</v>
      </c>
    </row>
    <row r="269" spans="1:5" ht="12.75">
      <c r="A269" t="s">
        <v>23</v>
      </c>
      <c r="B269" s="2">
        <f t="shared" si="12"/>
        <v>39</v>
      </c>
      <c r="C269" s="2">
        <f t="shared" si="12"/>
        <v>62.5</v>
      </c>
      <c r="D269" s="2">
        <f t="shared" si="12"/>
        <v>74.5</v>
      </c>
      <c r="E269" s="2">
        <f t="shared" si="12"/>
        <v>81</v>
      </c>
    </row>
    <row r="271" spans="2:6" ht="12.75">
      <c r="B271" t="s">
        <v>28</v>
      </c>
      <c r="C271" t="s">
        <v>29</v>
      </c>
      <c r="D271" t="s">
        <v>30</v>
      </c>
      <c r="E271" t="s">
        <v>31</v>
      </c>
      <c r="F271" t="s">
        <v>27</v>
      </c>
    </row>
    <row r="272" spans="1:5" ht="12.75">
      <c r="A272" t="s">
        <v>24</v>
      </c>
      <c r="B272">
        <v>77</v>
      </c>
      <c r="C272">
        <v>86</v>
      </c>
      <c r="D272">
        <v>91</v>
      </c>
      <c r="E272">
        <v>94</v>
      </c>
    </row>
    <row r="273" spans="1:5" ht="12.75">
      <c r="A273" t="s">
        <v>25</v>
      </c>
      <c r="B273">
        <v>74</v>
      </c>
      <c r="C273">
        <v>83</v>
      </c>
      <c r="D273">
        <v>88</v>
      </c>
      <c r="E273">
        <v>90</v>
      </c>
    </row>
    <row r="274" spans="1:5" ht="12.75">
      <c r="A274" t="s">
        <v>13</v>
      </c>
      <c r="B274">
        <v>67</v>
      </c>
      <c r="C274">
        <v>78</v>
      </c>
      <c r="D274">
        <v>85</v>
      </c>
      <c r="E274">
        <v>89</v>
      </c>
    </row>
    <row r="275" spans="1:5" ht="12.75">
      <c r="A275" t="s">
        <v>193</v>
      </c>
      <c r="B275">
        <v>64</v>
      </c>
      <c r="C275">
        <v>75</v>
      </c>
      <c r="D275">
        <v>82</v>
      </c>
      <c r="E275">
        <v>85</v>
      </c>
    </row>
    <row r="276" spans="1:5" ht="12.75">
      <c r="A276" t="s">
        <v>14</v>
      </c>
      <c r="B276">
        <v>65</v>
      </c>
      <c r="C276">
        <v>75</v>
      </c>
      <c r="D276">
        <v>82</v>
      </c>
      <c r="E276">
        <v>86</v>
      </c>
    </row>
    <row r="277" spans="1:5" ht="12.75">
      <c r="A277" t="s">
        <v>194</v>
      </c>
      <c r="B277">
        <v>64</v>
      </c>
      <c r="C277">
        <v>74</v>
      </c>
      <c r="D277">
        <v>81</v>
      </c>
      <c r="E277">
        <v>85</v>
      </c>
    </row>
    <row r="278" spans="1:5" ht="12.75">
      <c r="A278" t="s">
        <v>15</v>
      </c>
      <c r="B278">
        <v>62</v>
      </c>
      <c r="C278">
        <v>71</v>
      </c>
      <c r="D278">
        <v>78</v>
      </c>
      <c r="E278">
        <v>81</v>
      </c>
    </row>
    <row r="279" spans="1:5" ht="12.75">
      <c r="A279" t="s">
        <v>197</v>
      </c>
      <c r="B279">
        <v>61</v>
      </c>
      <c r="C279">
        <v>70</v>
      </c>
      <c r="D279">
        <v>77</v>
      </c>
      <c r="E279">
        <v>80</v>
      </c>
    </row>
    <row r="280" spans="1:5" ht="12.75">
      <c r="A280" t="s">
        <v>16</v>
      </c>
      <c r="B280">
        <v>63</v>
      </c>
      <c r="C280">
        <v>75</v>
      </c>
      <c r="D280">
        <v>83</v>
      </c>
      <c r="E280">
        <v>87</v>
      </c>
    </row>
    <row r="281" spans="1:5" ht="12.75">
      <c r="A281" t="s">
        <v>195</v>
      </c>
      <c r="B281">
        <v>60</v>
      </c>
      <c r="C281">
        <v>72</v>
      </c>
      <c r="D281">
        <v>80</v>
      </c>
      <c r="E281">
        <v>84</v>
      </c>
    </row>
    <row r="282" spans="1:5" ht="12.75">
      <c r="A282" t="s">
        <v>17</v>
      </c>
      <c r="B282">
        <v>61</v>
      </c>
      <c r="C282">
        <v>73</v>
      </c>
      <c r="D282">
        <v>81</v>
      </c>
      <c r="E282">
        <v>84</v>
      </c>
    </row>
    <row r="283" spans="1:5" ht="12.75">
      <c r="A283" t="s">
        <v>196</v>
      </c>
      <c r="B283">
        <v>60</v>
      </c>
      <c r="C283">
        <v>72</v>
      </c>
      <c r="D283">
        <v>80</v>
      </c>
      <c r="E283">
        <v>83</v>
      </c>
    </row>
    <row r="284" spans="1:5" ht="12.75">
      <c r="A284" t="s">
        <v>18</v>
      </c>
      <c r="B284">
        <v>59</v>
      </c>
      <c r="C284">
        <v>70</v>
      </c>
      <c r="D284">
        <v>78</v>
      </c>
      <c r="E284">
        <v>81</v>
      </c>
    </row>
    <row r="285" spans="1:5" ht="12.75">
      <c r="A285" t="s">
        <v>198</v>
      </c>
      <c r="B285">
        <v>58</v>
      </c>
      <c r="C285">
        <v>69</v>
      </c>
      <c r="D285">
        <v>77</v>
      </c>
      <c r="E285">
        <v>80</v>
      </c>
    </row>
    <row r="286" spans="1:5" ht="12.75">
      <c r="A286" t="s">
        <v>19</v>
      </c>
      <c r="B286">
        <v>58</v>
      </c>
      <c r="C286">
        <v>72</v>
      </c>
      <c r="D286">
        <v>81</v>
      </c>
      <c r="E286">
        <v>85</v>
      </c>
    </row>
    <row r="287" spans="1:5" ht="12.75">
      <c r="A287" t="s">
        <v>20</v>
      </c>
      <c r="B287">
        <v>55</v>
      </c>
      <c r="C287">
        <v>69</v>
      </c>
      <c r="D287">
        <v>78</v>
      </c>
      <c r="E287">
        <v>83</v>
      </c>
    </row>
    <row r="288" spans="1:5" ht="12.75">
      <c r="A288" t="s">
        <v>21</v>
      </c>
      <c r="B288">
        <v>51</v>
      </c>
      <c r="C288">
        <v>67</v>
      </c>
      <c r="D288">
        <v>76</v>
      </c>
      <c r="E288">
        <v>80</v>
      </c>
    </row>
    <row r="289" spans="1:5" ht="12.75">
      <c r="A289" t="s">
        <v>11</v>
      </c>
      <c r="B289">
        <v>39</v>
      </c>
      <c r="C289">
        <v>61</v>
      </c>
      <c r="D289">
        <v>74</v>
      </c>
      <c r="E289">
        <v>80</v>
      </c>
    </row>
    <row r="290" spans="1:5" ht="12.75">
      <c r="A290" t="s">
        <v>22</v>
      </c>
      <c r="B290">
        <v>30</v>
      </c>
      <c r="C290">
        <v>58</v>
      </c>
      <c r="D290">
        <v>71</v>
      </c>
      <c r="E290">
        <v>78</v>
      </c>
    </row>
    <row r="291" spans="1:5" ht="12.75">
      <c r="A291" t="s">
        <v>23</v>
      </c>
      <c r="B291">
        <v>30</v>
      </c>
      <c r="C291">
        <v>58</v>
      </c>
      <c r="D291">
        <v>72</v>
      </c>
      <c r="E291">
        <v>79</v>
      </c>
    </row>
    <row r="294" spans="1:2" ht="12.75">
      <c r="A294" s="1" t="s">
        <v>207</v>
      </c>
      <c r="B294">
        <v>2</v>
      </c>
    </row>
    <row r="295" ht="12.75">
      <c r="A295" s="6" t="s">
        <v>208</v>
      </c>
    </row>
  </sheetData>
  <dataValidations count="11">
    <dataValidation type="list" allowBlank="1" showInputMessage="1" showErrorMessage="1" sqref="B19">
      <formula1>A$93:A$95</formula1>
    </dataValidation>
    <dataValidation type="list" allowBlank="1" showInputMessage="1" showErrorMessage="1" sqref="B12 F12 D12 H12">
      <formula1>$A$68:$A$69</formula1>
    </dataValidation>
    <dataValidation type="list" allowBlank="1" showInputMessage="1" showErrorMessage="1" sqref="B10 D10 F10 H10">
      <formula1>$A$62:$A$64</formula1>
    </dataValidation>
    <dataValidation type="list" allowBlank="1" showInputMessage="1" showErrorMessage="1" sqref="N20:N27">
      <formula1>$A$93:$A$94</formula1>
    </dataValidation>
    <dataValidation type="list" allowBlank="1" showInputMessage="1" showErrorMessage="1" sqref="D19 F19 H19">
      <formula1>$A$93:$A$95</formula1>
    </dataValidation>
    <dataValidation type="list" allowBlank="1" showInputMessage="1" showErrorMessage="1" sqref="B4 D4 F4 H4">
      <formula1>$A$109:$A$223</formula1>
    </dataValidation>
    <dataValidation type="list" allowBlank="1" showInputMessage="1" showErrorMessage="1" sqref="H7:H8 B7 E13:E16 F7:F8 F13 F15 D7">
      <formula1>$A$98:$A$99</formula1>
    </dataValidation>
    <dataValidation type="list" allowBlank="1" showInputMessage="1" showErrorMessage="1" sqref="B9 D9 F9 H9 H13 H15 G13:G16">
      <formula1>$A$102:$A$104</formula1>
    </dataValidation>
    <dataValidation type="list" allowBlank="1" showInputMessage="1" showErrorMessage="1" sqref="B18 D18 F18 H18 P20:P27">
      <formula1>$E$98:$E$101</formula1>
    </dataValidation>
    <dataValidation type="list" allowBlank="1" showInputMessage="1" showErrorMessage="1" sqref="F16 B16 D16 H16">
      <formula1>$A$228:$A$247</formula1>
    </dataValidation>
    <dataValidation type="list" allowBlank="1" showInputMessage="1" showErrorMessage="1" sqref="R20:R27">
      <formula1>$H$72:$H$74</formula1>
    </dataValidation>
  </dataValidations>
  <printOptions/>
  <pageMargins left="0.37" right="0.33" top="1" bottom="1" header="0.5" footer="0.5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Agronomy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Lory</dc:creator>
  <cp:keywords/>
  <dc:description/>
  <cp:lastModifiedBy>LoryJ</cp:lastModifiedBy>
  <cp:lastPrinted>2002-10-27T16:36:12Z</cp:lastPrinted>
  <dcterms:created xsi:type="dcterms:W3CDTF">2000-10-24T12:31:49Z</dcterms:created>
  <dcterms:modified xsi:type="dcterms:W3CDTF">2005-04-21T16:03:05Z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