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480" yWindow="90" windowWidth="21075" windowHeight="10995"/>
  </bookViews>
  <sheets>
    <sheet name="Introduction" sheetId="1" r:id="rId1"/>
    <sheet name="Bin Drying Corn" sheetId="2" r:id="rId2"/>
    <sheet name="Low Temp Bin Drying Corn" sheetId="4" r:id="rId3"/>
    <sheet name="Bin Drying Soybeans" sheetId="5" r:id="rId4"/>
    <sheet name="Low Temp Bin Drying Soybeans" sheetId="6" r:id="rId5"/>
    <sheet name="Sheet3" sheetId="3" r:id="rId6"/>
  </sheets>
  <calcPr calcId="145621"/>
</workbook>
</file>

<file path=xl/calcChain.xml><?xml version="1.0" encoding="utf-8"?>
<calcChain xmlns="http://schemas.openxmlformats.org/spreadsheetml/2006/main">
  <c r="U61" i="6" l="1"/>
  <c r="U54" i="6"/>
  <c r="R89" i="6"/>
  <c r="S91" i="6" s="1"/>
  <c r="L21" i="6" s="1"/>
  <c r="T73" i="6"/>
  <c r="T69" i="6"/>
  <c r="U70" i="6" s="1"/>
  <c r="V64" i="6"/>
  <c r="AC60" i="6"/>
  <c r="AC73" i="6" s="1"/>
  <c r="AI62" i="6" s="1"/>
  <c r="AW59" i="6"/>
  <c r="AW72" i="6" s="1"/>
  <c r="AC59" i="6"/>
  <c r="AC72" i="6" s="1"/>
  <c r="U59" i="6"/>
  <c r="U57" i="6"/>
  <c r="E34" i="6" s="1"/>
  <c r="AW60" i="6"/>
  <c r="AW73" i="6" s="1"/>
  <c r="BC62" i="6" s="1"/>
  <c r="U52" i="6"/>
  <c r="U50" i="6"/>
  <c r="D29" i="6"/>
  <c r="K8" i="6"/>
  <c r="K6" i="6"/>
  <c r="U61" i="5"/>
  <c r="E31" i="5" s="1"/>
  <c r="U54" i="5"/>
  <c r="R89" i="5"/>
  <c r="S91" i="5" s="1"/>
  <c r="L21" i="5" s="1"/>
  <c r="AC73" i="5"/>
  <c r="AI62" i="5" s="1"/>
  <c r="T73" i="5"/>
  <c r="T69" i="5"/>
  <c r="U70" i="5" s="1"/>
  <c r="V64" i="5"/>
  <c r="AC60" i="5"/>
  <c r="AW59" i="5"/>
  <c r="AW72" i="5" s="1"/>
  <c r="AC59" i="5"/>
  <c r="AC72" i="5" s="1"/>
  <c r="U59" i="5"/>
  <c r="U57" i="5"/>
  <c r="U52" i="5"/>
  <c r="U50" i="5"/>
  <c r="G32" i="5"/>
  <c r="K8" i="5"/>
  <c r="K6" i="5"/>
  <c r="BQ59" i="4"/>
  <c r="BQ72" i="4"/>
  <c r="D29" i="4"/>
  <c r="R89" i="4"/>
  <c r="S91" i="4" s="1"/>
  <c r="L21" i="4" s="1"/>
  <c r="T73" i="4"/>
  <c r="AC72" i="4"/>
  <c r="AC63" i="4" s="1"/>
  <c r="T69" i="4"/>
  <c r="U70" i="4" s="1"/>
  <c r="V64" i="4"/>
  <c r="AI61" i="4"/>
  <c r="AO65" i="4" s="1"/>
  <c r="AI64" i="4" s="1"/>
  <c r="AC60" i="4"/>
  <c r="AC73" i="4" s="1"/>
  <c r="AI62" i="4" s="1"/>
  <c r="AW59" i="4"/>
  <c r="AW72" i="4" s="1"/>
  <c r="AC59" i="4"/>
  <c r="U59" i="4"/>
  <c r="U57" i="4"/>
  <c r="U61" i="4" s="1"/>
  <c r="E34" i="4" s="1"/>
  <c r="U54" i="4"/>
  <c r="AW60" i="4" s="1"/>
  <c r="AW73" i="4" s="1"/>
  <c r="BC62" i="4" s="1"/>
  <c r="U52" i="4"/>
  <c r="U50" i="4"/>
  <c r="K8" i="4"/>
  <c r="K6" i="4"/>
  <c r="V64" i="2"/>
  <c r="S91" i="2"/>
  <c r="U71" i="6" l="1"/>
  <c r="U74" i="6" s="1"/>
  <c r="T76" i="6" s="1"/>
  <c r="AI61" i="6"/>
  <c r="AC63" i="6"/>
  <c r="AW63" i="6"/>
  <c r="BC61" i="6"/>
  <c r="BQ59" i="6"/>
  <c r="BQ72" i="6" s="1"/>
  <c r="AW60" i="5"/>
  <c r="AW73" i="5" s="1"/>
  <c r="BC62" i="5" s="1"/>
  <c r="U71" i="5"/>
  <c r="U74" i="5" s="1"/>
  <c r="T76" i="5" s="1"/>
  <c r="AC63" i="5"/>
  <c r="AI61" i="5"/>
  <c r="AW63" i="5"/>
  <c r="BC61" i="5"/>
  <c r="BQ63" i="4"/>
  <c r="BW61" i="4"/>
  <c r="U71" i="4"/>
  <c r="U74" i="4"/>
  <c r="T76" i="4" s="1"/>
  <c r="AW63" i="4"/>
  <c r="BC61" i="4"/>
  <c r="AI65" i="4"/>
  <c r="AI67" i="4"/>
  <c r="AI70" i="4" s="1"/>
  <c r="AI76" i="4" s="1"/>
  <c r="AC78" i="4" s="1"/>
  <c r="AC68" i="4" s="1"/>
  <c r="AI72" i="4"/>
  <c r="AO64" i="4"/>
  <c r="L21" i="2"/>
  <c r="R89" i="2"/>
  <c r="T76" i="2"/>
  <c r="U74" i="2"/>
  <c r="T73" i="2"/>
  <c r="U71" i="2"/>
  <c r="U70" i="2"/>
  <c r="T69" i="2"/>
  <c r="G32" i="2"/>
  <c r="U59" i="2"/>
  <c r="U57" i="2"/>
  <c r="AC59" i="2"/>
  <c r="AC72" i="2" s="1"/>
  <c r="AC60" i="2"/>
  <c r="AC73" i="2" s="1"/>
  <c r="AI62" i="2" s="1"/>
  <c r="AW59" i="2"/>
  <c r="AW72" i="2" s="1"/>
  <c r="K6" i="2"/>
  <c r="K8" i="2"/>
  <c r="U52" i="2"/>
  <c r="U54" i="2" s="1"/>
  <c r="AW60" i="2" s="1"/>
  <c r="AW73" i="2" s="1"/>
  <c r="BC62" i="2" s="1"/>
  <c r="U50" i="2"/>
  <c r="AO65" i="6" l="1"/>
  <c r="AI64" i="6" s="1"/>
  <c r="AO64" i="6"/>
  <c r="BQ63" i="6"/>
  <c r="BW61" i="6"/>
  <c r="BI64" i="6"/>
  <c r="BI65" i="6"/>
  <c r="BC64" i="6" s="1"/>
  <c r="AO65" i="5"/>
  <c r="AI64" i="5" s="1"/>
  <c r="AO64" i="5"/>
  <c r="BI64" i="5"/>
  <c r="BI65" i="5"/>
  <c r="BC64" i="5" s="1"/>
  <c r="CC65" i="4"/>
  <c r="BW64" i="4" s="1"/>
  <c r="BW65" i="4" s="1"/>
  <c r="CC64" i="4"/>
  <c r="AO73" i="4"/>
  <c r="AI73" i="4"/>
  <c r="AC77" i="4" s="1"/>
  <c r="AC67" i="4" s="1"/>
  <c r="AC76" i="4"/>
  <c r="AC66" i="4" s="1"/>
  <c r="AI71" i="4"/>
  <c r="BI64" i="4"/>
  <c r="BI65" i="4"/>
  <c r="BC64" i="4" s="1"/>
  <c r="AI75" i="4"/>
  <c r="AC79" i="4" s="1"/>
  <c r="AC69" i="4" s="1"/>
  <c r="U61" i="2"/>
  <c r="E31" i="2" s="1"/>
  <c r="BC61" i="2"/>
  <c r="BI64" i="2" s="1"/>
  <c r="AW63" i="2"/>
  <c r="AI61" i="2"/>
  <c r="AO65" i="2" s="1"/>
  <c r="AI64" i="2" s="1"/>
  <c r="AC63" i="2"/>
  <c r="BI65" i="2"/>
  <c r="BC64" i="2" s="1"/>
  <c r="BC72" i="6" l="1"/>
  <c r="BC67" i="6"/>
  <c r="BC70" i="6" s="1"/>
  <c r="BC65" i="6"/>
  <c r="CC65" i="6"/>
  <c r="BW64" i="6" s="1"/>
  <c r="BW65" i="6" s="1"/>
  <c r="CC64" i="6"/>
  <c r="AI72" i="6"/>
  <c r="AI67" i="6"/>
  <c r="AI70" i="6" s="1"/>
  <c r="AI65" i="6"/>
  <c r="AI65" i="5"/>
  <c r="AI67" i="5"/>
  <c r="AI70" i="5" s="1"/>
  <c r="AI72" i="5"/>
  <c r="BC67" i="5"/>
  <c r="BC70" i="5" s="1"/>
  <c r="BC72" i="5"/>
  <c r="BC65" i="5"/>
  <c r="AO74" i="4"/>
  <c r="AO75" i="4"/>
  <c r="AI74" i="4" s="1"/>
  <c r="AC75" i="4" s="1"/>
  <c r="AC64" i="4" s="1"/>
  <c r="AO76" i="4"/>
  <c r="BC65" i="4"/>
  <c r="BC67" i="4"/>
  <c r="BC70" i="4" s="1"/>
  <c r="BC72" i="4"/>
  <c r="AO64" i="2"/>
  <c r="BC72" i="2"/>
  <c r="BC65" i="2"/>
  <c r="BC67" i="2"/>
  <c r="BC70" i="2" s="1"/>
  <c r="AI72" i="2"/>
  <c r="AI65" i="2"/>
  <c r="AI67" i="2"/>
  <c r="AI70" i="2" s="1"/>
  <c r="BC73" i="6" l="1"/>
  <c r="AW77" i="6" s="1"/>
  <c r="AW67" i="6" s="1"/>
  <c r="BI73" i="6"/>
  <c r="AC76" i="6"/>
  <c r="AC66" i="6" s="1"/>
  <c r="AI71" i="6"/>
  <c r="AI75" i="6"/>
  <c r="AC79" i="6" s="1"/>
  <c r="AC69" i="6" s="1"/>
  <c r="AI76" i="6"/>
  <c r="AC78" i="6" s="1"/>
  <c r="AC68" i="6" s="1"/>
  <c r="AO73" i="6"/>
  <c r="AI73" i="6"/>
  <c r="AC77" i="6" s="1"/>
  <c r="AC67" i="6" s="1"/>
  <c r="BC71" i="6"/>
  <c r="AW76" i="6"/>
  <c r="AW66" i="6" s="1"/>
  <c r="BC75" i="6"/>
  <c r="AW79" i="6" s="1"/>
  <c r="AW69" i="6" s="1"/>
  <c r="BC76" i="6"/>
  <c r="AW78" i="6" s="1"/>
  <c r="AW68" i="6" s="1"/>
  <c r="BI73" i="5"/>
  <c r="BC73" i="5"/>
  <c r="AW77" i="5" s="1"/>
  <c r="AW67" i="5" s="1"/>
  <c r="AW76" i="5"/>
  <c r="AW66" i="5" s="1"/>
  <c r="BC71" i="5"/>
  <c r="BC75" i="5"/>
  <c r="AW79" i="5" s="1"/>
  <c r="AW69" i="5" s="1"/>
  <c r="BC76" i="5"/>
  <c r="AW78" i="5" s="1"/>
  <c r="AW68" i="5" s="1"/>
  <c r="AO73" i="5"/>
  <c r="AI73" i="5"/>
  <c r="AC77" i="5" s="1"/>
  <c r="AC67" i="5" s="1"/>
  <c r="AI71" i="5"/>
  <c r="AC76" i="5"/>
  <c r="AC66" i="5" s="1"/>
  <c r="AI75" i="5"/>
  <c r="AC79" i="5" s="1"/>
  <c r="AC69" i="5" s="1"/>
  <c r="AI76" i="5"/>
  <c r="AC78" i="5" s="1"/>
  <c r="AC68" i="5" s="1"/>
  <c r="T79" i="5" s="1"/>
  <c r="S81" i="5" s="1"/>
  <c r="D18" i="4"/>
  <c r="BQ60" i="4"/>
  <c r="BQ73" i="4" s="1"/>
  <c r="BI73" i="4"/>
  <c r="BC73" i="4"/>
  <c r="AW77" i="4" s="1"/>
  <c r="AW67" i="4" s="1"/>
  <c r="AW76" i="4"/>
  <c r="AW66" i="4" s="1"/>
  <c r="BC71" i="4"/>
  <c r="BC75" i="4"/>
  <c r="AW79" i="4" s="1"/>
  <c r="AW69" i="4" s="1"/>
  <c r="BC76" i="4"/>
  <c r="AW78" i="4" s="1"/>
  <c r="AW68" i="4" s="1"/>
  <c r="AW76" i="2"/>
  <c r="AW66" i="2" s="1"/>
  <c r="BC71" i="2"/>
  <c r="BC75" i="2"/>
  <c r="AW79" i="2" s="1"/>
  <c r="AW69" i="2" s="1"/>
  <c r="BC76" i="2"/>
  <c r="AW78" i="2" s="1"/>
  <c r="AW68" i="2" s="1"/>
  <c r="BI73" i="2"/>
  <c r="BC73" i="2"/>
  <c r="AW77" i="2" s="1"/>
  <c r="AW67" i="2" s="1"/>
  <c r="AC76" i="2"/>
  <c r="AC66" i="2" s="1"/>
  <c r="AI71" i="2"/>
  <c r="AI76" i="2"/>
  <c r="AC78" i="2" s="1"/>
  <c r="AC68" i="2" s="1"/>
  <c r="T79" i="2" s="1"/>
  <c r="S81" i="2" s="1"/>
  <c r="AI75" i="2"/>
  <c r="AC79" i="2" s="1"/>
  <c r="AC69" i="2" s="1"/>
  <c r="AO73" i="2"/>
  <c r="AI73" i="2"/>
  <c r="AC77" i="2" s="1"/>
  <c r="AC67" i="2" s="1"/>
  <c r="AO76" i="6" l="1"/>
  <c r="AO74" i="6"/>
  <c r="AO75" i="6"/>
  <c r="AI74" i="6" s="1"/>
  <c r="AC75" i="6" s="1"/>
  <c r="AC64" i="6" s="1"/>
  <c r="BI74" i="6"/>
  <c r="BI75" i="6"/>
  <c r="BC74" i="6" s="1"/>
  <c r="AW75" i="6" s="1"/>
  <c r="AW64" i="6" s="1"/>
  <c r="BI76" i="6"/>
  <c r="K18" i="5"/>
  <c r="S82" i="5"/>
  <c r="K19" i="5" s="1"/>
  <c r="BI76" i="5"/>
  <c r="BI75" i="5"/>
  <c r="BC74" i="5" s="1"/>
  <c r="AW75" i="5" s="1"/>
  <c r="AW64" i="5" s="1"/>
  <c r="BI74" i="5"/>
  <c r="AO75" i="5"/>
  <c r="AI74" i="5" s="1"/>
  <c r="AC75" i="5" s="1"/>
  <c r="AC64" i="5" s="1"/>
  <c r="D18" i="5" s="1"/>
  <c r="AO76" i="5"/>
  <c r="AO74" i="5"/>
  <c r="BQ64" i="4"/>
  <c r="BW62" i="4"/>
  <c r="BI75" i="4"/>
  <c r="BC74" i="4" s="1"/>
  <c r="AW75" i="4" s="1"/>
  <c r="AW64" i="4" s="1"/>
  <c r="BI76" i="4"/>
  <c r="BI74" i="4"/>
  <c r="K18" i="2"/>
  <c r="S82" i="2"/>
  <c r="K19" i="2" s="1"/>
  <c r="BI76" i="2"/>
  <c r="BI75" i="2"/>
  <c r="BC74" i="2" s="1"/>
  <c r="AW75" i="2" s="1"/>
  <c r="AW64" i="2" s="1"/>
  <c r="BI74" i="2"/>
  <c r="AO75" i="2"/>
  <c r="AI74" i="2" s="1"/>
  <c r="AC75" i="2" s="1"/>
  <c r="AC64" i="2" s="1"/>
  <c r="D18" i="2" s="1"/>
  <c r="AO74" i="2"/>
  <c r="AO76" i="2"/>
  <c r="BQ60" i="6" l="1"/>
  <c r="BQ73" i="6" s="1"/>
  <c r="D18" i="6"/>
  <c r="CC69" i="4"/>
  <c r="BW67" i="4" s="1"/>
  <c r="CC68" i="4"/>
  <c r="BQ64" i="6" l="1"/>
  <c r="BW62" i="6"/>
  <c r="BW68" i="4"/>
  <c r="BW70" i="4"/>
  <c r="BQ77" i="4" s="1"/>
  <c r="BQ67" i="4" s="1"/>
  <c r="G35" i="4" s="1"/>
  <c r="CC68" i="6" l="1"/>
  <c r="CC69" i="6"/>
  <c r="BW67" i="6" s="1"/>
  <c r="BQ76" i="4"/>
  <c r="BQ66" i="4" s="1"/>
  <c r="T79" i="4" s="1"/>
  <c r="S81" i="4" s="1"/>
  <c r="BW71" i="4"/>
  <c r="BQ79" i="4" s="1"/>
  <c r="BQ69" i="4" s="1"/>
  <c r="BW69" i="4"/>
  <c r="BW72" i="4"/>
  <c r="BQ78" i="4" s="1"/>
  <c r="BQ68" i="4" s="1"/>
  <c r="BW70" i="6" l="1"/>
  <c r="BQ77" i="6" s="1"/>
  <c r="BQ67" i="6" s="1"/>
  <c r="G35" i="6" s="1"/>
  <c r="BW68" i="6"/>
  <c r="S82" i="4"/>
  <c r="K19" i="4" s="1"/>
  <c r="K18" i="4"/>
  <c r="BQ76" i="6" l="1"/>
  <c r="BQ66" i="6" s="1"/>
  <c r="T79" i="6" s="1"/>
  <c r="S81" i="6" s="1"/>
  <c r="BW69" i="6"/>
  <c r="BW71" i="6"/>
  <c r="BQ79" i="6" s="1"/>
  <c r="BQ69" i="6" s="1"/>
  <c r="BW72" i="6"/>
  <c r="BQ78" i="6" s="1"/>
  <c r="BQ68" i="6" s="1"/>
  <c r="K18" i="6" l="1"/>
  <c r="S82" i="6"/>
  <c r="K19" i="6" s="1"/>
</calcChain>
</file>

<file path=xl/sharedStrings.xml><?xml version="1.0" encoding="utf-8"?>
<sst xmlns="http://schemas.openxmlformats.org/spreadsheetml/2006/main" count="1233" uniqueCount="145">
  <si>
    <t>Bin Diameter</t>
  </si>
  <si>
    <t>Bin Height</t>
  </si>
  <si>
    <t>ft</t>
  </si>
  <si>
    <t>F</t>
  </si>
  <si>
    <t>Initial Moisture Content</t>
  </si>
  <si>
    <t>Temperature</t>
  </si>
  <si>
    <t>Initial Grain Conditions</t>
  </si>
  <si>
    <t>% w.b.</t>
  </si>
  <si>
    <t>Outside air conditions</t>
  </si>
  <si>
    <t>Relative Humidity</t>
  </si>
  <si>
    <t>%</t>
  </si>
  <si>
    <t>cfm</t>
  </si>
  <si>
    <t>cfm/bu</t>
  </si>
  <si>
    <t>Grain airflow rate based on depth of grain in bin</t>
  </si>
  <si>
    <t>Grain Moisture Content as Dry Basis</t>
  </si>
  <si>
    <t>% d.b.</t>
  </si>
  <si>
    <t>C</t>
  </si>
  <si>
    <t>Grain temperature in Celcius</t>
  </si>
  <si>
    <t>Equilibrium Relative Humidity</t>
  </si>
  <si>
    <t xml:space="preserve">for initial corn moisture content </t>
  </si>
  <si>
    <t>Bushels stored in bin</t>
  </si>
  <si>
    <t>bu</t>
  </si>
  <si>
    <t>Calculations are based on "Numercial Calculation of Psychrometric Properties in SI Units"</t>
  </si>
  <si>
    <t xml:space="preserve">    by Luther R. Wilhelm.  Trans of ASAE. 1976.  Pages 318-321; 325.</t>
  </si>
  <si>
    <r>
      <t xml:space="preserve">Limitations: Dry-bulb temperature must be greater than -40 </t>
    </r>
    <r>
      <rPr>
        <sz val="10"/>
        <rFont val="Arial"/>
        <family val="2"/>
      </rPr>
      <t>°</t>
    </r>
    <r>
      <rPr>
        <sz val="11"/>
        <color theme="1"/>
        <rFont val="Calibri"/>
        <family val="2"/>
        <scheme val="minor"/>
      </rPr>
      <t>F.</t>
    </r>
  </si>
  <si>
    <t>Input Parameters:</t>
  </si>
  <si>
    <t>P =</t>
  </si>
  <si>
    <t>kPa</t>
  </si>
  <si>
    <t>atmospheric pressure</t>
  </si>
  <si>
    <t>Dry-bulb Temperature</t>
  </si>
  <si>
    <r>
      <t>°</t>
    </r>
    <r>
      <rPr>
        <sz val="11"/>
        <color theme="1"/>
        <rFont val="Calibri"/>
        <family val="2"/>
        <scheme val="minor"/>
      </rPr>
      <t>F</t>
    </r>
  </si>
  <si>
    <t>Ra =</t>
  </si>
  <si>
    <t>J/g-K</t>
  </si>
  <si>
    <t>gas constant for air</t>
  </si>
  <si>
    <t>T =</t>
  </si>
  <si>
    <t>K</t>
  </si>
  <si>
    <t>dry-bulb temperture</t>
  </si>
  <si>
    <t>Output Parameters</t>
  </si>
  <si>
    <r>
      <t>φ</t>
    </r>
    <r>
      <rPr>
        <sz val="11"/>
        <color theme="1"/>
        <rFont val="Calibri"/>
        <family val="2"/>
        <scheme val="minor"/>
      </rPr>
      <t xml:space="preserve"> =</t>
    </r>
  </si>
  <si>
    <t>relative humidity</t>
  </si>
  <si>
    <t>ln(pws)</t>
  </si>
  <si>
    <t>Eq 1a &amp; 1b</t>
  </si>
  <si>
    <t>Dewpoint Temperature</t>
  </si>
  <si>
    <t>pws =</t>
  </si>
  <si>
    <t>saturation vapor pressure</t>
  </si>
  <si>
    <t>t &lt; 0</t>
  </si>
  <si>
    <t>Wet-bulb Temperature</t>
  </si>
  <si>
    <t>Ws =</t>
  </si>
  <si>
    <t>saturation humidity ratio</t>
  </si>
  <si>
    <t>t &gt; 0</t>
  </si>
  <si>
    <t>Humidity Ratio</t>
  </si>
  <si>
    <t>lbs water/lb dry air</t>
  </si>
  <si>
    <t>pw =</t>
  </si>
  <si>
    <t>vapor pressure at statepoint</t>
  </si>
  <si>
    <t>Specific Volume</t>
  </si>
  <si>
    <r>
      <t>ft</t>
    </r>
    <r>
      <rPr>
        <sz val="10"/>
        <rFont val="Arial"/>
        <family val="2"/>
      </rPr>
      <t>³</t>
    </r>
    <r>
      <rPr>
        <sz val="11"/>
        <color theme="1"/>
        <rFont val="Calibri"/>
        <family val="2"/>
        <scheme val="minor"/>
      </rPr>
      <t>/lb dry air</t>
    </r>
  </si>
  <si>
    <t>Enthalpy</t>
  </si>
  <si>
    <t>BTU/lb dry air</t>
  </si>
  <si>
    <t>W =</t>
  </si>
  <si>
    <t>humidity ratio at statepoint</t>
  </si>
  <si>
    <t>Calculated Properties</t>
  </si>
  <si>
    <r>
      <t>μ</t>
    </r>
    <r>
      <rPr>
        <sz val="11"/>
        <color theme="1"/>
        <rFont val="Calibri"/>
        <family val="2"/>
        <scheme val="minor"/>
      </rPr>
      <t xml:space="preserve"> =</t>
    </r>
  </si>
  <si>
    <t>degree of saturation</t>
  </si>
  <si>
    <r>
      <t>°</t>
    </r>
    <r>
      <rPr>
        <sz val="11"/>
        <color theme="1"/>
        <rFont val="Calibri"/>
        <family val="2"/>
        <scheme val="minor"/>
      </rPr>
      <t>C</t>
    </r>
  </si>
  <si>
    <t>vapor pressure</t>
  </si>
  <si>
    <t>ln(pw) =</t>
  </si>
  <si>
    <t>tdp =</t>
  </si>
  <si>
    <t>dewpoint temperature</t>
  </si>
  <si>
    <r>
      <t xml:space="preserve">  t &lt;= 0 </t>
    </r>
    <r>
      <rPr>
        <sz val="10"/>
        <rFont val="Arial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</si>
  <si>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t>h =</t>
  </si>
  <si>
    <t>J/g</t>
  </si>
  <si>
    <t>enthalpy</t>
  </si>
  <si>
    <t xml:space="preserve">  0 °C &lt; t &lt;= 50 °C</t>
  </si>
  <si>
    <t>v =</t>
  </si>
  <si>
    <r>
      <t>m</t>
    </r>
    <r>
      <rPr>
        <sz val="10"/>
        <rFont val="Arial"/>
        <family val="2"/>
      </rPr>
      <t>³</t>
    </r>
    <r>
      <rPr>
        <sz val="11"/>
        <color theme="1"/>
        <rFont val="Calibri"/>
        <family val="2"/>
        <scheme val="minor"/>
      </rPr>
      <t>/kg</t>
    </r>
  </si>
  <si>
    <t>specific volume</t>
  </si>
  <si>
    <t xml:space="preserve">  50 °C &lt; t &lt;= 100 °C</t>
  </si>
  <si>
    <t>A trial and error computation is requred to find wet-bulb when dry-bulb and dewpoint teperatures are used as input parameters</t>
  </si>
  <si>
    <t>Psychrometric Properties for a Statepoint - Outside Air Properties in this spreadsheet</t>
  </si>
  <si>
    <t>Psychrometric Properties for a Statepoint - Grain temperature &amp; Equilibrium Relative Humidity in this spreadsheet</t>
  </si>
  <si>
    <t>Portion of theoritical maximum humidity ratio</t>
  </si>
  <si>
    <t>Target Grain Conditions</t>
  </si>
  <si>
    <t>Grain Temperature</t>
  </si>
  <si>
    <t xml:space="preserve">         Typically air temperature - cannot be lower than above air temperature</t>
  </si>
  <si>
    <t>Target Moisture Content</t>
  </si>
  <si>
    <t>Grain Bin Blower Capacity</t>
  </si>
  <si>
    <t>Target Moisture Content as Dry Basis</t>
  </si>
  <si>
    <t>Target grain temperature</t>
  </si>
  <si>
    <t>Drying capability check - is the air dry enough to dry corn to target moisture content?</t>
  </si>
  <si>
    <t>Dew Point Temperature</t>
  </si>
  <si>
    <t>If relative humidity of outside air is less than equilibrium relative humidity for corn at target moisture content,</t>
  </si>
  <si>
    <t>then grain can be air dried to target moisture content.</t>
  </si>
  <si>
    <t>Amount of water to remove from corn from initial m.c to target m.c.</t>
  </si>
  <si>
    <t>Initial water content for</t>
  </si>
  <si>
    <t>% corn</t>
  </si>
  <si>
    <t>Water per standard bushel</t>
  </si>
  <si>
    <t>lb</t>
  </si>
  <si>
    <t>Dry matter</t>
  </si>
  <si>
    <t>Final water content for</t>
  </si>
  <si>
    <t>Water per bushel</t>
  </si>
  <si>
    <t>Water to remove per bushel</t>
  </si>
  <si>
    <t xml:space="preserve">          must be greater than outside relative humidity of</t>
  </si>
  <si>
    <t xml:space="preserve">Quantity of water removed per hour per bushel using provided cfm/bu </t>
  </si>
  <si>
    <t>Water removed</t>
  </si>
  <si>
    <t>lb/hr</t>
  </si>
  <si>
    <t xml:space="preserve">Time to dry corn = </t>
  </si>
  <si>
    <t>hours</t>
  </si>
  <si>
    <t>days</t>
  </si>
  <si>
    <t xml:space="preserve">Minimum Blower Static Pressure </t>
  </si>
  <si>
    <t>inches of water</t>
  </si>
  <si>
    <t>Minimum Blower Static Pressure due to grain resistance</t>
  </si>
  <si>
    <t>Q =</t>
  </si>
  <si>
    <t>cfm/sq. ft</t>
  </si>
  <si>
    <t xml:space="preserve">Static Pressure = </t>
  </si>
  <si>
    <t>Input Parameters - Highlighted cells</t>
  </si>
  <si>
    <t xml:space="preserve">Depth of dry corn in bin under wet corn </t>
  </si>
  <si>
    <t>Wet corn grain depth to be dried in bin</t>
  </si>
  <si>
    <t>Percent Saturation</t>
  </si>
  <si>
    <t>So, grain equilibrium relative humidity of</t>
  </si>
  <si>
    <t>Inline Heater Information</t>
  </si>
  <si>
    <t>Average temperature rise -</t>
  </si>
  <si>
    <t>F is the increase in air temperature above outside air temperature</t>
  </si>
  <si>
    <t>Estimated heater size -</t>
  </si>
  <si>
    <t>BTU/hr for above input blower capacity and temperature rise</t>
  </si>
  <si>
    <t>Low Temperature Bin Drying of Corn</t>
  </si>
  <si>
    <t xml:space="preserve">Tdp = </t>
  </si>
  <si>
    <t>humidity ratio</t>
  </si>
  <si>
    <t>tdb &lt; 0</t>
  </si>
  <si>
    <t>tdb &gt; 0</t>
  </si>
  <si>
    <t>Psychrometric Properties for a Statepoint - Air conditions leaving inline heater and entering grain</t>
  </si>
  <si>
    <t xml:space="preserve">          must be greater than incoming air relative humidity of</t>
  </si>
  <si>
    <t>Wet soybeans grain depth to be dried in bin</t>
  </si>
  <si>
    <t>Depth of dry soybeans in bin under wet soybeans</t>
  </si>
  <si>
    <t>Drying capability check - is the air dry enough to dry soybeans to target moisture content?</t>
  </si>
  <si>
    <t>If relative humidity of outside air is less than equilibrium relative humidity for soybeans at target moisture content,</t>
  </si>
  <si>
    <t xml:space="preserve">Time to dry soybeans = </t>
  </si>
  <si>
    <t xml:space="preserve">for initial soybean moisture content </t>
  </si>
  <si>
    <t>Amount of water to remove from soybeans from initial m.c to target m.c.</t>
  </si>
  <si>
    <t>% soybeans</t>
  </si>
  <si>
    <t xml:space="preserve">for target soybean moisture content </t>
  </si>
  <si>
    <t xml:space="preserve">for target corn moisture content </t>
  </si>
  <si>
    <t>Low Temperature Bin Drying of Soybeans</t>
  </si>
  <si>
    <t>The University of Missouri Bin Drying Estimator</t>
  </si>
  <si>
    <t>Natural Air Bin Drying of Soybeans</t>
  </si>
  <si>
    <t>Natural Air Bin Drying of Corn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</si>
</sst>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"/>
    <numFmt numFmtId="167" formatCode="0.00000"/>
    <numFmt numFmtId="168" formatCode="0.000000"/>
    <numFmt numFmtId="170" formatCode="_(* #,##0_);_(* \(#,##0\);_(* &quot;-&quot;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9452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166" fontId="0" fillId="0" borderId="0" xfId="0" applyNumberFormat="1" applyAlignment="1">
      <alignment vertical="center"/>
    </xf>
    <xf numFmtId="0" fontId="0" fillId="2" borderId="0" xfId="0" applyFill="1"/>
    <xf numFmtId="164" fontId="0" fillId="2" borderId="0" xfId="1" applyNumberFormat="1" applyFont="1" applyFill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66" fontId="0" fillId="2" borderId="0" xfId="0" applyNumberFormat="1" applyFill="1"/>
    <xf numFmtId="164" fontId="0" fillId="0" borderId="0" xfId="1" applyNumberFormat="1" applyFont="1" applyFill="1"/>
    <xf numFmtId="0" fontId="3" fillId="0" borderId="0" xfId="0" applyFont="1"/>
    <xf numFmtId="0" fontId="0" fillId="0" borderId="0" xfId="0" applyAlignment="1">
      <alignment horizontal="right"/>
    </xf>
    <xf numFmtId="166" fontId="0" fillId="3" borderId="0" xfId="0" applyNumberFormat="1" applyFill="1"/>
    <xf numFmtId="0" fontId="4" fillId="0" borderId="0" xfId="0" applyFont="1"/>
    <xf numFmtId="0" fontId="0" fillId="0" borderId="0" xfId="0" applyFont="1" applyAlignment="1">
      <alignment horizontal="right"/>
    </xf>
    <xf numFmtId="167" fontId="0" fillId="0" borderId="0" xfId="0" applyNumberFormat="1"/>
    <xf numFmtId="166" fontId="0" fillId="4" borderId="0" xfId="0" applyNumberFormat="1" applyFill="1"/>
    <xf numFmtId="168" fontId="0" fillId="4" borderId="0" xfId="0" applyNumberFormat="1" applyFill="1"/>
    <xf numFmtId="2" fontId="0" fillId="4" borderId="0" xfId="0" applyNumberFormat="1" applyFill="1"/>
    <xf numFmtId="168" fontId="0" fillId="0" borderId="0" xfId="0" applyNumberFormat="1"/>
    <xf numFmtId="166" fontId="0" fillId="0" borderId="0" xfId="0" applyNumberFormat="1" applyFill="1"/>
    <xf numFmtId="0" fontId="0" fillId="2" borderId="0" xfId="0" applyFill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6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6" fontId="0" fillId="0" borderId="2" xfId="0" applyNumberFormat="1" applyBorder="1"/>
    <xf numFmtId="0" fontId="5" fillId="0" borderId="0" xfId="0" applyFont="1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5" borderId="0" xfId="0" applyFill="1" applyAlignment="1">
      <alignment horizontal="right" vertical="center"/>
    </xf>
    <xf numFmtId="166" fontId="5" fillId="0" borderId="0" xfId="0" applyNumberFormat="1" applyFont="1"/>
    <xf numFmtId="2" fontId="5" fillId="0" borderId="0" xfId="0" applyNumberFormat="1" applyFont="1"/>
    <xf numFmtId="170" fontId="0" fillId="0" borderId="0" xfId="0" applyNumberFormat="1"/>
    <xf numFmtId="0" fontId="0" fillId="4" borderId="0" xfId="0" applyFill="1"/>
    <xf numFmtId="0" fontId="6" fillId="6" borderId="0" xfId="0" applyFont="1" applyFill="1" applyAlignment="1"/>
    <xf numFmtId="0" fontId="0" fillId="6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2581275</xdr:colOff>
      <xdr:row>6</xdr:row>
      <xdr:rowOff>180975</xdr:rowOff>
    </xdr:to>
    <xdr:sp macro="" textlink="">
      <xdr:nvSpPr>
        <xdr:cNvPr id="2" name="TextBox 1"/>
        <xdr:cNvSpPr txBox="1"/>
      </xdr:nvSpPr>
      <xdr:spPr>
        <a:xfrm>
          <a:off x="295275" y="638175"/>
          <a:ext cx="2581275" cy="7524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Developed by: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Joe Zulovich, Extension Agricultural Engineer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Missouri</a:t>
          </a:r>
        </a:p>
      </xdr:txBody>
    </xdr:sp>
    <xdr:clientData/>
  </xdr:twoCellAnchor>
  <xdr:twoCellAnchor editAs="oneCell">
    <xdr:from>
      <xdr:col>1</xdr:col>
      <xdr:colOff>2990850</xdr:colOff>
      <xdr:row>2</xdr:row>
      <xdr:rowOff>180975</xdr:rowOff>
    </xdr:from>
    <xdr:to>
      <xdr:col>1</xdr:col>
      <xdr:colOff>2990850</xdr:colOff>
      <xdr:row>6</xdr:row>
      <xdr:rowOff>152399</xdr:rowOff>
    </xdr:to>
    <xdr:pic>
      <xdr:nvPicPr>
        <xdr:cNvPr id="3" name="Picture 2" descr="COMAG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628650"/>
          <a:ext cx="2114550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</xdr:colOff>
      <xdr:row>7</xdr:row>
      <xdr:rowOff>190499</xdr:rowOff>
    </xdr:from>
    <xdr:ext cx="5734050" cy="4133851"/>
    <xdr:sp macro="" textlink="">
      <xdr:nvSpPr>
        <xdr:cNvPr id="4" name="TextBox 3"/>
        <xdr:cNvSpPr txBox="1"/>
      </xdr:nvSpPr>
      <xdr:spPr>
        <a:xfrm>
          <a:off x="609601" y="1590674"/>
          <a:ext cx="5734050" cy="413385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In Bin Grain Drying Estimation</a:t>
          </a:r>
          <a:endParaRPr lang="en-US" sz="1200" b="0"/>
        </a:p>
        <a:p>
          <a:endParaRPr lang="en-US" sz="1200" b="0"/>
        </a:p>
        <a:p>
          <a:r>
            <a:rPr lang="en-US" sz="1200" b="0"/>
            <a:t>Grain can be dried in circular </a:t>
          </a:r>
          <a:r>
            <a:rPr lang="en-US" sz="1200" b="0" baseline="0"/>
            <a:t>bins using blower(s) to push air through the grain being</a:t>
          </a:r>
        </a:p>
        <a:p>
          <a:r>
            <a:rPr lang="en-US" sz="1200" b="0" baseline="0"/>
            <a:t>held in the bin.  The air used to dry the grain can be the ambient air or the air can be </a:t>
          </a:r>
        </a:p>
        <a:p>
          <a:r>
            <a:rPr lang="en-US" sz="1200" b="0" baseline="0"/>
            <a:t>heated about 10 F to increase drying capability and reduce drying time.  The calculations</a:t>
          </a:r>
        </a:p>
        <a:p>
          <a:r>
            <a:rPr lang="en-US" sz="1200" b="0" baseline="0"/>
            <a:t>using in this spreadsheet are based on standard drying calcuations along with some</a:t>
          </a:r>
        </a:p>
        <a:p>
          <a:r>
            <a:rPr lang="en-US" sz="1200" b="0" baseline="0"/>
            <a:t>best professional judgement.  Notes are added in spreadsheet to assist user in selecting</a:t>
          </a:r>
        </a:p>
        <a:p>
          <a:r>
            <a:rPr lang="en-US" sz="1200" b="0" baseline="0"/>
            <a:t>appropriate input values. </a:t>
          </a:r>
        </a:p>
        <a:p>
          <a:endParaRPr lang="en-US" sz="1200" b="1"/>
        </a:p>
        <a:p>
          <a:r>
            <a:rPr lang="en-US" sz="1200" b="0"/>
            <a:t>This</a:t>
          </a:r>
          <a:r>
            <a:rPr lang="en-US" sz="1200" b="0" baseline="0"/>
            <a:t> bin drying estimator tool has four different system tabs for different types of in-bin</a:t>
          </a:r>
        </a:p>
        <a:p>
          <a:r>
            <a:rPr lang="en-US" sz="1200" b="0" baseline="0"/>
            <a:t>drying systems and type of grain to be dried and are listed below.</a:t>
          </a:r>
        </a:p>
        <a:p>
          <a:r>
            <a:rPr lang="en-US" sz="1200" b="0" baseline="0"/>
            <a:t>       </a:t>
          </a:r>
          <a:r>
            <a:rPr lang="en-US" sz="1200" b="1" i="1" baseline="0"/>
            <a:t>Natural Air Drying of Corn</a:t>
          </a:r>
          <a:r>
            <a:rPr lang="en-US" sz="1200" b="0" baseline="0"/>
            <a:t> - Uses only ambient air to dry corn</a:t>
          </a:r>
        </a:p>
        <a:p>
          <a:r>
            <a:rPr lang="en-US" sz="1200" b="0" baseline="0"/>
            <a:t>       </a:t>
          </a:r>
          <a:r>
            <a:rPr lang="en-US" sz="1200" b="1" i="1" baseline="0"/>
            <a:t>Low Temperature Drying of Corn</a:t>
          </a:r>
          <a:r>
            <a:rPr lang="en-US" sz="1200" b="0" i="0" baseline="0"/>
            <a:t> - Allows for inline heating of air to speed drying</a:t>
          </a:r>
        </a:p>
        <a:p>
          <a:r>
            <a:rPr lang="en-US" sz="1200" b="0"/>
            <a:t>       </a:t>
          </a:r>
          <a:r>
            <a:rPr lang="en-US" sz="1200" b="1" i="1"/>
            <a:t>Natural</a:t>
          </a:r>
          <a:r>
            <a:rPr lang="en-US" sz="1200" b="1" i="1" baseline="0"/>
            <a:t> Air Drying of Soybeans</a:t>
          </a:r>
          <a:r>
            <a:rPr lang="en-US" sz="1200" b="0" i="0" baseline="0"/>
            <a:t> - Uses only ambient air to dry soybeans</a:t>
          </a:r>
        </a:p>
        <a:p>
          <a:r>
            <a:rPr lang="en-US" sz="1200" b="0" i="0" baseline="0"/>
            <a:t>       </a:t>
          </a:r>
          <a:r>
            <a:rPr lang="en-US" sz="1200" b="1" i="1" baseline="0"/>
            <a:t>Low Temperature Drying of Soybeans</a:t>
          </a:r>
          <a:r>
            <a:rPr lang="en-US" sz="1200" b="0" i="0" baseline="0"/>
            <a:t> - Allows for inline heating of air to speed drying</a:t>
          </a:r>
        </a:p>
        <a:p>
          <a:r>
            <a:rPr lang="en-US" sz="1200" b="0" i="0" baseline="0"/>
            <a:t>Drying times can be estimated for indivudual layer drying or drying entire bin.  If multiple </a:t>
          </a:r>
        </a:p>
        <a:p>
          <a:r>
            <a:rPr lang="en-US" sz="1200" b="0" i="0" baseline="0"/>
            <a:t>blowers are used on a given bin, air flow input is the sum of all blowers on bin.  With low</a:t>
          </a:r>
        </a:p>
        <a:p>
          <a:r>
            <a:rPr lang="en-US" sz="1200" b="0" i="0" baseline="0"/>
            <a:t>temperature drying, an inline heater is requried for each blower on bin.</a:t>
          </a:r>
        </a:p>
        <a:p>
          <a:endParaRPr lang="en-US" sz="1200" b="0" i="0" baseline="0"/>
        </a:p>
        <a:p>
          <a:r>
            <a:rPr lang="en-US" sz="1200" b="0" i="0" baseline="0"/>
            <a:t>Click on the system tab below that best fits your situation.  After you enter the </a:t>
          </a:r>
        </a:p>
        <a:p>
          <a:r>
            <a:rPr lang="en-US" sz="1200" b="0" i="0" baseline="0"/>
            <a:t>required inputs, an estimate of the time to dry grain is provided.</a:t>
          </a:r>
          <a:endParaRPr lang="en-US" sz="1200" b="0"/>
        </a:p>
      </xdr:txBody>
    </xdr:sp>
    <xdr:clientData/>
  </xdr:oneCellAnchor>
  <xdr:twoCellAnchor>
    <xdr:from>
      <xdr:col>1</xdr:col>
      <xdr:colOff>0</xdr:colOff>
      <xdr:row>30</xdr:row>
      <xdr:rowOff>123825</xdr:rowOff>
    </xdr:from>
    <xdr:to>
      <xdr:col>1</xdr:col>
      <xdr:colOff>5667375</xdr:colOff>
      <xdr:row>32</xdr:row>
      <xdr:rowOff>171450</xdr:rowOff>
    </xdr:to>
    <xdr:sp macro="" textlink="">
      <xdr:nvSpPr>
        <xdr:cNvPr id="5" name="TextBox 4"/>
        <xdr:cNvSpPr txBox="1"/>
      </xdr:nvSpPr>
      <xdr:spPr>
        <a:xfrm>
          <a:off x="609600" y="5905500"/>
          <a:ext cx="5667375" cy="428625"/>
        </a:xfrm>
        <a:prstGeom prst="rect">
          <a:avLst/>
        </a:prstGeom>
        <a:solidFill>
          <a:srgbClr val="DDD9C4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575F6D">
                  <a:lumMod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worksheet is for educational purposes only. It is not supported by the University of Missouri and the user assumes all risks associated with its use.</a:t>
          </a:r>
        </a:p>
      </xdr:txBody>
    </xdr:sp>
    <xdr:clientData/>
  </xdr:twoCellAnchor>
  <xdr:twoCellAnchor editAs="oneCell">
    <xdr:from>
      <xdr:col>1</xdr:col>
      <xdr:colOff>2619375</xdr:colOff>
      <xdr:row>3</xdr:row>
      <xdr:rowOff>47625</xdr:rowOff>
    </xdr:from>
    <xdr:to>
      <xdr:col>1</xdr:col>
      <xdr:colOff>4733925</xdr:colOff>
      <xdr:row>7</xdr:row>
      <xdr:rowOff>19049</xdr:rowOff>
    </xdr:to>
    <xdr:pic>
      <xdr:nvPicPr>
        <xdr:cNvPr id="6" name="Picture 5" descr="COMAG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8975" y="685800"/>
          <a:ext cx="2114550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238124</xdr:colOff>
      <xdr:row>8</xdr:row>
      <xdr:rowOff>200024</xdr:rowOff>
    </xdr:from>
    <xdr:ext cx="3876676" cy="1352551"/>
    <xdr:sp macro="" textlink="">
      <xdr:nvSpPr>
        <xdr:cNvPr id="2" name="TextBox 1"/>
        <xdr:cNvSpPr txBox="1"/>
      </xdr:nvSpPr>
      <xdr:spPr>
        <a:xfrm>
          <a:off x="6543674" y="2009774"/>
          <a:ext cx="3876676" cy="13525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Percent Saturation</a:t>
          </a:r>
          <a:endParaRPr lang="en-US" sz="1100" b="0"/>
        </a:p>
        <a:p>
          <a:r>
            <a:rPr lang="en-US" sz="1100" b="0"/>
            <a:t>An input parameter that is based on the grain airflow rate </a:t>
          </a:r>
        </a:p>
        <a:p>
          <a:r>
            <a:rPr lang="en-US" sz="1100" b="0"/>
            <a:t>in cfm/bu above.</a:t>
          </a:r>
          <a:r>
            <a:rPr lang="en-US" sz="1100" b="0" baseline="0"/>
            <a:t>  Air passing through grain picks up moisture</a:t>
          </a:r>
        </a:p>
        <a:p>
          <a:r>
            <a:rPr lang="en-US" sz="1100" b="0" baseline="0"/>
            <a:t>as it dries the grain.  The more air per bushel passing through</a:t>
          </a:r>
        </a:p>
        <a:p>
          <a:r>
            <a:rPr lang="en-US" sz="1100" b="0" baseline="0"/>
            <a:t>grain results in a lower portion of the theoretical maximum</a:t>
          </a:r>
        </a:p>
        <a:p>
          <a:r>
            <a:rPr lang="en-US" sz="1100" b="0" baseline="0"/>
            <a:t>amount of moisture that can be removed.  Experience indicates</a:t>
          </a:r>
        </a:p>
        <a:p>
          <a:r>
            <a:rPr lang="en-US" sz="1100" b="0" baseline="0"/>
            <a:t>the  values to left  for Percent Saturation based on cfm/bu.</a:t>
          </a:r>
          <a:endParaRPr lang="en-US" sz="1100" b="1"/>
        </a:p>
      </xdr:txBody>
    </xdr:sp>
    <xdr:clientData/>
  </xdr:oneCellAnchor>
  <xdr:oneCellAnchor>
    <xdr:from>
      <xdr:col>5</xdr:col>
      <xdr:colOff>114300</xdr:colOff>
      <xdr:row>10</xdr:row>
      <xdr:rowOff>57150</xdr:rowOff>
    </xdr:from>
    <xdr:ext cx="2431115" cy="1238250"/>
    <xdr:sp macro="" textlink="">
      <xdr:nvSpPr>
        <xdr:cNvPr id="4" name="TextBox 3"/>
        <xdr:cNvSpPr txBox="1"/>
      </xdr:nvSpPr>
      <xdr:spPr>
        <a:xfrm>
          <a:off x="3867150" y="2552700"/>
          <a:ext cx="2431115" cy="1238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 u="none"/>
            <a:t>                  Natural Air Drying</a:t>
          </a:r>
        </a:p>
        <a:p>
          <a:r>
            <a:rPr lang="en-US" sz="1100" b="1" u="sng"/>
            <a:t>Airflow (cfm/bu)</a:t>
          </a:r>
          <a:r>
            <a:rPr lang="en-US" sz="1100" b="1" u="sng" baseline="0"/>
            <a:t>       Percent Saturation</a:t>
          </a:r>
        </a:p>
        <a:p>
          <a:r>
            <a:rPr lang="en-US" sz="1100" b="0" u="none" baseline="0"/>
            <a:t>   2.0 or more                        50%</a:t>
          </a:r>
        </a:p>
        <a:p>
          <a:r>
            <a:rPr lang="en-US" sz="1100" b="0" u="none" baseline="0"/>
            <a:t>    1.0 to 1.99                         60%</a:t>
          </a:r>
        </a:p>
        <a:p>
          <a:r>
            <a:rPr lang="en-US" sz="1100" b="0" u="none" baseline="0"/>
            <a:t>    0.1 to 0.99                         75%</a:t>
          </a:r>
        </a:p>
        <a:p>
          <a:r>
            <a:rPr lang="en-US" sz="1100" b="0" u="none" baseline="0"/>
            <a:t>    Less than 0.1                     90-100%</a:t>
          </a:r>
          <a:endParaRPr lang="en-US" sz="1100" b="0" u="none"/>
        </a:p>
      </xdr:txBody>
    </xdr:sp>
    <xdr:clientData/>
  </xdr:oneCellAnchor>
  <xdr:oneCellAnchor>
    <xdr:from>
      <xdr:col>9</xdr:col>
      <xdr:colOff>257175</xdr:colOff>
      <xdr:row>21</xdr:row>
      <xdr:rowOff>133350</xdr:rowOff>
    </xdr:from>
    <xdr:ext cx="3745000" cy="953466"/>
    <xdr:sp macro="" textlink="">
      <xdr:nvSpPr>
        <xdr:cNvPr id="5" name="TextBox 4"/>
        <xdr:cNvSpPr txBox="1"/>
      </xdr:nvSpPr>
      <xdr:spPr>
        <a:xfrm>
          <a:off x="6562725" y="4857750"/>
          <a:ext cx="3745000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When the performance of the grain</a:t>
          </a:r>
          <a:r>
            <a:rPr lang="en-US" sz="1100" baseline="0"/>
            <a:t> bin blower(s) is known,</a:t>
          </a:r>
        </a:p>
        <a:p>
          <a:r>
            <a:rPr lang="en-US" sz="1100" baseline="0"/>
            <a:t>the input blower capacity can be adjusted so that the blower</a:t>
          </a:r>
        </a:p>
        <a:p>
          <a:r>
            <a:rPr lang="en-US" sz="1100" baseline="0"/>
            <a:t>air flow capacity matches the above minimum static pressure.</a:t>
          </a:r>
        </a:p>
        <a:p>
          <a:r>
            <a:rPr lang="en-US" sz="1100" baseline="0"/>
            <a:t>About 0.05 inches of water should be added to above value to</a:t>
          </a:r>
        </a:p>
        <a:p>
          <a:r>
            <a:rPr lang="en-US" sz="1100" baseline="0"/>
            <a:t>account for estimated duct losses.</a:t>
          </a: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238124</xdr:colOff>
      <xdr:row>8</xdr:row>
      <xdr:rowOff>200024</xdr:rowOff>
    </xdr:from>
    <xdr:ext cx="3876676" cy="1714501"/>
    <xdr:sp macro="" textlink="">
      <xdr:nvSpPr>
        <xdr:cNvPr id="2" name="TextBox 1"/>
        <xdr:cNvSpPr txBox="1"/>
      </xdr:nvSpPr>
      <xdr:spPr>
        <a:xfrm>
          <a:off x="6791324" y="2009774"/>
          <a:ext cx="3876676" cy="1714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Percent Saturation</a:t>
          </a:r>
          <a:endParaRPr lang="en-US" sz="1100" b="0"/>
        </a:p>
        <a:p>
          <a:r>
            <a:rPr lang="en-US" sz="1100" b="0"/>
            <a:t>An input parameter that is based on the grain airflow rate </a:t>
          </a:r>
        </a:p>
        <a:p>
          <a:r>
            <a:rPr lang="en-US" sz="1100" b="0"/>
            <a:t>in cfm/bu above.</a:t>
          </a:r>
          <a:r>
            <a:rPr lang="en-US" sz="1100" b="0" baseline="0"/>
            <a:t>  Air passing through grain picks up moisture</a:t>
          </a:r>
        </a:p>
        <a:p>
          <a:r>
            <a:rPr lang="en-US" sz="1100" b="0" baseline="0"/>
            <a:t>as it dries the grain.  The more air per bushel passing through</a:t>
          </a:r>
        </a:p>
        <a:p>
          <a:r>
            <a:rPr lang="en-US" sz="1100" b="0" baseline="0"/>
            <a:t>grain results in a lower portion of the theoretical maximum</a:t>
          </a:r>
        </a:p>
        <a:p>
          <a:r>
            <a:rPr lang="en-US" sz="1100" b="0" baseline="0"/>
            <a:t>amount of moisture that can be removed.  Heating the incoming</a:t>
          </a:r>
        </a:p>
        <a:p>
          <a:r>
            <a:rPr lang="en-US" sz="1100" b="0" baseline="0"/>
            <a:t>air 10 F allows one to increase the percent saturation.  </a:t>
          </a:r>
        </a:p>
        <a:p>
          <a:r>
            <a:rPr lang="en-US" sz="1100" b="0" baseline="0"/>
            <a:t>Experience indicates the  values to left  for </a:t>
          </a:r>
        </a:p>
        <a:p>
          <a:r>
            <a:rPr lang="en-US" sz="1100" b="0" baseline="0"/>
            <a:t>Percent Saturation based on cfm/bu when heating air 10 F.</a:t>
          </a:r>
          <a:endParaRPr lang="en-US" sz="1100" b="1"/>
        </a:p>
      </xdr:txBody>
    </xdr:sp>
    <xdr:clientData/>
  </xdr:oneCellAnchor>
  <xdr:oneCellAnchor>
    <xdr:from>
      <xdr:col>5</xdr:col>
      <xdr:colOff>114300</xdr:colOff>
      <xdr:row>10</xdr:row>
      <xdr:rowOff>57150</xdr:rowOff>
    </xdr:from>
    <xdr:ext cx="2431115" cy="1123950"/>
    <xdr:sp macro="" textlink="">
      <xdr:nvSpPr>
        <xdr:cNvPr id="3" name="TextBox 2"/>
        <xdr:cNvSpPr txBox="1"/>
      </xdr:nvSpPr>
      <xdr:spPr>
        <a:xfrm>
          <a:off x="4114800" y="2552700"/>
          <a:ext cx="2431115" cy="1123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 u="none"/>
            <a:t>   Low Temperature Drying - Plus 10 F</a:t>
          </a:r>
        </a:p>
        <a:p>
          <a:r>
            <a:rPr lang="en-US" sz="1100" b="1" u="sng"/>
            <a:t>Airflow (cfm/bu)</a:t>
          </a:r>
          <a:r>
            <a:rPr lang="en-US" sz="1100" b="1" u="sng" baseline="0"/>
            <a:t>       Percent Saturation</a:t>
          </a:r>
        </a:p>
        <a:p>
          <a:r>
            <a:rPr lang="en-US" sz="1100" b="0" u="none" baseline="0"/>
            <a:t>   2.0 or more                         80%</a:t>
          </a:r>
        </a:p>
        <a:p>
          <a:r>
            <a:rPr lang="en-US" sz="1100" b="0" u="none" baseline="0"/>
            <a:t>    1.0 to 1.99                          90%</a:t>
          </a:r>
        </a:p>
        <a:p>
          <a:r>
            <a:rPr lang="en-US" sz="1100" b="0" u="none" baseline="0"/>
            <a:t>    0.1 to 0.99                          95%</a:t>
          </a:r>
        </a:p>
        <a:p>
          <a:r>
            <a:rPr lang="en-US" sz="1100" b="0" u="none" baseline="0"/>
            <a:t>    Less than 0.1                     100%</a:t>
          </a:r>
          <a:endParaRPr lang="en-US" sz="1100" b="0" u="none"/>
        </a:p>
      </xdr:txBody>
    </xdr:sp>
    <xdr:clientData/>
  </xdr:oneCellAnchor>
  <xdr:oneCellAnchor>
    <xdr:from>
      <xdr:col>9</xdr:col>
      <xdr:colOff>257175</xdr:colOff>
      <xdr:row>21</xdr:row>
      <xdr:rowOff>133350</xdr:rowOff>
    </xdr:from>
    <xdr:ext cx="3745000" cy="953466"/>
    <xdr:sp macro="" textlink="">
      <xdr:nvSpPr>
        <xdr:cNvPr id="4" name="TextBox 3"/>
        <xdr:cNvSpPr txBox="1"/>
      </xdr:nvSpPr>
      <xdr:spPr>
        <a:xfrm>
          <a:off x="6562725" y="4857750"/>
          <a:ext cx="3745000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When the performance of the grain</a:t>
          </a:r>
          <a:r>
            <a:rPr lang="en-US" sz="1100" baseline="0"/>
            <a:t> bin blower(s) is known,</a:t>
          </a:r>
        </a:p>
        <a:p>
          <a:r>
            <a:rPr lang="en-US" sz="1100" baseline="0"/>
            <a:t>the input blower capacity can be adjusted so that the blower</a:t>
          </a:r>
        </a:p>
        <a:p>
          <a:r>
            <a:rPr lang="en-US" sz="1100" baseline="0"/>
            <a:t>air flow capacity matches the above minimum static pressure.</a:t>
          </a:r>
        </a:p>
        <a:p>
          <a:r>
            <a:rPr lang="en-US" sz="1100" baseline="0"/>
            <a:t>About 0.05 inches of water should be added to above value to</a:t>
          </a:r>
        </a:p>
        <a:p>
          <a:r>
            <a:rPr lang="en-US" sz="1100" baseline="0"/>
            <a:t>account for estimated duct losses.</a:t>
          </a: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238124</xdr:colOff>
      <xdr:row>8</xdr:row>
      <xdr:rowOff>200024</xdr:rowOff>
    </xdr:from>
    <xdr:ext cx="3876676" cy="1352551"/>
    <xdr:sp macro="" textlink="">
      <xdr:nvSpPr>
        <xdr:cNvPr id="2" name="TextBox 1"/>
        <xdr:cNvSpPr txBox="1"/>
      </xdr:nvSpPr>
      <xdr:spPr>
        <a:xfrm>
          <a:off x="6543674" y="2009774"/>
          <a:ext cx="3876676" cy="13525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Percent Saturation</a:t>
          </a:r>
          <a:endParaRPr lang="en-US" sz="1100" b="0"/>
        </a:p>
        <a:p>
          <a:r>
            <a:rPr lang="en-US" sz="1100" b="0"/>
            <a:t>An input parameter that is based on the grain airflow rate </a:t>
          </a:r>
        </a:p>
        <a:p>
          <a:r>
            <a:rPr lang="en-US" sz="1100" b="0"/>
            <a:t>in cfm/bu above.</a:t>
          </a:r>
          <a:r>
            <a:rPr lang="en-US" sz="1100" b="0" baseline="0"/>
            <a:t>  Air passing through grain picks up moisture</a:t>
          </a:r>
        </a:p>
        <a:p>
          <a:r>
            <a:rPr lang="en-US" sz="1100" b="0" baseline="0"/>
            <a:t>as it dries the grain.  The more air per bushel passing through</a:t>
          </a:r>
        </a:p>
        <a:p>
          <a:r>
            <a:rPr lang="en-US" sz="1100" b="0" baseline="0"/>
            <a:t>grain results in a lower portion of the theoretical maximum</a:t>
          </a:r>
        </a:p>
        <a:p>
          <a:r>
            <a:rPr lang="en-US" sz="1100" b="0" baseline="0"/>
            <a:t>amount of moisture that can be removed.  Experience indicates</a:t>
          </a:r>
        </a:p>
        <a:p>
          <a:r>
            <a:rPr lang="en-US" sz="1100" b="0" baseline="0"/>
            <a:t>the  values to left  for Percent Saturation based on cfm/bu.</a:t>
          </a:r>
          <a:endParaRPr lang="en-US" sz="1100" b="1"/>
        </a:p>
      </xdr:txBody>
    </xdr:sp>
    <xdr:clientData/>
  </xdr:oneCellAnchor>
  <xdr:oneCellAnchor>
    <xdr:from>
      <xdr:col>5</xdr:col>
      <xdr:colOff>114300</xdr:colOff>
      <xdr:row>10</xdr:row>
      <xdr:rowOff>57150</xdr:rowOff>
    </xdr:from>
    <xdr:ext cx="2431115" cy="1238250"/>
    <xdr:sp macro="" textlink="">
      <xdr:nvSpPr>
        <xdr:cNvPr id="3" name="TextBox 2"/>
        <xdr:cNvSpPr txBox="1"/>
      </xdr:nvSpPr>
      <xdr:spPr>
        <a:xfrm>
          <a:off x="3867150" y="2552700"/>
          <a:ext cx="2431115" cy="1238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 u="none"/>
            <a:t>                  Natural Air Drying</a:t>
          </a:r>
        </a:p>
        <a:p>
          <a:r>
            <a:rPr lang="en-US" sz="1100" b="1" u="sng"/>
            <a:t>Airflow (cfm/bu)</a:t>
          </a:r>
          <a:r>
            <a:rPr lang="en-US" sz="1100" b="1" u="sng" baseline="0"/>
            <a:t>       Percent Saturation</a:t>
          </a:r>
        </a:p>
        <a:p>
          <a:r>
            <a:rPr lang="en-US" sz="1100" b="0" u="none" baseline="0"/>
            <a:t>   2.0 or more                        50%</a:t>
          </a:r>
        </a:p>
        <a:p>
          <a:r>
            <a:rPr lang="en-US" sz="1100" b="0" u="none" baseline="0"/>
            <a:t>    1.0 to 1.99                         60%</a:t>
          </a:r>
        </a:p>
        <a:p>
          <a:r>
            <a:rPr lang="en-US" sz="1100" b="0" u="none" baseline="0"/>
            <a:t>    0.1 to 0.99                         75%</a:t>
          </a:r>
        </a:p>
        <a:p>
          <a:r>
            <a:rPr lang="en-US" sz="1100" b="0" u="none" baseline="0"/>
            <a:t>    Less than 0.1                     90-100%</a:t>
          </a:r>
          <a:endParaRPr lang="en-US" sz="1100" b="0" u="none"/>
        </a:p>
      </xdr:txBody>
    </xdr:sp>
    <xdr:clientData/>
  </xdr:oneCellAnchor>
  <xdr:oneCellAnchor>
    <xdr:from>
      <xdr:col>9</xdr:col>
      <xdr:colOff>257175</xdr:colOff>
      <xdr:row>21</xdr:row>
      <xdr:rowOff>133350</xdr:rowOff>
    </xdr:from>
    <xdr:ext cx="3745000" cy="953466"/>
    <xdr:sp macro="" textlink="">
      <xdr:nvSpPr>
        <xdr:cNvPr id="4" name="TextBox 3"/>
        <xdr:cNvSpPr txBox="1"/>
      </xdr:nvSpPr>
      <xdr:spPr>
        <a:xfrm>
          <a:off x="6562725" y="4857750"/>
          <a:ext cx="3745000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When the performance of the grain</a:t>
          </a:r>
          <a:r>
            <a:rPr lang="en-US" sz="1100" baseline="0"/>
            <a:t> bin blower(s) is known,</a:t>
          </a:r>
        </a:p>
        <a:p>
          <a:r>
            <a:rPr lang="en-US" sz="1100" baseline="0"/>
            <a:t>the input blower capacity can be adjusted so that the blower</a:t>
          </a:r>
        </a:p>
        <a:p>
          <a:r>
            <a:rPr lang="en-US" sz="1100" baseline="0"/>
            <a:t>air flow capacity matches the above minimum static pressure.</a:t>
          </a:r>
        </a:p>
        <a:p>
          <a:r>
            <a:rPr lang="en-US" sz="1100" baseline="0"/>
            <a:t>About 0.05 inches of water should be added to above value to</a:t>
          </a:r>
        </a:p>
        <a:p>
          <a:r>
            <a:rPr lang="en-US" sz="1100" baseline="0"/>
            <a:t>account for estimated duct losses.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238124</xdr:colOff>
      <xdr:row>8</xdr:row>
      <xdr:rowOff>200024</xdr:rowOff>
    </xdr:from>
    <xdr:ext cx="3876676" cy="1714501"/>
    <xdr:sp macro="" textlink="">
      <xdr:nvSpPr>
        <xdr:cNvPr id="2" name="TextBox 1"/>
        <xdr:cNvSpPr txBox="1"/>
      </xdr:nvSpPr>
      <xdr:spPr>
        <a:xfrm>
          <a:off x="6791324" y="2009774"/>
          <a:ext cx="3876676" cy="1714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Percent Saturation</a:t>
          </a:r>
          <a:endParaRPr lang="en-US" sz="1100" b="0"/>
        </a:p>
        <a:p>
          <a:r>
            <a:rPr lang="en-US" sz="1100" b="0"/>
            <a:t>An input parameter that is based on the grain airflow rate </a:t>
          </a:r>
        </a:p>
        <a:p>
          <a:r>
            <a:rPr lang="en-US" sz="1100" b="0"/>
            <a:t>in cfm/bu above.</a:t>
          </a:r>
          <a:r>
            <a:rPr lang="en-US" sz="1100" b="0" baseline="0"/>
            <a:t>  Air passing through grain picks up moisture</a:t>
          </a:r>
        </a:p>
        <a:p>
          <a:r>
            <a:rPr lang="en-US" sz="1100" b="0" baseline="0"/>
            <a:t>as it dries the grain.  The more air per bushel passing through</a:t>
          </a:r>
        </a:p>
        <a:p>
          <a:r>
            <a:rPr lang="en-US" sz="1100" b="0" baseline="0"/>
            <a:t>grain results in a lower portion of the theoretical maximum</a:t>
          </a:r>
        </a:p>
        <a:p>
          <a:r>
            <a:rPr lang="en-US" sz="1100" b="0" baseline="0"/>
            <a:t>amount of moisture that can be removed.  Heating the incoming</a:t>
          </a:r>
        </a:p>
        <a:p>
          <a:r>
            <a:rPr lang="en-US" sz="1100" b="0" baseline="0"/>
            <a:t>air 10 F allows one to increase the percent saturation.  </a:t>
          </a:r>
        </a:p>
        <a:p>
          <a:r>
            <a:rPr lang="en-US" sz="1100" b="0" baseline="0"/>
            <a:t>Experience indicates the  values to left  for </a:t>
          </a:r>
        </a:p>
        <a:p>
          <a:r>
            <a:rPr lang="en-US" sz="1100" b="0" baseline="0"/>
            <a:t>Percent Saturation based on cfm/bu when heating air 10 F.</a:t>
          </a:r>
          <a:endParaRPr lang="en-US" sz="1100" b="1"/>
        </a:p>
      </xdr:txBody>
    </xdr:sp>
    <xdr:clientData/>
  </xdr:oneCellAnchor>
  <xdr:oneCellAnchor>
    <xdr:from>
      <xdr:col>5</xdr:col>
      <xdr:colOff>114300</xdr:colOff>
      <xdr:row>10</xdr:row>
      <xdr:rowOff>57150</xdr:rowOff>
    </xdr:from>
    <xdr:ext cx="2431115" cy="1123950"/>
    <xdr:sp macro="" textlink="">
      <xdr:nvSpPr>
        <xdr:cNvPr id="3" name="TextBox 2"/>
        <xdr:cNvSpPr txBox="1"/>
      </xdr:nvSpPr>
      <xdr:spPr>
        <a:xfrm>
          <a:off x="4114800" y="2552700"/>
          <a:ext cx="2431115" cy="1123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 u="none"/>
            <a:t>   Low Temperature Drying - Plus 10 F</a:t>
          </a:r>
        </a:p>
        <a:p>
          <a:r>
            <a:rPr lang="en-US" sz="1100" b="1" u="sng"/>
            <a:t>Airflow (cfm/bu)</a:t>
          </a:r>
          <a:r>
            <a:rPr lang="en-US" sz="1100" b="1" u="sng" baseline="0"/>
            <a:t>       Percent Saturation</a:t>
          </a:r>
        </a:p>
        <a:p>
          <a:r>
            <a:rPr lang="en-US" sz="1100" b="0" u="none" baseline="0"/>
            <a:t>   2.0 or more                         80%</a:t>
          </a:r>
        </a:p>
        <a:p>
          <a:r>
            <a:rPr lang="en-US" sz="1100" b="0" u="none" baseline="0"/>
            <a:t>    1.0 to 1.99                          90%</a:t>
          </a:r>
        </a:p>
        <a:p>
          <a:r>
            <a:rPr lang="en-US" sz="1100" b="0" u="none" baseline="0"/>
            <a:t>    0.1 to 0.99                          95%</a:t>
          </a:r>
        </a:p>
        <a:p>
          <a:r>
            <a:rPr lang="en-US" sz="1100" b="0" u="none" baseline="0"/>
            <a:t>    Less than 0.1                     100%</a:t>
          </a:r>
          <a:endParaRPr lang="en-US" sz="1100" b="0" u="none"/>
        </a:p>
      </xdr:txBody>
    </xdr:sp>
    <xdr:clientData/>
  </xdr:oneCellAnchor>
  <xdr:oneCellAnchor>
    <xdr:from>
      <xdr:col>9</xdr:col>
      <xdr:colOff>257175</xdr:colOff>
      <xdr:row>21</xdr:row>
      <xdr:rowOff>133350</xdr:rowOff>
    </xdr:from>
    <xdr:ext cx="3745000" cy="953466"/>
    <xdr:sp macro="" textlink="">
      <xdr:nvSpPr>
        <xdr:cNvPr id="4" name="TextBox 3"/>
        <xdr:cNvSpPr txBox="1"/>
      </xdr:nvSpPr>
      <xdr:spPr>
        <a:xfrm>
          <a:off x="6810375" y="4857750"/>
          <a:ext cx="3745000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When the performance of the grain</a:t>
          </a:r>
          <a:r>
            <a:rPr lang="en-US" sz="1100" baseline="0"/>
            <a:t> bin blower(s) is known,</a:t>
          </a:r>
        </a:p>
        <a:p>
          <a:r>
            <a:rPr lang="en-US" sz="1100" baseline="0"/>
            <a:t>the input blower capacity can be adjusted so that the blower</a:t>
          </a:r>
        </a:p>
        <a:p>
          <a:r>
            <a:rPr lang="en-US" sz="1100" baseline="0"/>
            <a:t>air flow capacity matches the above minimum static pressure.</a:t>
          </a:r>
        </a:p>
        <a:p>
          <a:r>
            <a:rPr lang="en-US" sz="1100" baseline="0"/>
            <a:t>About 0.05 inches of water should be added to above value to</a:t>
          </a:r>
        </a:p>
        <a:p>
          <a:r>
            <a:rPr lang="en-US" sz="1100" baseline="0"/>
            <a:t>account for estimated duct losses.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5"/>
  <sheetViews>
    <sheetView showGridLines="0" tabSelected="1" workbookViewId="0">
      <selection activeCell="B2" sqref="B2"/>
    </sheetView>
  </sheetViews>
  <sheetFormatPr defaultRowHeight="15" x14ac:dyDescent="0.25"/>
  <cols>
    <col min="2" max="2" width="85.140625" customWidth="1"/>
  </cols>
  <sheetData>
    <row r="2" spans="2:2" ht="20.25" x14ac:dyDescent="0.3">
      <c r="B2" s="44" t="s">
        <v>142</v>
      </c>
    </row>
    <row r="35" spans="2:2" x14ac:dyDescent="0.25">
      <c r="B35" s="4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91"/>
  <sheetViews>
    <sheetView showGridLines="0" workbookViewId="0">
      <selection activeCell="D6" sqref="D6"/>
    </sheetView>
  </sheetViews>
  <sheetFormatPr defaultRowHeight="15" x14ac:dyDescent="0.25"/>
  <cols>
    <col min="2" max="2" width="5.5703125" customWidth="1"/>
    <col min="3" max="3" width="22.7109375" customWidth="1"/>
    <col min="4" max="4" width="9.7109375" customWidth="1"/>
    <col min="6" max="6" width="7.5703125" customWidth="1"/>
    <col min="7" max="7" width="6.28515625" customWidth="1"/>
    <col min="8" max="8" width="17.28515625" customWidth="1"/>
    <col min="9" max="9" width="7.140625" customWidth="1"/>
    <col min="10" max="10" width="23" customWidth="1"/>
  </cols>
  <sheetData>
    <row r="2" spans="2:12" ht="18.75" x14ac:dyDescent="0.3">
      <c r="C2" s="35" t="s">
        <v>144</v>
      </c>
    </row>
    <row r="4" spans="2:12" ht="15.75" x14ac:dyDescent="0.25">
      <c r="C4" s="1" t="s">
        <v>114</v>
      </c>
      <c r="J4" s="1" t="s">
        <v>37</v>
      </c>
    </row>
    <row r="5" spans="2:12" ht="15.75" x14ac:dyDescent="0.25">
      <c r="C5" s="1"/>
    </row>
    <row r="6" spans="2:12" x14ac:dyDescent="0.25">
      <c r="C6" t="s">
        <v>0</v>
      </c>
      <c r="D6" s="5">
        <v>30</v>
      </c>
      <c r="E6" t="s">
        <v>2</v>
      </c>
      <c r="J6" t="s">
        <v>20</v>
      </c>
      <c r="K6" s="11">
        <f>3.14159/4*D6*D6*D8*0.8</f>
        <v>2261.9448000000002</v>
      </c>
      <c r="L6" t="s">
        <v>21</v>
      </c>
    </row>
    <row r="7" spans="2:12" x14ac:dyDescent="0.25">
      <c r="C7" t="s">
        <v>1</v>
      </c>
      <c r="D7" s="5">
        <v>28</v>
      </c>
      <c r="E7" t="s">
        <v>2</v>
      </c>
    </row>
    <row r="8" spans="2:12" ht="32.25" customHeight="1" x14ac:dyDescent="0.25">
      <c r="C8" s="36" t="s">
        <v>116</v>
      </c>
      <c r="D8" s="23">
        <v>4</v>
      </c>
      <c r="E8" s="2" t="s">
        <v>2</v>
      </c>
      <c r="J8" s="3" t="s">
        <v>13</v>
      </c>
      <c r="K8" s="4">
        <f>D20/(3.14159/4*D6*D6*D8*0.8)</f>
        <v>2.2104871878394201</v>
      </c>
      <c r="L8" s="2" t="s">
        <v>12</v>
      </c>
    </row>
    <row r="9" spans="2:12" ht="32.25" customHeight="1" x14ac:dyDescent="0.25">
      <c r="C9" s="36" t="s">
        <v>115</v>
      </c>
      <c r="D9" s="23">
        <v>4</v>
      </c>
      <c r="E9" s="2" t="s">
        <v>2</v>
      </c>
      <c r="J9" s="3"/>
      <c r="K9" s="4"/>
      <c r="L9" s="2"/>
    </row>
    <row r="10" spans="2:12" ht="21.75" customHeight="1" x14ac:dyDescent="0.25">
      <c r="C10" s="36"/>
      <c r="D10" s="37"/>
      <c r="E10" s="2"/>
      <c r="H10" s="2" t="s">
        <v>117</v>
      </c>
      <c r="I10" s="39">
        <v>50</v>
      </c>
      <c r="J10" s="38" t="s">
        <v>10</v>
      </c>
      <c r="K10" s="4"/>
      <c r="L10" s="2"/>
    </row>
    <row r="11" spans="2:12" ht="18" customHeight="1" x14ac:dyDescent="0.25">
      <c r="B11" t="s">
        <v>6</v>
      </c>
    </row>
    <row r="12" spans="2:12" x14ac:dyDescent="0.25">
      <c r="C12" t="s">
        <v>5</v>
      </c>
      <c r="D12" s="10">
        <v>70</v>
      </c>
      <c r="E12" t="s">
        <v>3</v>
      </c>
    </row>
    <row r="13" spans="2:12" x14ac:dyDescent="0.25">
      <c r="C13" t="s">
        <v>4</v>
      </c>
      <c r="D13" s="10">
        <v>20</v>
      </c>
      <c r="E13" t="s">
        <v>7</v>
      </c>
    </row>
    <row r="15" spans="2:12" x14ac:dyDescent="0.25">
      <c r="B15" t="s">
        <v>8</v>
      </c>
    </row>
    <row r="16" spans="2:12" x14ac:dyDescent="0.25">
      <c r="C16" t="s">
        <v>5</v>
      </c>
      <c r="D16" s="10">
        <v>65</v>
      </c>
      <c r="E16" t="s">
        <v>3</v>
      </c>
    </row>
    <row r="17" spans="2:13" x14ac:dyDescent="0.25">
      <c r="C17" t="s">
        <v>9</v>
      </c>
      <c r="D17" s="5">
        <v>70</v>
      </c>
      <c r="E17" t="s">
        <v>10</v>
      </c>
    </row>
    <row r="18" spans="2:13" ht="18.75" x14ac:dyDescent="0.3">
      <c r="C18" t="s">
        <v>89</v>
      </c>
      <c r="D18" s="22">
        <f>AC64</f>
        <v>54.933334410624326</v>
      </c>
      <c r="E18" t="s">
        <v>3</v>
      </c>
      <c r="J18" s="35" t="s">
        <v>105</v>
      </c>
      <c r="K18" s="40">
        <f>S81</f>
        <v>119.06274479832491</v>
      </c>
      <c r="L18" s="35" t="s">
        <v>106</v>
      </c>
    </row>
    <row r="19" spans="2:13" ht="18.75" x14ac:dyDescent="0.3">
      <c r="J19" s="35"/>
      <c r="K19" s="41">
        <f>S82</f>
        <v>4.9609476999302045</v>
      </c>
      <c r="L19" s="35" t="s">
        <v>107</v>
      </c>
    </row>
    <row r="20" spans="2:13" x14ac:dyDescent="0.25">
      <c r="B20" t="s">
        <v>85</v>
      </c>
      <c r="D20" s="6">
        <v>5000</v>
      </c>
      <c r="E20" t="s">
        <v>11</v>
      </c>
    </row>
    <row r="21" spans="2:13" x14ac:dyDescent="0.25">
      <c r="D21" s="11"/>
      <c r="J21" t="s">
        <v>108</v>
      </c>
      <c r="L21" s="8">
        <f>S91</f>
        <v>0.35475019272885921</v>
      </c>
      <c r="M21" t="s">
        <v>109</v>
      </c>
    </row>
    <row r="22" spans="2:13" x14ac:dyDescent="0.25">
      <c r="B22" t="s">
        <v>81</v>
      </c>
    </row>
    <row r="23" spans="2:13" x14ac:dyDescent="0.25">
      <c r="C23" t="s">
        <v>82</v>
      </c>
      <c r="D23" s="10">
        <v>65</v>
      </c>
      <c r="E23" t="s">
        <v>3</v>
      </c>
    </row>
    <row r="24" spans="2:13" ht="16.5" customHeight="1" x14ac:dyDescent="0.25">
      <c r="C24" t="s">
        <v>83</v>
      </c>
    </row>
    <row r="25" spans="2:13" x14ac:dyDescent="0.25">
      <c r="C25" t="s">
        <v>84</v>
      </c>
      <c r="D25" s="10">
        <v>15.5</v>
      </c>
      <c r="E25" t="s">
        <v>7</v>
      </c>
    </row>
    <row r="28" spans="2:13" ht="15.75" x14ac:dyDescent="0.25">
      <c r="B28" s="1" t="s">
        <v>88</v>
      </c>
    </row>
    <row r="29" spans="2:13" x14ac:dyDescent="0.25">
      <c r="C29" t="s">
        <v>90</v>
      </c>
    </row>
    <row r="30" spans="2:13" x14ac:dyDescent="0.25">
      <c r="C30" t="s">
        <v>91</v>
      </c>
    </row>
    <row r="31" spans="2:13" x14ac:dyDescent="0.25">
      <c r="B31" t="s">
        <v>118</v>
      </c>
      <c r="E31" s="9">
        <f>U61</f>
        <v>70.884323874870887</v>
      </c>
      <c r="F31" t="s">
        <v>10</v>
      </c>
    </row>
    <row r="32" spans="2:13" x14ac:dyDescent="0.25">
      <c r="C32" t="s">
        <v>101</v>
      </c>
      <c r="G32">
        <f>D17</f>
        <v>70</v>
      </c>
      <c r="H32" t="s">
        <v>10</v>
      </c>
    </row>
    <row r="50" spans="17:61" x14ac:dyDescent="0.25">
      <c r="Q50" s="24" t="s">
        <v>14</v>
      </c>
      <c r="R50" s="25"/>
      <c r="S50" s="25"/>
      <c r="T50" s="25"/>
      <c r="U50" s="25">
        <f>100*D13/(100-D13)</f>
        <v>25</v>
      </c>
      <c r="V50" s="26" t="s">
        <v>15</v>
      </c>
    </row>
    <row r="51" spans="17:61" ht="15.75" x14ac:dyDescent="0.25">
      <c r="Q51" s="27"/>
      <c r="R51" s="28"/>
      <c r="S51" s="28"/>
      <c r="T51" s="28"/>
      <c r="U51" s="28"/>
      <c r="V51" s="29"/>
      <c r="Z51" s="12" t="s">
        <v>78</v>
      </c>
      <c r="AT51" s="12" t="s">
        <v>79</v>
      </c>
    </row>
    <row r="52" spans="17:61" x14ac:dyDescent="0.25">
      <c r="Q52" s="27" t="s">
        <v>17</v>
      </c>
      <c r="R52" s="28"/>
      <c r="S52" s="28"/>
      <c r="T52" s="28"/>
      <c r="U52" s="30">
        <f>(D12-32)/1.8</f>
        <v>21.111111111111111</v>
      </c>
      <c r="V52" s="29" t="s">
        <v>16</v>
      </c>
    </row>
    <row r="53" spans="17:61" x14ac:dyDescent="0.25">
      <c r="Q53" s="27"/>
      <c r="R53" s="28"/>
      <c r="S53" s="28"/>
      <c r="T53" s="28"/>
      <c r="U53" s="28"/>
      <c r="V53" s="29"/>
      <c r="Z53" t="s">
        <v>22</v>
      </c>
      <c r="AT53" t="s">
        <v>22</v>
      </c>
    </row>
    <row r="54" spans="17:61" x14ac:dyDescent="0.25">
      <c r="Q54" s="27" t="s">
        <v>18</v>
      </c>
      <c r="R54" s="28"/>
      <c r="S54" s="28"/>
      <c r="T54" s="28"/>
      <c r="U54" s="30">
        <f>100*(1-EXP(-0.000066612*(U52+42.143)*U50^1.9677))</f>
        <v>90.683496344816746</v>
      </c>
      <c r="V54" s="29" t="s">
        <v>10</v>
      </c>
      <c r="Z54" t="s">
        <v>23</v>
      </c>
      <c r="AT54" t="s">
        <v>23</v>
      </c>
    </row>
    <row r="55" spans="17:61" x14ac:dyDescent="0.25">
      <c r="Q55" s="31" t="s">
        <v>19</v>
      </c>
      <c r="R55" s="32"/>
      <c r="S55" s="32"/>
      <c r="T55" s="32"/>
      <c r="U55" s="32"/>
      <c r="V55" s="33"/>
    </row>
    <row r="56" spans="17:61" x14ac:dyDescent="0.25">
      <c r="Z56" t="s">
        <v>24</v>
      </c>
      <c r="AT56" t="s">
        <v>24</v>
      </c>
    </row>
    <row r="57" spans="17:61" x14ac:dyDescent="0.25">
      <c r="Q57" s="24" t="s">
        <v>86</v>
      </c>
      <c r="R57" s="25"/>
      <c r="S57" s="25"/>
      <c r="T57" s="25"/>
      <c r="U57" s="34">
        <f>100*D25/(100-D25)</f>
        <v>18.34319526627219</v>
      </c>
      <c r="V57" s="26" t="s">
        <v>15</v>
      </c>
    </row>
    <row r="58" spans="17:61" x14ac:dyDescent="0.25">
      <c r="Q58" s="27"/>
      <c r="R58" s="28"/>
      <c r="S58" s="28"/>
      <c r="T58" s="28"/>
      <c r="U58" s="28"/>
      <c r="V58" s="29"/>
      <c r="Z58" t="s">
        <v>25</v>
      </c>
      <c r="AH58" s="13" t="s">
        <v>26</v>
      </c>
      <c r="AI58">
        <v>101.325</v>
      </c>
      <c r="AJ58" t="s">
        <v>27</v>
      </c>
      <c r="AK58" t="s">
        <v>28</v>
      </c>
      <c r="AT58" t="s">
        <v>25</v>
      </c>
      <c r="BB58" s="13" t="s">
        <v>26</v>
      </c>
      <c r="BC58">
        <v>101.325</v>
      </c>
      <c r="BD58" t="s">
        <v>27</v>
      </c>
      <c r="BE58" t="s">
        <v>28</v>
      </c>
    </row>
    <row r="59" spans="17:61" x14ac:dyDescent="0.25">
      <c r="Q59" s="27" t="s">
        <v>87</v>
      </c>
      <c r="R59" s="28"/>
      <c r="S59" s="28"/>
      <c r="T59" s="28"/>
      <c r="U59" s="30">
        <f>(D23-32)/1.8</f>
        <v>18.333333333333332</v>
      </c>
      <c r="V59" s="29" t="s">
        <v>16</v>
      </c>
      <c r="AA59" t="s">
        <v>29</v>
      </c>
      <c r="AC59" s="14">
        <f>D16</f>
        <v>65</v>
      </c>
      <c r="AD59" s="15" t="s">
        <v>30</v>
      </c>
      <c r="AH59" s="13" t="s">
        <v>31</v>
      </c>
      <c r="AI59">
        <v>0.28705000000000003</v>
      </c>
      <c r="AJ59" t="s">
        <v>32</v>
      </c>
      <c r="AK59" t="s">
        <v>33</v>
      </c>
      <c r="AU59" t="s">
        <v>29</v>
      </c>
      <c r="AW59" s="14">
        <f>D12</f>
        <v>70</v>
      </c>
      <c r="AX59" s="15" t="s">
        <v>30</v>
      </c>
      <c r="BB59" s="13" t="s">
        <v>31</v>
      </c>
      <c r="BC59">
        <v>0.28705000000000003</v>
      </c>
      <c r="BD59" t="s">
        <v>32</v>
      </c>
      <c r="BE59" t="s">
        <v>33</v>
      </c>
    </row>
    <row r="60" spans="17:61" x14ac:dyDescent="0.25">
      <c r="Q60" s="27"/>
      <c r="R60" s="28"/>
      <c r="S60" s="28"/>
      <c r="T60" s="28"/>
      <c r="U60" s="28"/>
      <c r="V60" s="29"/>
      <c r="AA60" t="s">
        <v>9</v>
      </c>
      <c r="AC60" s="14">
        <f>D17</f>
        <v>70</v>
      </c>
      <c r="AD60" s="15" t="s">
        <v>10</v>
      </c>
      <c r="AU60" t="s">
        <v>9</v>
      </c>
      <c r="AW60" s="14">
        <f>U54</f>
        <v>90.683496344816746</v>
      </c>
      <c r="AX60" s="15" t="s">
        <v>10</v>
      </c>
    </row>
    <row r="61" spans="17:61" x14ac:dyDescent="0.25">
      <c r="Q61" s="27" t="s">
        <v>18</v>
      </c>
      <c r="R61" s="28"/>
      <c r="S61" s="28"/>
      <c r="T61" s="28"/>
      <c r="U61" s="30">
        <f>100*(1-EXP(-0.000066612*(U59+42.143)*U57^1.9677))</f>
        <v>70.884323874870887</v>
      </c>
      <c r="V61" s="29" t="s">
        <v>10</v>
      </c>
      <c r="AH61" s="13" t="s">
        <v>34</v>
      </c>
      <c r="AI61" s="9">
        <f>AC72+273.16</f>
        <v>291.49333333333334</v>
      </c>
      <c r="AJ61" t="s">
        <v>35</v>
      </c>
      <c r="AK61" t="s">
        <v>36</v>
      </c>
      <c r="BB61" s="13" t="s">
        <v>34</v>
      </c>
      <c r="BC61" s="9">
        <f>AW72+273.16</f>
        <v>294.27111111111111</v>
      </c>
      <c r="BD61" t="s">
        <v>35</v>
      </c>
      <c r="BE61" t="s">
        <v>36</v>
      </c>
    </row>
    <row r="62" spans="17:61" x14ac:dyDescent="0.25">
      <c r="Q62" s="31" t="s">
        <v>140</v>
      </c>
      <c r="R62" s="32"/>
      <c r="S62" s="32"/>
      <c r="T62" s="32"/>
      <c r="U62" s="32"/>
      <c r="V62" s="33"/>
      <c r="Z62" t="s">
        <v>37</v>
      </c>
      <c r="AH62" s="16" t="s">
        <v>38</v>
      </c>
      <c r="AI62" s="17">
        <f>AC73/100</f>
        <v>0.7</v>
      </c>
      <c r="AK62" t="s">
        <v>39</v>
      </c>
      <c r="AT62" t="s">
        <v>37</v>
      </c>
      <c r="BB62" s="16" t="s">
        <v>38</v>
      </c>
      <c r="BC62" s="17">
        <f>AW73/100</f>
        <v>0.9068349634481675</v>
      </c>
      <c r="BE62" t="s">
        <v>39</v>
      </c>
    </row>
    <row r="63" spans="17:61" x14ac:dyDescent="0.25">
      <c r="AA63" t="s">
        <v>29</v>
      </c>
      <c r="AC63" s="18">
        <f>AC72*9/5+32</f>
        <v>65</v>
      </c>
      <c r="AD63" s="15" t="s">
        <v>30</v>
      </c>
      <c r="AN63" t="s">
        <v>40</v>
      </c>
      <c r="AO63" t="s">
        <v>41</v>
      </c>
      <c r="AU63" t="s">
        <v>29</v>
      </c>
      <c r="AW63" s="18">
        <f>AW72*9/5+32</f>
        <v>70</v>
      </c>
      <c r="AX63" s="15" t="s">
        <v>30</v>
      </c>
      <c r="BH63" t="s">
        <v>40</v>
      </c>
      <c r="BI63" t="s">
        <v>41</v>
      </c>
    </row>
    <row r="64" spans="17:61" x14ac:dyDescent="0.25">
      <c r="Q64" t="s">
        <v>80</v>
      </c>
      <c r="V64" s="8">
        <f>I10/100</f>
        <v>0.5</v>
      </c>
      <c r="AA64" t="s">
        <v>42</v>
      </c>
      <c r="AC64" s="18">
        <f>AC75*9/5+32</f>
        <v>54.933334410624326</v>
      </c>
      <c r="AD64" s="15" t="s">
        <v>30</v>
      </c>
      <c r="AH64" s="13" t="s">
        <v>43</v>
      </c>
      <c r="AI64">
        <f>IF(AC72&lt;0,EXP(AO64),EXP(AO65))</f>
        <v>2.1079531133021145</v>
      </c>
      <c r="AJ64" t="s">
        <v>27</v>
      </c>
      <c r="AK64" t="s">
        <v>44</v>
      </c>
      <c r="AN64" t="s">
        <v>45</v>
      </c>
      <c r="AO64">
        <f>24.2779-(6238.64/AI61)-0.344438*LN(AI61)</f>
        <v>0.9208664847216621</v>
      </c>
      <c r="AU64" t="s">
        <v>42</v>
      </c>
      <c r="AW64" s="18">
        <f>AW75*9/5+32</f>
        <v>67.109898999377961</v>
      </c>
      <c r="AX64" s="15" t="s">
        <v>30</v>
      </c>
      <c r="BB64" s="13" t="s">
        <v>43</v>
      </c>
      <c r="BC64">
        <f>IF(AW72&lt;0,EXP(BI64),EXP(BI65))</f>
        <v>2.5045971996864216</v>
      </c>
      <c r="BD64" t="s">
        <v>27</v>
      </c>
      <c r="BE64" t="s">
        <v>44</v>
      </c>
      <c r="BH64" t="s">
        <v>45</v>
      </c>
      <c r="BI64">
        <f>24.2779-(6238.64/BC61)-0.344438*LN(BC61)</f>
        <v>1.1196275289153725</v>
      </c>
    </row>
    <row r="65" spans="17:62" x14ac:dyDescent="0.25">
      <c r="AA65" t="s">
        <v>46</v>
      </c>
      <c r="AC65" s="18"/>
      <c r="AD65" s="15" t="s">
        <v>30</v>
      </c>
      <c r="AH65" s="13" t="s">
        <v>47</v>
      </c>
      <c r="AI65">
        <f>0.62198*AI64/(AI58-AI64)</f>
        <v>1.3214510193080843E-2</v>
      </c>
      <c r="AK65" t="s">
        <v>48</v>
      </c>
      <c r="AN65" t="s">
        <v>49</v>
      </c>
      <c r="AO65">
        <f>(-7511.52/AI61)+89.63121+0.02399897*AI61-1.1654551*10^-5*AI61^2-1.28100336*10^-8*AI61^3+2.0998405*10^-11*AI61^4-12.150799*LN(AI61)</f>
        <v>0.74571738816520394</v>
      </c>
      <c r="AU65" t="s">
        <v>46</v>
      </c>
      <c r="AW65" s="18"/>
      <c r="AX65" s="15" t="s">
        <v>30</v>
      </c>
      <c r="BB65" s="13" t="s">
        <v>47</v>
      </c>
      <c r="BC65">
        <f>0.62198*BC64/(BC58-BC64)</f>
        <v>1.5764045906682109E-2</v>
      </c>
      <c r="BE65" t="s">
        <v>48</v>
      </c>
      <c r="BH65" t="s">
        <v>49</v>
      </c>
      <c r="BI65">
        <f>(-7511.52/BC61)+89.63121+0.02399897*BC61-1.1654551*10^-5*BC61^2-1.28100336*10^-8*BC61^3+2.0998405*10^-11*BC61^4-12.150799*LN(BC61)</f>
        <v>0.91812792307898405</v>
      </c>
    </row>
    <row r="66" spans="17:62" x14ac:dyDescent="0.25">
      <c r="AA66" t="s">
        <v>50</v>
      </c>
      <c r="AC66" s="19">
        <f>AC76</f>
        <v>9.1915722329270408E-3</v>
      </c>
      <c r="AD66" t="s">
        <v>51</v>
      </c>
      <c r="AU66" t="s">
        <v>50</v>
      </c>
      <c r="AW66" s="19">
        <f>AW76</f>
        <v>1.4261712350156393E-2</v>
      </c>
      <c r="AX66" t="s">
        <v>51</v>
      </c>
    </row>
    <row r="67" spans="17:62" x14ac:dyDescent="0.25">
      <c r="Q67" t="s">
        <v>92</v>
      </c>
      <c r="AA67" t="s">
        <v>9</v>
      </c>
      <c r="AC67" s="18">
        <f>AC77</f>
        <v>70</v>
      </c>
      <c r="AD67" t="s">
        <v>10</v>
      </c>
      <c r="AH67" s="13" t="s">
        <v>52</v>
      </c>
      <c r="AI67">
        <f>AI64*AI62</f>
        <v>1.4755671793114802</v>
      </c>
      <c r="AJ67" t="s">
        <v>27</v>
      </c>
      <c r="AK67" t="s">
        <v>53</v>
      </c>
      <c r="AU67" t="s">
        <v>9</v>
      </c>
      <c r="AW67" s="18">
        <f>AW77</f>
        <v>90.683496344816746</v>
      </c>
      <c r="AX67" t="s">
        <v>10</v>
      </c>
      <c r="BB67" s="13" t="s">
        <v>52</v>
      </c>
      <c r="BC67">
        <f>BC64*BC62</f>
        <v>2.2712563100300187</v>
      </c>
      <c r="BD67" t="s">
        <v>27</v>
      </c>
      <c r="BE67" t="s">
        <v>53</v>
      </c>
    </row>
    <row r="68" spans="17:62" x14ac:dyDescent="0.25">
      <c r="AA68" t="s">
        <v>54</v>
      </c>
      <c r="AC68" s="20">
        <f>AC78/0.062428</f>
        <v>13.423361209341635</v>
      </c>
      <c r="AD68" t="s">
        <v>55</v>
      </c>
      <c r="AH68" s="13"/>
      <c r="AU68" t="s">
        <v>54</v>
      </c>
      <c r="AW68" s="20">
        <f>AW78/0.062428</f>
        <v>13.660136960028666</v>
      </c>
      <c r="AX68" t="s">
        <v>55</v>
      </c>
      <c r="BB68" s="13"/>
    </row>
    <row r="69" spans="17:62" x14ac:dyDescent="0.25">
      <c r="Q69" t="s">
        <v>93</v>
      </c>
      <c r="T69" s="9">
        <f>D13</f>
        <v>20</v>
      </c>
      <c r="U69" t="s">
        <v>94</v>
      </c>
      <c r="AA69" t="s">
        <v>56</v>
      </c>
      <c r="AC69" s="18">
        <f>AC79/2.326+7.686</f>
        <v>25.626913399669114</v>
      </c>
      <c r="AD69" t="s">
        <v>57</v>
      </c>
      <c r="AU69" t="s">
        <v>56</v>
      </c>
      <c r="AW69" s="18">
        <f>AW79/2.326+7.686</f>
        <v>32.381072407555195</v>
      </c>
      <c r="AX69" t="s">
        <v>57</v>
      </c>
    </row>
    <row r="70" spans="17:62" x14ac:dyDescent="0.25">
      <c r="R70" t="s">
        <v>95</v>
      </c>
      <c r="U70" s="8">
        <f>T69/100*56</f>
        <v>11.200000000000001</v>
      </c>
      <c r="V70" t="s">
        <v>96</v>
      </c>
      <c r="AH70" s="13" t="s">
        <v>58</v>
      </c>
      <c r="AI70">
        <f>0.62198*AI67/(AI58-AI67)</f>
        <v>9.1915722329270408E-3</v>
      </c>
      <c r="AK70" t="s">
        <v>59</v>
      </c>
      <c r="BB70" s="13" t="s">
        <v>58</v>
      </c>
      <c r="BC70">
        <f>0.62198*BC67/(BC58-BC67)</f>
        <v>1.4261712350156393E-2</v>
      </c>
      <c r="BE70" t="s">
        <v>59</v>
      </c>
    </row>
    <row r="71" spans="17:62" x14ac:dyDescent="0.25">
      <c r="R71" t="s">
        <v>97</v>
      </c>
      <c r="U71" s="8">
        <f>56-U70</f>
        <v>44.8</v>
      </c>
      <c r="V71" t="s">
        <v>96</v>
      </c>
      <c r="Z71" t="s">
        <v>60</v>
      </c>
      <c r="AH71" s="16" t="s">
        <v>61</v>
      </c>
      <c r="AI71">
        <f>AI70/AI65</f>
        <v>0.69556662325174756</v>
      </c>
      <c r="AK71" t="s">
        <v>62</v>
      </c>
      <c r="AT71" t="s">
        <v>60</v>
      </c>
      <c r="BB71" s="16" t="s">
        <v>61</v>
      </c>
      <c r="BC71">
        <f>BC70/BC65</f>
        <v>0.9046987324561836</v>
      </c>
      <c r="BE71" t="s">
        <v>62</v>
      </c>
    </row>
    <row r="72" spans="17:62" x14ac:dyDescent="0.25">
      <c r="AA72" t="s">
        <v>29</v>
      </c>
      <c r="AC72" s="9">
        <f>(AC59-32)*5/9</f>
        <v>18.333333333333332</v>
      </c>
      <c r="AD72" s="15" t="s">
        <v>63</v>
      </c>
      <c r="AH72" s="16" t="s">
        <v>52</v>
      </c>
      <c r="AI72">
        <f>AI64*AI62</f>
        <v>1.4755671793114802</v>
      </c>
      <c r="AJ72" t="s">
        <v>27</v>
      </c>
      <c r="AK72" t="s">
        <v>64</v>
      </c>
      <c r="AU72" t="s">
        <v>29</v>
      </c>
      <c r="AW72" s="9">
        <f>(AW59-32)*5/9</f>
        <v>21.111111111111111</v>
      </c>
      <c r="AX72" s="15" t="s">
        <v>63</v>
      </c>
      <c r="BB72" s="16" t="s">
        <v>52</v>
      </c>
      <c r="BC72">
        <f>BC64*BC62</f>
        <v>2.2712563100300187</v>
      </c>
      <c r="BD72" t="s">
        <v>27</v>
      </c>
      <c r="BE72" t="s">
        <v>64</v>
      </c>
    </row>
    <row r="73" spans="17:62" x14ac:dyDescent="0.25">
      <c r="Q73" t="s">
        <v>98</v>
      </c>
      <c r="T73" s="9">
        <f>D25</f>
        <v>15.5</v>
      </c>
      <c r="U73" t="s">
        <v>94</v>
      </c>
      <c r="AA73" t="s">
        <v>9</v>
      </c>
      <c r="AC73" s="9">
        <f>AC60</f>
        <v>70</v>
      </c>
      <c r="AD73" s="15" t="s">
        <v>10</v>
      </c>
      <c r="AH73" s="16" t="s">
        <v>38</v>
      </c>
      <c r="AI73">
        <f>AI72/AI64</f>
        <v>0.7</v>
      </c>
      <c r="AK73" t="s">
        <v>39</v>
      </c>
      <c r="AN73" s="13" t="s">
        <v>65</v>
      </c>
      <c r="AO73">
        <f>LN(AI72)</f>
        <v>0.38904244422647155</v>
      </c>
      <c r="AU73" t="s">
        <v>9</v>
      </c>
      <c r="AW73" s="9">
        <f>AW60</f>
        <v>90.683496344816746</v>
      </c>
      <c r="AX73" s="15" t="s">
        <v>10</v>
      </c>
      <c r="BB73" s="16" t="s">
        <v>38</v>
      </c>
      <c r="BC73">
        <f>BC72/BC64</f>
        <v>0.9068349634481675</v>
      </c>
      <c r="BE73" t="s">
        <v>39</v>
      </c>
      <c r="BH73" s="13" t="s">
        <v>65</v>
      </c>
      <c r="BI73">
        <f>LN(BC72)</f>
        <v>0.8203331189434353</v>
      </c>
    </row>
    <row r="74" spans="17:62" x14ac:dyDescent="0.25">
      <c r="R74" t="s">
        <v>99</v>
      </c>
      <c r="U74" s="8">
        <f>(T73/100*U71)/(1-T73/100)</f>
        <v>8.2177514792899409</v>
      </c>
      <c r="V74" t="s">
        <v>96</v>
      </c>
      <c r="AH74" s="16" t="s">
        <v>66</v>
      </c>
      <c r="AI74">
        <f>IF(AC72&lt;=0,AO74,IF(AC72&lt;=50,AO75,AO76))</f>
        <v>12.740741339235734</v>
      </c>
      <c r="AJ74" s="15" t="s">
        <v>63</v>
      </c>
      <c r="AK74" t="s">
        <v>67</v>
      </c>
      <c r="AN74" s="13" t="s">
        <v>66</v>
      </c>
      <c r="AO74">
        <f>5.994+12.41*AO73+0.4273*AO73^2</f>
        <v>10.886690307053479</v>
      </c>
      <c r="AP74" t="s">
        <v>68</v>
      </c>
      <c r="BB74" s="16" t="s">
        <v>66</v>
      </c>
      <c r="BC74">
        <f>IF(AW72&lt;=0,BI74,IF(AW72&lt;=50,BI75,BI76))</f>
        <v>19.505499444098866</v>
      </c>
      <c r="BD74" s="15" t="s">
        <v>63</v>
      </c>
      <c r="BE74" t="s">
        <v>67</v>
      </c>
      <c r="BH74" s="13" t="s">
        <v>66</v>
      </c>
      <c r="BI74">
        <f>5.994+12.41*BI73+0.4273*BI73^2</f>
        <v>16.461884013932984</v>
      </c>
      <c r="BJ74" t="s">
        <v>68</v>
      </c>
    </row>
    <row r="75" spans="17:62" x14ac:dyDescent="0.25">
      <c r="AA75" t="s">
        <v>42</v>
      </c>
      <c r="AC75" s="9">
        <f>AI74</f>
        <v>12.740741339235734</v>
      </c>
      <c r="AD75" s="15" t="s">
        <v>63</v>
      </c>
      <c r="AH75" s="16" t="s">
        <v>69</v>
      </c>
      <c r="AI75">
        <f>1.006*AC72+AI70*(2501+1.775*AC72)</f>
        <v>41.73056456763036</v>
      </c>
      <c r="AJ75" t="s">
        <v>70</v>
      </c>
      <c r="AK75" t="s">
        <v>71</v>
      </c>
      <c r="AN75" s="13" t="s">
        <v>66</v>
      </c>
      <c r="AO75">
        <f>6.983+14.38*AO73+1.079*AO73^2</f>
        <v>12.740741339235734</v>
      </c>
      <c r="AP75" t="s">
        <v>72</v>
      </c>
      <c r="AU75" t="s">
        <v>42</v>
      </c>
      <c r="AW75" s="9">
        <f>BC74</f>
        <v>19.505499444098866</v>
      </c>
      <c r="AX75" s="15" t="s">
        <v>63</v>
      </c>
      <c r="BB75" s="16" t="s">
        <v>69</v>
      </c>
      <c r="BC75">
        <f>1.006*AW72+BC70*(2501+1.775*AW72)</f>
        <v>57.440738419973385</v>
      </c>
      <c r="BD75" t="s">
        <v>70</v>
      </c>
      <c r="BE75" t="s">
        <v>71</v>
      </c>
      <c r="BH75" s="13" t="s">
        <v>66</v>
      </c>
      <c r="BI75">
        <f>6.983+14.38*BI73+1.079*BI73^2</f>
        <v>19.505499444098866</v>
      </c>
      <c r="BJ75" t="s">
        <v>72</v>
      </c>
    </row>
    <row r="76" spans="17:62" x14ac:dyDescent="0.25">
      <c r="Q76" t="s">
        <v>100</v>
      </c>
      <c r="T76" s="8">
        <f>U70-U74</f>
        <v>2.9822485207100602</v>
      </c>
      <c r="U76" t="s">
        <v>96</v>
      </c>
      <c r="AA76" t="s">
        <v>50</v>
      </c>
      <c r="AC76" s="21">
        <f>AI70</f>
        <v>9.1915722329270408E-3</v>
      </c>
      <c r="AH76" s="16" t="s">
        <v>73</v>
      </c>
      <c r="AI76">
        <f>AI59*AI61/AI58*(1+1.6078*AI70)</f>
        <v>0.83799359357677961</v>
      </c>
      <c r="AJ76" t="s">
        <v>74</v>
      </c>
      <c r="AK76" t="s">
        <v>75</v>
      </c>
      <c r="AN76" s="13" t="s">
        <v>66</v>
      </c>
      <c r="AO76">
        <f>13.8+9.478*AO73+1.991*AO73^2</f>
        <v>17.788690146987225</v>
      </c>
      <c r="AP76" t="s">
        <v>76</v>
      </c>
      <c r="AU76" t="s">
        <v>50</v>
      </c>
      <c r="AW76" s="21">
        <f>BC70</f>
        <v>1.4261712350156393E-2</v>
      </c>
      <c r="BB76" s="16" t="s">
        <v>73</v>
      </c>
      <c r="BC76">
        <f>BC59*BC61/BC58*(1+1.6078*BC70)</f>
        <v>0.85277503014066958</v>
      </c>
      <c r="BD76" t="s">
        <v>74</v>
      </c>
      <c r="BE76" t="s">
        <v>75</v>
      </c>
      <c r="BH76" s="13" t="s">
        <v>66</v>
      </c>
      <c r="BI76">
        <f>13.8+9.478*BI73+1.991*BI73^2</f>
        <v>22.914953635582489</v>
      </c>
      <c r="BJ76" t="s">
        <v>76</v>
      </c>
    </row>
    <row r="77" spans="17:62" x14ac:dyDescent="0.25">
      <c r="AA77" t="s">
        <v>9</v>
      </c>
      <c r="AC77" s="9">
        <f>AI73*100</f>
        <v>70</v>
      </c>
      <c r="AD77" t="s">
        <v>10</v>
      </c>
      <c r="AU77" t="s">
        <v>9</v>
      </c>
      <c r="AW77" s="9">
        <f>BC73*100</f>
        <v>90.683496344816746</v>
      </c>
      <c r="AX77" t="s">
        <v>10</v>
      </c>
    </row>
    <row r="78" spans="17:62" x14ac:dyDescent="0.25">
      <c r="Q78" t="s">
        <v>102</v>
      </c>
      <c r="V78" s="9"/>
      <c r="AA78" t="s">
        <v>54</v>
      </c>
      <c r="AC78" s="7">
        <f>AI76</f>
        <v>0.83799359357677961</v>
      </c>
      <c r="AD78" t="s">
        <v>74</v>
      </c>
      <c r="AU78" t="s">
        <v>54</v>
      </c>
      <c r="AW78" s="7">
        <f>BC76</f>
        <v>0.85277503014066958</v>
      </c>
      <c r="AX78" t="s">
        <v>74</v>
      </c>
    </row>
    <row r="79" spans="17:62" x14ac:dyDescent="0.25">
      <c r="R79" t="s">
        <v>103</v>
      </c>
      <c r="T79">
        <f>K8*60/AC68*(V64*(AW66-AC66))</f>
        <v>2.5047705105081849E-2</v>
      </c>
      <c r="U79" t="s">
        <v>104</v>
      </c>
      <c r="AA79" t="s">
        <v>56</v>
      </c>
      <c r="AC79" s="9">
        <f>AI75</f>
        <v>41.73056456763036</v>
      </c>
      <c r="AD79" t="s">
        <v>70</v>
      </c>
      <c r="AU79" t="s">
        <v>56</v>
      </c>
      <c r="AW79" s="9">
        <f>BC75</f>
        <v>57.440738419973385</v>
      </c>
      <c r="AX79" t="s">
        <v>70</v>
      </c>
    </row>
    <row r="80" spans="17:62" x14ac:dyDescent="0.25">
      <c r="AA80" t="s">
        <v>46</v>
      </c>
      <c r="AD80" s="15" t="s">
        <v>63</v>
      </c>
      <c r="AE80" t="s">
        <v>77</v>
      </c>
      <c r="AU80" t="s">
        <v>46</v>
      </c>
      <c r="AX80" s="15" t="s">
        <v>63</v>
      </c>
      <c r="AY80" t="s">
        <v>77</v>
      </c>
    </row>
    <row r="81" spans="17:20" x14ac:dyDescent="0.25">
      <c r="Q81" t="s">
        <v>105</v>
      </c>
      <c r="S81" s="9">
        <f>T76/T79</f>
        <v>119.06274479832491</v>
      </c>
      <c r="T81" t="s">
        <v>106</v>
      </c>
    </row>
    <row r="82" spans="17:20" x14ac:dyDescent="0.25">
      <c r="S82" s="8">
        <f>S81/24</f>
        <v>4.9609476999302045</v>
      </c>
      <c r="T82" t="s">
        <v>107</v>
      </c>
    </row>
    <row r="87" spans="17:20" x14ac:dyDescent="0.25">
      <c r="Q87" t="s">
        <v>110</v>
      </c>
    </row>
    <row r="89" spans="17:20" x14ac:dyDescent="0.25">
      <c r="Q89" s="13" t="s">
        <v>111</v>
      </c>
      <c r="R89">
        <f>D20/(3.14159/4*D6*D6)</f>
        <v>7.0735590010861449</v>
      </c>
      <c r="S89" t="s">
        <v>112</v>
      </c>
    </row>
    <row r="91" spans="17:20" x14ac:dyDescent="0.25">
      <c r="Q91" t="s">
        <v>113</v>
      </c>
      <c r="S91">
        <f>(D8+D9)*(20700/31635726*R89^2/(LN(1+30.4/196.85*R89)))</f>
        <v>0.35475019272885921</v>
      </c>
      <c r="T91" t="s">
        <v>109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C91"/>
  <sheetViews>
    <sheetView showGridLines="0" workbookViewId="0">
      <selection activeCell="D6" sqref="D6"/>
    </sheetView>
  </sheetViews>
  <sheetFormatPr defaultRowHeight="15" x14ac:dyDescent="0.25"/>
  <cols>
    <col min="2" max="2" width="5.5703125" customWidth="1"/>
    <col min="3" max="3" width="25.28515625" customWidth="1"/>
    <col min="4" max="4" width="10.85546875" customWidth="1"/>
    <col min="6" max="6" width="7.5703125" customWidth="1"/>
    <col min="7" max="7" width="6.28515625" customWidth="1"/>
    <col min="8" max="8" width="17.28515625" customWidth="1"/>
    <col min="9" max="9" width="7.140625" customWidth="1"/>
    <col min="10" max="10" width="23" customWidth="1"/>
  </cols>
  <sheetData>
    <row r="2" spans="2:12" ht="18.75" x14ac:dyDescent="0.3">
      <c r="C2" s="35" t="s">
        <v>124</v>
      </c>
    </row>
    <row r="4" spans="2:12" ht="15.75" x14ac:dyDescent="0.25">
      <c r="C4" s="1" t="s">
        <v>114</v>
      </c>
      <c r="J4" s="1" t="s">
        <v>37</v>
      </c>
    </row>
    <row r="5" spans="2:12" ht="15.75" x14ac:dyDescent="0.25">
      <c r="C5" s="1"/>
    </row>
    <row r="6" spans="2:12" x14ac:dyDescent="0.25">
      <c r="C6" t="s">
        <v>0</v>
      </c>
      <c r="D6" s="5">
        <v>30</v>
      </c>
      <c r="E6" t="s">
        <v>2</v>
      </c>
      <c r="J6" t="s">
        <v>20</v>
      </c>
      <c r="K6" s="11">
        <f>3.14159/4*D6*D6*D8*0.8</f>
        <v>2261.9448000000002</v>
      </c>
      <c r="L6" t="s">
        <v>21</v>
      </c>
    </row>
    <row r="7" spans="2:12" x14ac:dyDescent="0.25">
      <c r="C7" t="s">
        <v>1</v>
      </c>
      <c r="D7" s="5">
        <v>28</v>
      </c>
      <c r="E7" t="s">
        <v>2</v>
      </c>
    </row>
    <row r="8" spans="2:12" ht="32.25" customHeight="1" x14ac:dyDescent="0.25">
      <c r="C8" s="36" t="s">
        <v>116</v>
      </c>
      <c r="D8" s="23">
        <v>4</v>
      </c>
      <c r="E8" s="2" t="s">
        <v>2</v>
      </c>
      <c r="J8" s="3" t="s">
        <v>13</v>
      </c>
      <c r="K8" s="4">
        <f>D20/(3.14159/4*D6*D6*D8*0.8)</f>
        <v>2.2104871878394201</v>
      </c>
      <c r="L8" s="2" t="s">
        <v>12</v>
      </c>
    </row>
    <row r="9" spans="2:12" ht="32.25" customHeight="1" x14ac:dyDescent="0.25">
      <c r="C9" s="36" t="s">
        <v>115</v>
      </c>
      <c r="D9" s="23">
        <v>4</v>
      </c>
      <c r="E9" s="2" t="s">
        <v>2</v>
      </c>
      <c r="J9" s="3"/>
      <c r="K9" s="4"/>
      <c r="L9" s="2"/>
    </row>
    <row r="10" spans="2:12" ht="21.75" customHeight="1" x14ac:dyDescent="0.25">
      <c r="C10" s="36"/>
      <c r="D10" s="37"/>
      <c r="E10" s="2"/>
      <c r="H10" s="2" t="s">
        <v>117</v>
      </c>
      <c r="I10" s="39">
        <v>80</v>
      </c>
      <c r="J10" s="38" t="s">
        <v>10</v>
      </c>
      <c r="K10" s="4"/>
      <c r="L10" s="2"/>
    </row>
    <row r="11" spans="2:12" ht="18" customHeight="1" x14ac:dyDescent="0.25">
      <c r="B11" t="s">
        <v>6</v>
      </c>
    </row>
    <row r="12" spans="2:12" x14ac:dyDescent="0.25">
      <c r="C12" t="s">
        <v>5</v>
      </c>
      <c r="D12" s="10">
        <v>70</v>
      </c>
      <c r="E12" t="s">
        <v>3</v>
      </c>
    </row>
    <row r="13" spans="2:12" x14ac:dyDescent="0.25">
      <c r="C13" t="s">
        <v>4</v>
      </c>
      <c r="D13" s="10">
        <v>20</v>
      </c>
      <c r="E13" t="s">
        <v>7</v>
      </c>
    </row>
    <row r="15" spans="2:12" x14ac:dyDescent="0.25">
      <c r="B15" t="s">
        <v>8</v>
      </c>
    </row>
    <row r="16" spans="2:12" x14ac:dyDescent="0.25">
      <c r="C16" t="s">
        <v>5</v>
      </c>
      <c r="D16" s="10">
        <v>65</v>
      </c>
      <c r="E16" t="s">
        <v>3</v>
      </c>
    </row>
    <row r="17" spans="2:13" x14ac:dyDescent="0.25">
      <c r="C17" t="s">
        <v>9</v>
      </c>
      <c r="D17" s="5">
        <v>70</v>
      </c>
      <c r="E17" t="s">
        <v>10</v>
      </c>
    </row>
    <row r="18" spans="2:13" ht="18.75" x14ac:dyDescent="0.3">
      <c r="C18" t="s">
        <v>89</v>
      </c>
      <c r="D18" s="22">
        <f>AC64</f>
        <v>54.933334410624326</v>
      </c>
      <c r="E18" t="s">
        <v>3</v>
      </c>
      <c r="J18" s="35" t="s">
        <v>105</v>
      </c>
      <c r="K18" s="40">
        <f>S81</f>
        <v>74.143837704121651</v>
      </c>
      <c r="L18" s="35" t="s">
        <v>106</v>
      </c>
    </row>
    <row r="19" spans="2:13" ht="18.75" x14ac:dyDescent="0.3">
      <c r="J19" s="35"/>
      <c r="K19" s="41">
        <f>S82</f>
        <v>3.0893265710050688</v>
      </c>
      <c r="L19" s="35" t="s">
        <v>107</v>
      </c>
    </row>
    <row r="20" spans="2:13" x14ac:dyDescent="0.25">
      <c r="B20" t="s">
        <v>85</v>
      </c>
      <c r="D20" s="6">
        <v>5000</v>
      </c>
      <c r="E20" t="s">
        <v>11</v>
      </c>
    </row>
    <row r="21" spans="2:13" x14ac:dyDescent="0.25">
      <c r="D21" s="11"/>
      <c r="J21" t="s">
        <v>108</v>
      </c>
      <c r="L21" s="8">
        <f>S91</f>
        <v>0.35475019272885921</v>
      </c>
      <c r="M21" t="s">
        <v>109</v>
      </c>
    </row>
    <row r="22" spans="2:13" x14ac:dyDescent="0.25">
      <c r="B22" t="s">
        <v>81</v>
      </c>
    </row>
    <row r="23" spans="2:13" x14ac:dyDescent="0.25">
      <c r="C23" t="s">
        <v>82</v>
      </c>
      <c r="D23" s="10">
        <v>65</v>
      </c>
      <c r="E23" t="s">
        <v>3</v>
      </c>
    </row>
    <row r="24" spans="2:13" ht="16.5" customHeight="1" x14ac:dyDescent="0.25">
      <c r="C24" t="s">
        <v>83</v>
      </c>
    </row>
    <row r="25" spans="2:13" x14ac:dyDescent="0.25">
      <c r="C25" t="s">
        <v>84</v>
      </c>
      <c r="D25" s="10">
        <v>15.5</v>
      </c>
      <c r="E25" t="s">
        <v>7</v>
      </c>
    </row>
    <row r="27" spans="2:13" x14ac:dyDescent="0.25">
      <c r="B27" t="s">
        <v>119</v>
      </c>
    </row>
    <row r="28" spans="2:13" x14ac:dyDescent="0.25">
      <c r="C28" t="s">
        <v>120</v>
      </c>
      <c r="D28" s="5">
        <v>10</v>
      </c>
      <c r="E28" t="s">
        <v>121</v>
      </c>
    </row>
    <row r="29" spans="2:13" x14ac:dyDescent="0.25">
      <c r="C29" t="s">
        <v>122</v>
      </c>
      <c r="D29" s="42">
        <f>1.1*D20*D28</f>
        <v>55000</v>
      </c>
      <c r="E29" t="s">
        <v>123</v>
      </c>
    </row>
    <row r="31" spans="2:13" ht="15.75" x14ac:dyDescent="0.25">
      <c r="B31" s="1" t="s">
        <v>88</v>
      </c>
    </row>
    <row r="32" spans="2:13" x14ac:dyDescent="0.25">
      <c r="C32" t="s">
        <v>90</v>
      </c>
    </row>
    <row r="33" spans="2:8" x14ac:dyDescent="0.25">
      <c r="C33" t="s">
        <v>91</v>
      </c>
    </row>
    <row r="34" spans="2:8" x14ac:dyDescent="0.25">
      <c r="B34" t="s">
        <v>118</v>
      </c>
      <c r="E34" s="9">
        <f>U61</f>
        <v>70.884323874870887</v>
      </c>
      <c r="F34" t="s">
        <v>10</v>
      </c>
    </row>
    <row r="35" spans="2:8" x14ac:dyDescent="0.25">
      <c r="C35" t="s">
        <v>130</v>
      </c>
      <c r="G35" s="9">
        <f>BQ67</f>
        <v>49.667088922121103</v>
      </c>
      <c r="H35" t="s">
        <v>10</v>
      </c>
    </row>
    <row r="50" spans="17:81" x14ac:dyDescent="0.25">
      <c r="Q50" s="24" t="s">
        <v>14</v>
      </c>
      <c r="R50" s="25"/>
      <c r="S50" s="25"/>
      <c r="T50" s="25"/>
      <c r="U50" s="25">
        <f>100*D13/(100-D13)</f>
        <v>25</v>
      </c>
      <c r="V50" s="26" t="s">
        <v>15</v>
      </c>
    </row>
    <row r="51" spans="17:81" ht="15.75" x14ac:dyDescent="0.25">
      <c r="Q51" s="27"/>
      <c r="R51" s="28"/>
      <c r="S51" s="28"/>
      <c r="T51" s="28"/>
      <c r="U51" s="28"/>
      <c r="V51" s="29"/>
      <c r="Z51" s="12" t="s">
        <v>78</v>
      </c>
      <c r="AT51" s="12" t="s">
        <v>79</v>
      </c>
      <c r="BN51" s="12" t="s">
        <v>129</v>
      </c>
    </row>
    <row r="52" spans="17:81" x14ac:dyDescent="0.25">
      <c r="Q52" s="27" t="s">
        <v>17</v>
      </c>
      <c r="R52" s="28"/>
      <c r="S52" s="28"/>
      <c r="T52" s="28"/>
      <c r="U52" s="30">
        <f>(D12-32)/1.8</f>
        <v>21.111111111111111</v>
      </c>
      <c r="V52" s="29" t="s">
        <v>16</v>
      </c>
    </row>
    <row r="53" spans="17:81" x14ac:dyDescent="0.25">
      <c r="Q53" s="27"/>
      <c r="R53" s="28"/>
      <c r="S53" s="28"/>
      <c r="T53" s="28"/>
      <c r="U53" s="28"/>
      <c r="V53" s="29"/>
      <c r="Z53" t="s">
        <v>22</v>
      </c>
      <c r="AT53" t="s">
        <v>22</v>
      </c>
      <c r="BN53" t="s">
        <v>22</v>
      </c>
    </row>
    <row r="54" spans="17:81" x14ac:dyDescent="0.25">
      <c r="Q54" s="27" t="s">
        <v>18</v>
      </c>
      <c r="R54" s="28"/>
      <c r="S54" s="28"/>
      <c r="T54" s="28"/>
      <c r="U54" s="30">
        <f>100*(1-EXP(-0.000066612*(U52+42.143)*U50^1.9677))</f>
        <v>90.683496344816746</v>
      </c>
      <c r="V54" s="29" t="s">
        <v>10</v>
      </c>
      <c r="Z54" t="s">
        <v>23</v>
      </c>
      <c r="AT54" t="s">
        <v>23</v>
      </c>
      <c r="BN54" t="s">
        <v>23</v>
      </c>
    </row>
    <row r="55" spans="17:81" x14ac:dyDescent="0.25">
      <c r="Q55" s="31" t="s">
        <v>19</v>
      </c>
      <c r="R55" s="32"/>
      <c r="S55" s="32"/>
      <c r="T55" s="32"/>
      <c r="U55" s="32"/>
      <c r="V55" s="33"/>
    </row>
    <row r="56" spans="17:81" x14ac:dyDescent="0.25">
      <c r="Z56" t="s">
        <v>24</v>
      </c>
      <c r="AT56" t="s">
        <v>24</v>
      </c>
      <c r="BN56" t="s">
        <v>24</v>
      </c>
    </row>
    <row r="57" spans="17:81" x14ac:dyDescent="0.25">
      <c r="Q57" s="24" t="s">
        <v>86</v>
      </c>
      <c r="R57" s="25"/>
      <c r="S57" s="25"/>
      <c r="T57" s="25"/>
      <c r="U57" s="34">
        <f>100*D25/(100-D25)</f>
        <v>18.34319526627219</v>
      </c>
      <c r="V57" s="26" t="s">
        <v>15</v>
      </c>
    </row>
    <row r="58" spans="17:81" x14ac:dyDescent="0.25">
      <c r="Q58" s="27"/>
      <c r="R58" s="28"/>
      <c r="S58" s="28"/>
      <c r="T58" s="28"/>
      <c r="U58" s="28"/>
      <c r="V58" s="29"/>
      <c r="Z58" t="s">
        <v>25</v>
      </c>
      <c r="AH58" s="13" t="s">
        <v>26</v>
      </c>
      <c r="AI58">
        <v>101.325</v>
      </c>
      <c r="AJ58" t="s">
        <v>27</v>
      </c>
      <c r="AK58" t="s">
        <v>28</v>
      </c>
      <c r="AT58" t="s">
        <v>25</v>
      </c>
      <c r="BB58" s="13" t="s">
        <v>26</v>
      </c>
      <c r="BC58">
        <v>101.325</v>
      </c>
      <c r="BD58" t="s">
        <v>27</v>
      </c>
      <c r="BE58" t="s">
        <v>28</v>
      </c>
      <c r="BN58" t="s">
        <v>25</v>
      </c>
      <c r="BV58" s="13" t="s">
        <v>26</v>
      </c>
      <c r="BW58">
        <v>101.325</v>
      </c>
      <c r="BX58" t="s">
        <v>27</v>
      </c>
      <c r="BY58" t="s">
        <v>28</v>
      </c>
    </row>
    <row r="59" spans="17:81" x14ac:dyDescent="0.25">
      <c r="Q59" s="27" t="s">
        <v>87</v>
      </c>
      <c r="R59" s="28"/>
      <c r="S59" s="28"/>
      <c r="T59" s="28"/>
      <c r="U59" s="30">
        <f>(D23-32)/1.8</f>
        <v>18.333333333333332</v>
      </c>
      <c r="V59" s="29" t="s">
        <v>16</v>
      </c>
      <c r="AA59" t="s">
        <v>29</v>
      </c>
      <c r="AC59" s="14">
        <f>D16</f>
        <v>65</v>
      </c>
      <c r="AD59" s="15" t="s">
        <v>30</v>
      </c>
      <c r="AH59" s="13" t="s">
        <v>31</v>
      </c>
      <c r="AI59">
        <v>0.28705000000000003</v>
      </c>
      <c r="AJ59" t="s">
        <v>32</v>
      </c>
      <c r="AK59" t="s">
        <v>33</v>
      </c>
      <c r="AU59" t="s">
        <v>29</v>
      </c>
      <c r="AW59" s="14">
        <f>D12</f>
        <v>70</v>
      </c>
      <c r="AX59" s="15" t="s">
        <v>30</v>
      </c>
      <c r="BB59" s="13" t="s">
        <v>31</v>
      </c>
      <c r="BC59">
        <v>0.28705000000000003</v>
      </c>
      <c r="BD59" t="s">
        <v>32</v>
      </c>
      <c r="BE59" t="s">
        <v>33</v>
      </c>
      <c r="BO59" t="s">
        <v>29</v>
      </c>
      <c r="BQ59" s="14">
        <f>AC59+D28</f>
        <v>75</v>
      </c>
      <c r="BR59" s="15" t="s">
        <v>30</v>
      </c>
      <c r="BV59" s="13" t="s">
        <v>31</v>
      </c>
      <c r="BW59">
        <v>0.28705000000000003</v>
      </c>
      <c r="BX59" t="s">
        <v>32</v>
      </c>
      <c r="BY59" t="s">
        <v>33</v>
      </c>
    </row>
    <row r="60" spans="17:81" x14ac:dyDescent="0.25">
      <c r="Q60" s="27"/>
      <c r="R60" s="28"/>
      <c r="S60" s="28"/>
      <c r="T60" s="28"/>
      <c r="U60" s="28"/>
      <c r="V60" s="29"/>
      <c r="AA60" t="s">
        <v>9</v>
      </c>
      <c r="AC60" s="14">
        <f>D17</f>
        <v>70</v>
      </c>
      <c r="AD60" s="15" t="s">
        <v>10</v>
      </c>
      <c r="AU60" t="s">
        <v>9</v>
      </c>
      <c r="AW60" s="14">
        <f>U54</f>
        <v>90.683496344816746</v>
      </c>
      <c r="AX60" s="15" t="s">
        <v>10</v>
      </c>
      <c r="BO60" t="s">
        <v>42</v>
      </c>
      <c r="BQ60" s="14">
        <f>AC64</f>
        <v>54.933334410624326</v>
      </c>
      <c r="BR60" s="15" t="s">
        <v>30</v>
      </c>
    </row>
    <row r="61" spans="17:81" x14ac:dyDescent="0.25">
      <c r="Q61" s="27" t="s">
        <v>18</v>
      </c>
      <c r="R61" s="28"/>
      <c r="S61" s="28"/>
      <c r="T61" s="28"/>
      <c r="U61" s="30">
        <f>100*(1-EXP(-0.000066612*(U59+42.143)*U57^1.9677))</f>
        <v>70.884323874870887</v>
      </c>
      <c r="V61" s="29" t="s">
        <v>10</v>
      </c>
      <c r="AH61" s="13" t="s">
        <v>34</v>
      </c>
      <c r="AI61" s="9">
        <f>AC72+273.16</f>
        <v>291.49333333333334</v>
      </c>
      <c r="AJ61" t="s">
        <v>35</v>
      </c>
      <c r="AK61" t="s">
        <v>36</v>
      </c>
      <c r="BB61" s="13" t="s">
        <v>34</v>
      </c>
      <c r="BC61" s="9">
        <f>AW72+273.16</f>
        <v>294.27111111111111</v>
      </c>
      <c r="BD61" t="s">
        <v>35</v>
      </c>
      <c r="BE61" t="s">
        <v>36</v>
      </c>
      <c r="BV61" s="13" t="s">
        <v>34</v>
      </c>
      <c r="BW61" s="9">
        <f>BQ72+273.16</f>
        <v>297.04888888888894</v>
      </c>
      <c r="BX61" t="s">
        <v>35</v>
      </c>
      <c r="BY61" t="s">
        <v>36</v>
      </c>
    </row>
    <row r="62" spans="17:81" x14ac:dyDescent="0.25">
      <c r="Q62" s="31" t="s">
        <v>140</v>
      </c>
      <c r="R62" s="32"/>
      <c r="S62" s="32"/>
      <c r="T62" s="32"/>
      <c r="U62" s="32"/>
      <c r="V62" s="33"/>
      <c r="Z62" t="s">
        <v>37</v>
      </c>
      <c r="AH62" s="16" t="s">
        <v>38</v>
      </c>
      <c r="AI62" s="17">
        <f>AC73/100</f>
        <v>0.7</v>
      </c>
      <c r="AK62" t="s">
        <v>39</v>
      </c>
      <c r="AT62" t="s">
        <v>37</v>
      </c>
      <c r="BB62" s="16" t="s">
        <v>38</v>
      </c>
      <c r="BC62" s="17">
        <f>AW73/100</f>
        <v>0.9068349634481675</v>
      </c>
      <c r="BE62" t="s">
        <v>39</v>
      </c>
      <c r="BN62" t="s">
        <v>37</v>
      </c>
      <c r="BV62" s="13" t="s">
        <v>125</v>
      </c>
      <c r="BW62" s="9">
        <f>BQ73+273.16</f>
        <v>285.90074133923576</v>
      </c>
      <c r="BX62" t="s">
        <v>35</v>
      </c>
      <c r="BY62" t="s">
        <v>67</v>
      </c>
    </row>
    <row r="63" spans="17:81" x14ac:dyDescent="0.25">
      <c r="AA63" t="s">
        <v>29</v>
      </c>
      <c r="AC63" s="18">
        <f>AC72*9/5+32</f>
        <v>65</v>
      </c>
      <c r="AD63" s="15" t="s">
        <v>30</v>
      </c>
      <c r="AN63" t="s">
        <v>40</v>
      </c>
      <c r="AO63" t="s">
        <v>41</v>
      </c>
      <c r="AU63" t="s">
        <v>29</v>
      </c>
      <c r="AW63" s="18">
        <f>AW72*9/5+32</f>
        <v>70</v>
      </c>
      <c r="AX63" s="15" t="s">
        <v>30</v>
      </c>
      <c r="BH63" t="s">
        <v>40</v>
      </c>
      <c r="BI63" t="s">
        <v>41</v>
      </c>
      <c r="BO63" t="s">
        <v>29</v>
      </c>
      <c r="BQ63" s="18">
        <f>BQ72*9/5+32</f>
        <v>75</v>
      </c>
      <c r="BR63" s="15" t="s">
        <v>30</v>
      </c>
      <c r="CB63" t="s">
        <v>40</v>
      </c>
      <c r="CC63" t="s">
        <v>41</v>
      </c>
    </row>
    <row r="64" spans="17:81" x14ac:dyDescent="0.25">
      <c r="Q64" t="s">
        <v>80</v>
      </c>
      <c r="V64" s="8">
        <f>I10/100</f>
        <v>0.8</v>
      </c>
      <c r="AA64" t="s">
        <v>42</v>
      </c>
      <c r="AC64" s="18">
        <f>AC75*9/5+32</f>
        <v>54.933334410624326</v>
      </c>
      <c r="AD64" s="15" t="s">
        <v>30</v>
      </c>
      <c r="AH64" s="13" t="s">
        <v>43</v>
      </c>
      <c r="AI64">
        <f>IF(AC72&lt;0,EXP(AO64),EXP(AO65))</f>
        <v>2.1079531133021145</v>
      </c>
      <c r="AJ64" t="s">
        <v>27</v>
      </c>
      <c r="AK64" t="s">
        <v>44</v>
      </c>
      <c r="AN64" t="s">
        <v>45</v>
      </c>
      <c r="AO64">
        <f>24.2779-(6238.64/AI61)-0.344438*LN(AI61)</f>
        <v>0.9208664847216621</v>
      </c>
      <c r="AU64" t="s">
        <v>42</v>
      </c>
      <c r="AW64" s="18">
        <f>AW75*9/5+32</f>
        <v>67.109898999377961</v>
      </c>
      <c r="AX64" s="15" t="s">
        <v>30</v>
      </c>
      <c r="BB64" s="13" t="s">
        <v>43</v>
      </c>
      <c r="BC64">
        <f>IF(AW72&lt;0,EXP(BI64),EXP(BI65))</f>
        <v>2.5045971996864216</v>
      </c>
      <c r="BD64" t="s">
        <v>27</v>
      </c>
      <c r="BE64" t="s">
        <v>44</v>
      </c>
      <c r="BH64" t="s">
        <v>45</v>
      </c>
      <c r="BI64">
        <f>24.2779-(6238.64/BC61)-0.344438*LN(BC61)</f>
        <v>1.1196275289153725</v>
      </c>
      <c r="BO64" t="s">
        <v>42</v>
      </c>
      <c r="BQ64" s="18">
        <f>BQ73*9/5+32</f>
        <v>54.933334410624326</v>
      </c>
      <c r="BR64" s="15" t="s">
        <v>30</v>
      </c>
      <c r="BV64" s="13" t="s">
        <v>43</v>
      </c>
      <c r="BW64">
        <f>IF(BQ72&lt;0,EXP(CC64),EXP(CC65))</f>
        <v>2.965026146896061</v>
      </c>
      <c r="BX64" t="s">
        <v>27</v>
      </c>
      <c r="BY64" t="s">
        <v>44</v>
      </c>
      <c r="CB64" t="s">
        <v>45</v>
      </c>
      <c r="CC64">
        <f>24.2779-(6238.64/BW61)-0.344438*LN(BW61)</f>
        <v>1.3146408411068913</v>
      </c>
    </row>
    <row r="65" spans="17:81" x14ac:dyDescent="0.25">
      <c r="AA65" t="s">
        <v>46</v>
      </c>
      <c r="AC65" s="18"/>
      <c r="AD65" s="15" t="s">
        <v>30</v>
      </c>
      <c r="AH65" s="13" t="s">
        <v>47</v>
      </c>
      <c r="AI65">
        <f>0.62198*AI64/(AI58-AI64)</f>
        <v>1.3214510193080843E-2</v>
      </c>
      <c r="AK65" t="s">
        <v>48</v>
      </c>
      <c r="AN65" t="s">
        <v>49</v>
      </c>
      <c r="AO65">
        <f>(-7511.52/AI61)+89.63121+0.02399897*AI61-1.1654551*10^-5*AI61^2-1.28100336*10^-8*AI61^3+2.0998405*10^-11*AI61^4-12.150799*LN(AI61)</f>
        <v>0.74571738816520394</v>
      </c>
      <c r="AU65" t="s">
        <v>46</v>
      </c>
      <c r="AW65" s="18"/>
      <c r="AX65" s="15" t="s">
        <v>30</v>
      </c>
      <c r="BB65" s="13" t="s">
        <v>47</v>
      </c>
      <c r="BC65">
        <f>0.62198*BC64/(BC58-BC64)</f>
        <v>1.5764045906682109E-2</v>
      </c>
      <c r="BE65" t="s">
        <v>48</v>
      </c>
      <c r="BH65" t="s">
        <v>49</v>
      </c>
      <c r="BI65">
        <f>(-7511.52/BC61)+89.63121+0.02399897*BC61-1.1654551*10^-5*BC61^2-1.28100336*10^-8*BC61^3+2.0998405*10^-11*BC61^4-12.150799*LN(BC61)</f>
        <v>0.91812792307898405</v>
      </c>
      <c r="BO65" t="s">
        <v>46</v>
      </c>
      <c r="BQ65" s="43"/>
      <c r="BR65" s="15" t="s">
        <v>30</v>
      </c>
      <c r="BV65" s="13" t="s">
        <v>47</v>
      </c>
      <c r="BW65">
        <f>0.62198*BW64/(BW58-BW64)</f>
        <v>1.874936410211556E-2</v>
      </c>
      <c r="BY65" t="s">
        <v>48</v>
      </c>
      <c r="CB65" t="s">
        <v>49</v>
      </c>
      <c r="CC65">
        <f>(-7511.52/BW61)+89.63121+0.02399897*BW61-1.1654551*10^-5*BW61^2-1.28100336*10^-8*BW61^3+2.0998405*10^-11*BW61^4-12.150799*LN(BW61)</f>
        <v>1.0868858509254977</v>
      </c>
    </row>
    <row r="66" spans="17:81" x14ac:dyDescent="0.25">
      <c r="AA66" t="s">
        <v>50</v>
      </c>
      <c r="AC66" s="19">
        <f>AC76</f>
        <v>9.1915722329270408E-3</v>
      </c>
      <c r="AD66" t="s">
        <v>51</v>
      </c>
      <c r="AU66" t="s">
        <v>50</v>
      </c>
      <c r="AW66" s="19">
        <f>AW76</f>
        <v>1.4261712350156393E-2</v>
      </c>
      <c r="AX66" t="s">
        <v>51</v>
      </c>
      <c r="BO66" t="s">
        <v>50</v>
      </c>
      <c r="BQ66" s="19">
        <f>BQ76</f>
        <v>9.1730831265247892E-3</v>
      </c>
      <c r="BR66" t="s">
        <v>51</v>
      </c>
    </row>
    <row r="67" spans="17:81" x14ac:dyDescent="0.25">
      <c r="Q67" t="s">
        <v>92</v>
      </c>
      <c r="AA67" t="s">
        <v>9</v>
      </c>
      <c r="AC67" s="18">
        <f>AC77</f>
        <v>70</v>
      </c>
      <c r="AD67" t="s">
        <v>10</v>
      </c>
      <c r="AH67" s="13" t="s">
        <v>52</v>
      </c>
      <c r="AI67">
        <f>AI64*AI62</f>
        <v>1.4755671793114802</v>
      </c>
      <c r="AJ67" t="s">
        <v>27</v>
      </c>
      <c r="AK67" t="s">
        <v>53</v>
      </c>
      <c r="AU67" t="s">
        <v>9</v>
      </c>
      <c r="AW67" s="18">
        <f>AW77</f>
        <v>90.683496344816746</v>
      </c>
      <c r="AX67" t="s">
        <v>10</v>
      </c>
      <c r="BB67" s="13" t="s">
        <v>52</v>
      </c>
      <c r="BC67">
        <f>BC64*BC62</f>
        <v>2.2712563100300187</v>
      </c>
      <c r="BD67" t="s">
        <v>27</v>
      </c>
      <c r="BE67" t="s">
        <v>53</v>
      </c>
      <c r="BO67" t="s">
        <v>9</v>
      </c>
      <c r="BQ67" s="18">
        <f>BQ77</f>
        <v>49.667088922121103</v>
      </c>
      <c r="BR67" t="s">
        <v>10</v>
      </c>
      <c r="BV67" s="13" t="s">
        <v>52</v>
      </c>
      <c r="BW67">
        <f>IF(BQ73&lt;0,EXP(CC68),EXP(CC69))</f>
        <v>1.4726421729430077</v>
      </c>
      <c r="BX67" t="s">
        <v>27</v>
      </c>
      <c r="BY67" t="s">
        <v>64</v>
      </c>
      <c r="CB67" t="s">
        <v>40</v>
      </c>
      <c r="CC67" t="s">
        <v>41</v>
      </c>
    </row>
    <row r="68" spans="17:81" x14ac:dyDescent="0.25">
      <c r="AA68" t="s">
        <v>54</v>
      </c>
      <c r="AC68" s="20">
        <f>AC78/0.062428</f>
        <v>13.423361209341635</v>
      </c>
      <c r="AD68" t="s">
        <v>55</v>
      </c>
      <c r="AH68" s="13"/>
      <c r="AU68" t="s">
        <v>54</v>
      </c>
      <c r="AW68" s="20">
        <f>AW78/0.062428</f>
        <v>13.660136960028666</v>
      </c>
      <c r="AX68" t="s">
        <v>55</v>
      </c>
      <c r="BB68" s="13"/>
      <c r="BO68" t="s">
        <v>54</v>
      </c>
      <c r="BQ68" s="20">
        <f>BQ78/0.062428</f>
        <v>13.678795602489881</v>
      </c>
      <c r="BR68" t="s">
        <v>55</v>
      </c>
      <c r="BV68" s="13" t="s">
        <v>58</v>
      </c>
      <c r="BW68">
        <f>0.62198*BW67/(BW58-BW67)</f>
        <v>9.1730831265247892E-3</v>
      </c>
      <c r="BY68" t="s">
        <v>126</v>
      </c>
      <c r="CB68" t="s">
        <v>127</v>
      </c>
      <c r="CC68">
        <f>24.2779-(6238.64/BW62)-0.344438*LN(BW62)</f>
        <v>0.50888132196125091</v>
      </c>
    </row>
    <row r="69" spans="17:81" x14ac:dyDescent="0.25">
      <c r="Q69" t="s">
        <v>93</v>
      </c>
      <c r="T69" s="9">
        <f>D13</f>
        <v>20</v>
      </c>
      <c r="U69" t="s">
        <v>94</v>
      </c>
      <c r="AA69" t="s">
        <v>56</v>
      </c>
      <c r="AC69" s="18">
        <f>AC79/2.326+7.686</f>
        <v>25.626913399669114</v>
      </c>
      <c r="AD69" t="s">
        <v>57</v>
      </c>
      <c r="AU69" t="s">
        <v>56</v>
      </c>
      <c r="AW69" s="18">
        <f>AW79/2.326+7.686</f>
        <v>32.381072407555195</v>
      </c>
      <c r="AX69" t="s">
        <v>57</v>
      </c>
      <c r="BO69" t="s">
        <v>56</v>
      </c>
      <c r="BQ69" s="18">
        <f>BQ79/2.326+7.686</f>
        <v>28.048453708947477</v>
      </c>
      <c r="BR69" t="s">
        <v>57</v>
      </c>
      <c r="BV69" s="16" t="s">
        <v>61</v>
      </c>
      <c r="BW69">
        <f>BW68/BW65</f>
        <v>0.48924769269853563</v>
      </c>
      <c r="BY69" t="s">
        <v>62</v>
      </c>
      <c r="CB69" t="s">
        <v>128</v>
      </c>
      <c r="CC69">
        <f>(-7511.52/BW62)+89.63121+0.02399897*BW62-1.1654551*10^-5*BW62^2-1.28100336*10^-8*BW62^3+2.0998405*10^-11*BW62^4-12.150799*LN(BW62)</f>
        <v>0.38705818396628899</v>
      </c>
    </row>
    <row r="70" spans="17:81" x14ac:dyDescent="0.25">
      <c r="R70" t="s">
        <v>95</v>
      </c>
      <c r="U70" s="8">
        <f>T69/100*56</f>
        <v>11.200000000000001</v>
      </c>
      <c r="V70" t="s">
        <v>96</v>
      </c>
      <c r="AH70" s="13" t="s">
        <v>58</v>
      </c>
      <c r="AI70">
        <f>0.62198*AI67/(AI58-AI67)</f>
        <v>9.1915722329270408E-3</v>
      </c>
      <c r="AK70" t="s">
        <v>59</v>
      </c>
      <c r="BB70" s="13" t="s">
        <v>58</v>
      </c>
      <c r="BC70">
        <f>0.62198*BC67/(BC58-BC67)</f>
        <v>1.4261712350156393E-2</v>
      </c>
      <c r="BE70" t="s">
        <v>59</v>
      </c>
      <c r="BV70" s="16" t="s">
        <v>38</v>
      </c>
      <c r="BW70">
        <f>BW67/BW64</f>
        <v>0.496670889221211</v>
      </c>
      <c r="BY70" t="s">
        <v>39</v>
      </c>
    </row>
    <row r="71" spans="17:81" x14ac:dyDescent="0.25">
      <c r="R71" t="s">
        <v>97</v>
      </c>
      <c r="U71" s="8">
        <f>56-U70</f>
        <v>44.8</v>
      </c>
      <c r="V71" t="s">
        <v>96</v>
      </c>
      <c r="Z71" t="s">
        <v>60</v>
      </c>
      <c r="AH71" s="16" t="s">
        <v>61</v>
      </c>
      <c r="AI71">
        <f>AI70/AI65</f>
        <v>0.69556662325174756</v>
      </c>
      <c r="AK71" t="s">
        <v>62</v>
      </c>
      <c r="AT71" t="s">
        <v>60</v>
      </c>
      <c r="BB71" s="16" t="s">
        <v>61</v>
      </c>
      <c r="BC71">
        <f>BC70/BC65</f>
        <v>0.9046987324561836</v>
      </c>
      <c r="BE71" t="s">
        <v>62</v>
      </c>
      <c r="BN71" t="s">
        <v>60</v>
      </c>
      <c r="BV71" s="16" t="s">
        <v>69</v>
      </c>
      <c r="BW71">
        <f>1.006*BQ72+BW68*(2501+1.775*BQ72)</f>
        <v>47.363067327011834</v>
      </c>
      <c r="BX71" t="s">
        <v>70</v>
      </c>
      <c r="BY71" t="s">
        <v>71</v>
      </c>
    </row>
    <row r="72" spans="17:81" x14ac:dyDescent="0.25">
      <c r="AA72" t="s">
        <v>29</v>
      </c>
      <c r="AC72" s="9">
        <f>(AC59-32)*5/9</f>
        <v>18.333333333333332</v>
      </c>
      <c r="AD72" s="15" t="s">
        <v>63</v>
      </c>
      <c r="AH72" s="16" t="s">
        <v>52</v>
      </c>
      <c r="AI72">
        <f>AI64*AI62</f>
        <v>1.4755671793114802</v>
      </c>
      <c r="AJ72" t="s">
        <v>27</v>
      </c>
      <c r="AK72" t="s">
        <v>64</v>
      </c>
      <c r="AU72" t="s">
        <v>29</v>
      </c>
      <c r="AW72" s="9">
        <f>(AW59-32)*5/9</f>
        <v>21.111111111111111</v>
      </c>
      <c r="AX72" s="15" t="s">
        <v>63</v>
      </c>
      <c r="BB72" s="16" t="s">
        <v>52</v>
      </c>
      <c r="BC72">
        <f>BC64*BC62</f>
        <v>2.2712563100300187</v>
      </c>
      <c r="BD72" t="s">
        <v>27</v>
      </c>
      <c r="BE72" t="s">
        <v>64</v>
      </c>
      <c r="BO72" t="s">
        <v>29</v>
      </c>
      <c r="BQ72" s="9">
        <f>(BQ59-32)*5/9</f>
        <v>23.888888888888889</v>
      </c>
      <c r="BR72" s="15" t="s">
        <v>63</v>
      </c>
      <c r="BV72" s="16" t="s">
        <v>73</v>
      </c>
      <c r="BW72">
        <f>BW59*BW61/BW58*(1+1.6078*BW68)</f>
        <v>0.85393985187223831</v>
      </c>
      <c r="BX72" t="s">
        <v>74</v>
      </c>
      <c r="BY72" t="s">
        <v>75</v>
      </c>
    </row>
    <row r="73" spans="17:81" x14ac:dyDescent="0.25">
      <c r="Q73" t="s">
        <v>98</v>
      </c>
      <c r="T73" s="9">
        <f>D25</f>
        <v>15.5</v>
      </c>
      <c r="U73" t="s">
        <v>94</v>
      </c>
      <c r="AA73" t="s">
        <v>9</v>
      </c>
      <c r="AC73" s="9">
        <f>AC60</f>
        <v>70</v>
      </c>
      <c r="AD73" s="15" t="s">
        <v>10</v>
      </c>
      <c r="AH73" s="16" t="s">
        <v>38</v>
      </c>
      <c r="AI73">
        <f>AI72/AI64</f>
        <v>0.7</v>
      </c>
      <c r="AK73" t="s">
        <v>39</v>
      </c>
      <c r="AN73" s="13" t="s">
        <v>65</v>
      </c>
      <c r="AO73">
        <f>LN(AI72)</f>
        <v>0.38904244422647155</v>
      </c>
      <c r="AU73" t="s">
        <v>9</v>
      </c>
      <c r="AW73" s="9">
        <f>AW60</f>
        <v>90.683496344816746</v>
      </c>
      <c r="AX73" s="15" t="s">
        <v>10</v>
      </c>
      <c r="BB73" s="16" t="s">
        <v>38</v>
      </c>
      <c r="BC73">
        <f>BC72/BC64</f>
        <v>0.9068349634481675</v>
      </c>
      <c r="BE73" t="s">
        <v>39</v>
      </c>
      <c r="BH73" s="13" t="s">
        <v>65</v>
      </c>
      <c r="BI73">
        <f>LN(BC72)</f>
        <v>0.8203331189434353</v>
      </c>
      <c r="BO73" t="s">
        <v>42</v>
      </c>
      <c r="BQ73" s="9">
        <f>(BQ60-32)*5/9</f>
        <v>12.740741339235736</v>
      </c>
      <c r="BR73" s="15" t="s">
        <v>63</v>
      </c>
    </row>
    <row r="74" spans="17:81" x14ac:dyDescent="0.25">
      <c r="R74" t="s">
        <v>99</v>
      </c>
      <c r="U74" s="8">
        <f>(T73/100*U71)/(1-T73/100)</f>
        <v>8.2177514792899409</v>
      </c>
      <c r="V74" t="s">
        <v>96</v>
      </c>
      <c r="AH74" s="16" t="s">
        <v>66</v>
      </c>
      <c r="AI74">
        <f>IF(AC72&lt;=0,AO74,IF(AC72&lt;=50,AO75,AO76))</f>
        <v>12.740741339235734</v>
      </c>
      <c r="AJ74" s="15" t="s">
        <v>63</v>
      </c>
      <c r="AK74" t="s">
        <v>67</v>
      </c>
      <c r="AN74" s="13" t="s">
        <v>66</v>
      </c>
      <c r="AO74">
        <f>5.994+12.41*AO73+0.4273*AO73^2</f>
        <v>10.886690307053479</v>
      </c>
      <c r="AP74" t="s">
        <v>68</v>
      </c>
      <c r="BB74" s="16" t="s">
        <v>66</v>
      </c>
      <c r="BC74">
        <f>IF(AW72&lt;=0,BI74,IF(AW72&lt;=50,BI75,BI76))</f>
        <v>19.505499444098866</v>
      </c>
      <c r="BD74" s="15" t="s">
        <v>63</v>
      </c>
      <c r="BE74" t="s">
        <v>67</v>
      </c>
      <c r="BH74" s="13" t="s">
        <v>66</v>
      </c>
      <c r="BI74">
        <f>5.994+12.41*BI73+0.4273*BI73^2</f>
        <v>16.461884013932984</v>
      </c>
      <c r="BJ74" t="s">
        <v>68</v>
      </c>
    </row>
    <row r="75" spans="17:81" x14ac:dyDescent="0.25">
      <c r="AA75" t="s">
        <v>42</v>
      </c>
      <c r="AC75" s="9">
        <f>AI74</f>
        <v>12.740741339235734</v>
      </c>
      <c r="AD75" s="15" t="s">
        <v>63</v>
      </c>
      <c r="AH75" s="16" t="s">
        <v>69</v>
      </c>
      <c r="AI75">
        <f>1.006*AC72+AI70*(2501+1.775*AC72)</f>
        <v>41.73056456763036</v>
      </c>
      <c r="AJ75" t="s">
        <v>70</v>
      </c>
      <c r="AK75" t="s">
        <v>71</v>
      </c>
      <c r="AN75" s="13" t="s">
        <v>66</v>
      </c>
      <c r="AO75">
        <f>6.983+14.38*AO73+1.079*AO73^2</f>
        <v>12.740741339235734</v>
      </c>
      <c r="AP75" t="s">
        <v>72</v>
      </c>
      <c r="AU75" t="s">
        <v>42</v>
      </c>
      <c r="AW75" s="9">
        <f>BC74</f>
        <v>19.505499444098866</v>
      </c>
      <c r="AX75" s="15" t="s">
        <v>63</v>
      </c>
      <c r="BB75" s="16" t="s">
        <v>69</v>
      </c>
      <c r="BC75">
        <f>1.006*AW72+BC70*(2501+1.775*AW72)</f>
        <v>57.440738419973385</v>
      </c>
      <c r="BD75" t="s">
        <v>70</v>
      </c>
      <c r="BE75" t="s">
        <v>71</v>
      </c>
      <c r="BH75" s="13" t="s">
        <v>66</v>
      </c>
      <c r="BI75">
        <f>6.983+14.38*BI73+1.079*BI73^2</f>
        <v>19.505499444098866</v>
      </c>
      <c r="BJ75" t="s">
        <v>72</v>
      </c>
      <c r="BO75" t="s">
        <v>46</v>
      </c>
      <c r="BR75" s="15" t="s">
        <v>63</v>
      </c>
      <c r="BS75" t="s">
        <v>77</v>
      </c>
    </row>
    <row r="76" spans="17:81" x14ac:dyDescent="0.25">
      <c r="Q76" t="s">
        <v>100</v>
      </c>
      <c r="T76" s="8">
        <f>U70-U74</f>
        <v>2.9822485207100602</v>
      </c>
      <c r="U76" t="s">
        <v>96</v>
      </c>
      <c r="AA76" t="s">
        <v>50</v>
      </c>
      <c r="AC76" s="21">
        <f>AI70</f>
        <v>9.1915722329270408E-3</v>
      </c>
      <c r="AH76" s="16" t="s">
        <v>73</v>
      </c>
      <c r="AI76">
        <f>AI59*AI61/AI58*(1+1.6078*AI70)</f>
        <v>0.83799359357677961</v>
      </c>
      <c r="AJ76" t="s">
        <v>74</v>
      </c>
      <c r="AK76" t="s">
        <v>75</v>
      </c>
      <c r="AN76" s="13" t="s">
        <v>66</v>
      </c>
      <c r="AO76">
        <f>13.8+9.478*AO73+1.991*AO73^2</f>
        <v>17.788690146987225</v>
      </c>
      <c r="AP76" t="s">
        <v>76</v>
      </c>
      <c r="AU76" t="s">
        <v>50</v>
      </c>
      <c r="AW76" s="21">
        <f>BC70</f>
        <v>1.4261712350156393E-2</v>
      </c>
      <c r="BB76" s="16" t="s">
        <v>73</v>
      </c>
      <c r="BC76">
        <f>BC59*BC61/BC58*(1+1.6078*BC70)</f>
        <v>0.85277503014066958</v>
      </c>
      <c r="BD76" t="s">
        <v>74</v>
      </c>
      <c r="BE76" t="s">
        <v>75</v>
      </c>
      <c r="BH76" s="13" t="s">
        <v>66</v>
      </c>
      <c r="BI76">
        <f>13.8+9.478*BI73+1.991*BI73^2</f>
        <v>22.914953635582489</v>
      </c>
      <c r="BJ76" t="s">
        <v>76</v>
      </c>
      <c r="BO76" t="s">
        <v>50</v>
      </c>
      <c r="BQ76" s="21">
        <f>BW68</f>
        <v>9.1730831265247892E-3</v>
      </c>
    </row>
    <row r="77" spans="17:81" x14ac:dyDescent="0.25">
      <c r="AA77" t="s">
        <v>9</v>
      </c>
      <c r="AC77" s="9">
        <f>AI73*100</f>
        <v>70</v>
      </c>
      <c r="AD77" t="s">
        <v>10</v>
      </c>
      <c r="AU77" t="s">
        <v>9</v>
      </c>
      <c r="AW77" s="9">
        <f>BC73*100</f>
        <v>90.683496344816746</v>
      </c>
      <c r="AX77" t="s">
        <v>10</v>
      </c>
      <c r="BO77" t="s">
        <v>9</v>
      </c>
      <c r="BQ77" s="9">
        <f>BW70*100</f>
        <v>49.667088922121103</v>
      </c>
      <c r="BR77" t="s">
        <v>10</v>
      </c>
    </row>
    <row r="78" spans="17:81" x14ac:dyDescent="0.25">
      <c r="Q78" t="s">
        <v>102</v>
      </c>
      <c r="V78" s="9"/>
      <c r="AA78" t="s">
        <v>54</v>
      </c>
      <c r="AC78" s="7">
        <f>AI76</f>
        <v>0.83799359357677961</v>
      </c>
      <c r="AD78" t="s">
        <v>74</v>
      </c>
      <c r="AU78" t="s">
        <v>54</v>
      </c>
      <c r="AW78" s="7">
        <f>BC76</f>
        <v>0.85277503014066958</v>
      </c>
      <c r="AX78" t="s">
        <v>74</v>
      </c>
      <c r="BO78" t="s">
        <v>54</v>
      </c>
      <c r="BQ78" s="7">
        <f>BW72</f>
        <v>0.85393985187223831</v>
      </c>
      <c r="BR78" t="s">
        <v>74</v>
      </c>
    </row>
    <row r="79" spans="17:81" x14ac:dyDescent="0.25">
      <c r="R79" t="s">
        <v>103</v>
      </c>
      <c r="T79">
        <f>K8*60/AC68*(V64*(AW66-BQ66))</f>
        <v>4.0222473142151327E-2</v>
      </c>
      <c r="U79" t="s">
        <v>104</v>
      </c>
      <c r="AA79" t="s">
        <v>56</v>
      </c>
      <c r="AC79" s="9">
        <f>AI75</f>
        <v>41.73056456763036</v>
      </c>
      <c r="AD79" t="s">
        <v>70</v>
      </c>
      <c r="AU79" t="s">
        <v>56</v>
      </c>
      <c r="AW79" s="9">
        <f>BC75</f>
        <v>57.440738419973385</v>
      </c>
      <c r="AX79" t="s">
        <v>70</v>
      </c>
      <c r="BO79" t="s">
        <v>56</v>
      </c>
      <c r="BQ79" s="9">
        <f>BW71</f>
        <v>47.363067327011834</v>
      </c>
      <c r="BR79" t="s">
        <v>70</v>
      </c>
    </row>
    <row r="80" spans="17:81" x14ac:dyDescent="0.25">
      <c r="AA80" t="s">
        <v>46</v>
      </c>
      <c r="AD80" s="15" t="s">
        <v>63</v>
      </c>
      <c r="AE80" t="s">
        <v>77</v>
      </c>
      <c r="AU80" t="s">
        <v>46</v>
      </c>
      <c r="AX80" s="15" t="s">
        <v>63</v>
      </c>
      <c r="AY80" t="s">
        <v>77</v>
      </c>
    </row>
    <row r="81" spans="17:20" x14ac:dyDescent="0.25">
      <c r="Q81" t="s">
        <v>105</v>
      </c>
      <c r="S81" s="9">
        <f>T76/T79</f>
        <v>74.143837704121651</v>
      </c>
      <c r="T81" t="s">
        <v>106</v>
      </c>
    </row>
    <row r="82" spans="17:20" x14ac:dyDescent="0.25">
      <c r="S82" s="8">
        <f>S81/24</f>
        <v>3.0893265710050688</v>
      </c>
      <c r="T82" t="s">
        <v>107</v>
      </c>
    </row>
    <row r="87" spans="17:20" x14ac:dyDescent="0.25">
      <c r="Q87" t="s">
        <v>110</v>
      </c>
    </row>
    <row r="89" spans="17:20" x14ac:dyDescent="0.25">
      <c r="Q89" s="13" t="s">
        <v>111</v>
      </c>
      <c r="R89">
        <f>D20/(3.14159/4*D6*D6)</f>
        <v>7.0735590010861449</v>
      </c>
      <c r="S89" t="s">
        <v>112</v>
      </c>
    </row>
    <row r="91" spans="17:20" x14ac:dyDescent="0.25">
      <c r="Q91" t="s">
        <v>113</v>
      </c>
      <c r="S91">
        <f>(D8+D9)*(20700/31635726*R89^2/(LN(1+30.4/196.85*R89)))</f>
        <v>0.35475019272885921</v>
      </c>
      <c r="T91" t="s">
        <v>109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91"/>
  <sheetViews>
    <sheetView showGridLines="0" workbookViewId="0">
      <selection activeCell="D6" sqref="D6"/>
    </sheetView>
  </sheetViews>
  <sheetFormatPr defaultRowHeight="15" x14ac:dyDescent="0.25"/>
  <cols>
    <col min="2" max="2" width="5.5703125" customWidth="1"/>
    <col min="3" max="3" width="22.7109375" customWidth="1"/>
    <col min="4" max="4" width="9.7109375" customWidth="1"/>
    <col min="6" max="6" width="7.5703125" customWidth="1"/>
    <col min="7" max="7" width="6.28515625" customWidth="1"/>
    <col min="8" max="8" width="17.28515625" customWidth="1"/>
    <col min="9" max="9" width="7.140625" customWidth="1"/>
    <col min="10" max="10" width="27.85546875" customWidth="1"/>
    <col min="18" max="18" width="12.5703125" customWidth="1"/>
  </cols>
  <sheetData>
    <row r="2" spans="2:12" ht="18.75" x14ac:dyDescent="0.3">
      <c r="C2" s="35" t="s">
        <v>143</v>
      </c>
    </row>
    <row r="4" spans="2:12" ht="15.75" x14ac:dyDescent="0.25">
      <c r="C4" s="1" t="s">
        <v>114</v>
      </c>
      <c r="J4" s="1" t="s">
        <v>37</v>
      </c>
    </row>
    <row r="5" spans="2:12" ht="15.75" x14ac:dyDescent="0.25">
      <c r="C5" s="1"/>
    </row>
    <row r="6" spans="2:12" x14ac:dyDescent="0.25">
      <c r="C6" t="s">
        <v>0</v>
      </c>
      <c r="D6" s="5">
        <v>30</v>
      </c>
      <c r="E6" t="s">
        <v>2</v>
      </c>
      <c r="J6" t="s">
        <v>20</v>
      </c>
      <c r="K6" s="11">
        <f>3.14159/4*D6*D6*D8*0.8</f>
        <v>2261.9448000000002</v>
      </c>
      <c r="L6" t="s">
        <v>21</v>
      </c>
    </row>
    <row r="7" spans="2:12" x14ac:dyDescent="0.25">
      <c r="C7" t="s">
        <v>1</v>
      </c>
      <c r="D7" s="5">
        <v>28</v>
      </c>
      <c r="E7" t="s">
        <v>2</v>
      </c>
    </row>
    <row r="8" spans="2:12" ht="32.25" customHeight="1" x14ac:dyDescent="0.25">
      <c r="C8" s="36" t="s">
        <v>131</v>
      </c>
      <c r="D8" s="23">
        <v>4</v>
      </c>
      <c r="E8" s="2" t="s">
        <v>2</v>
      </c>
      <c r="J8" s="3" t="s">
        <v>13</v>
      </c>
      <c r="K8" s="4">
        <f>D20/(3.14159/4*D6*D6*D8*0.8)</f>
        <v>2.2104871878394201</v>
      </c>
      <c r="L8" s="2" t="s">
        <v>12</v>
      </c>
    </row>
    <row r="9" spans="2:12" ht="32.25" customHeight="1" x14ac:dyDescent="0.25">
      <c r="C9" s="36" t="s">
        <v>132</v>
      </c>
      <c r="D9" s="23">
        <v>4</v>
      </c>
      <c r="E9" s="2" t="s">
        <v>2</v>
      </c>
      <c r="J9" s="3"/>
      <c r="K9" s="4"/>
      <c r="L9" s="2"/>
    </row>
    <row r="10" spans="2:12" ht="21.75" customHeight="1" x14ac:dyDescent="0.25">
      <c r="C10" s="36"/>
      <c r="D10" s="37"/>
      <c r="E10" s="2"/>
      <c r="H10" s="2" t="s">
        <v>117</v>
      </c>
      <c r="I10" s="39">
        <v>50</v>
      </c>
      <c r="J10" s="38" t="s">
        <v>10</v>
      </c>
      <c r="K10" s="4"/>
      <c r="L10" s="2"/>
    </row>
    <row r="11" spans="2:12" ht="18" customHeight="1" x14ac:dyDescent="0.25">
      <c r="B11" t="s">
        <v>6</v>
      </c>
    </row>
    <row r="12" spans="2:12" x14ac:dyDescent="0.25">
      <c r="C12" t="s">
        <v>5</v>
      </c>
      <c r="D12" s="10">
        <v>70</v>
      </c>
      <c r="E12" t="s">
        <v>3</v>
      </c>
    </row>
    <row r="13" spans="2:12" x14ac:dyDescent="0.25">
      <c r="C13" t="s">
        <v>4</v>
      </c>
      <c r="D13" s="10">
        <v>17</v>
      </c>
      <c r="E13" t="s">
        <v>7</v>
      </c>
    </row>
    <row r="15" spans="2:12" x14ac:dyDescent="0.25">
      <c r="B15" t="s">
        <v>8</v>
      </c>
    </row>
    <row r="16" spans="2:12" x14ac:dyDescent="0.25">
      <c r="C16" t="s">
        <v>5</v>
      </c>
      <c r="D16" s="10">
        <v>65</v>
      </c>
      <c r="E16" t="s">
        <v>3</v>
      </c>
    </row>
    <row r="17" spans="2:13" x14ac:dyDescent="0.25">
      <c r="C17" t="s">
        <v>9</v>
      </c>
      <c r="D17" s="5">
        <v>70</v>
      </c>
      <c r="E17" t="s">
        <v>10</v>
      </c>
    </row>
    <row r="18" spans="2:13" ht="18.75" x14ac:dyDescent="0.3">
      <c r="C18" t="s">
        <v>89</v>
      </c>
      <c r="D18" s="22">
        <f>AC64</f>
        <v>54.933334410624326</v>
      </c>
      <c r="E18" t="s">
        <v>3</v>
      </c>
      <c r="J18" s="35" t="s">
        <v>135</v>
      </c>
      <c r="K18" s="40">
        <f>S81</f>
        <v>168.49356671114603</v>
      </c>
      <c r="L18" s="35" t="s">
        <v>106</v>
      </c>
    </row>
    <row r="19" spans="2:13" ht="18.75" x14ac:dyDescent="0.3">
      <c r="J19" s="35"/>
      <c r="K19" s="41">
        <f>S82</f>
        <v>7.0205652796310849</v>
      </c>
      <c r="L19" s="35" t="s">
        <v>107</v>
      </c>
    </row>
    <row r="20" spans="2:13" x14ac:dyDescent="0.25">
      <c r="B20" t="s">
        <v>85</v>
      </c>
      <c r="D20" s="6">
        <v>5000</v>
      </c>
      <c r="E20" t="s">
        <v>11</v>
      </c>
    </row>
    <row r="21" spans="2:13" x14ac:dyDescent="0.25">
      <c r="D21" s="11"/>
      <c r="J21" t="s">
        <v>108</v>
      </c>
      <c r="L21" s="8">
        <f>S91</f>
        <v>0.35475019272885921</v>
      </c>
      <c r="M21" t="s">
        <v>109</v>
      </c>
    </row>
    <row r="22" spans="2:13" x14ac:dyDescent="0.25">
      <c r="B22" t="s">
        <v>81</v>
      </c>
    </row>
    <row r="23" spans="2:13" x14ac:dyDescent="0.25">
      <c r="C23" t="s">
        <v>82</v>
      </c>
      <c r="D23" s="10">
        <v>65</v>
      </c>
      <c r="E23" t="s">
        <v>3</v>
      </c>
    </row>
    <row r="24" spans="2:13" ht="16.5" customHeight="1" x14ac:dyDescent="0.25">
      <c r="C24" t="s">
        <v>83</v>
      </c>
    </row>
    <row r="25" spans="2:13" x14ac:dyDescent="0.25">
      <c r="C25" t="s">
        <v>84</v>
      </c>
      <c r="D25" s="10">
        <v>13</v>
      </c>
      <c r="E25" t="s">
        <v>7</v>
      </c>
    </row>
    <row r="28" spans="2:13" ht="15.75" x14ac:dyDescent="0.25">
      <c r="B28" s="1" t="s">
        <v>133</v>
      </c>
    </row>
    <row r="29" spans="2:13" x14ac:dyDescent="0.25">
      <c r="C29" t="s">
        <v>134</v>
      </c>
    </row>
    <row r="30" spans="2:13" x14ac:dyDescent="0.25">
      <c r="C30" t="s">
        <v>91</v>
      </c>
    </row>
    <row r="31" spans="2:13" x14ac:dyDescent="0.25">
      <c r="B31" t="s">
        <v>118</v>
      </c>
      <c r="E31" s="9">
        <f>U61</f>
        <v>68.209782528703585</v>
      </c>
      <c r="F31" t="s">
        <v>10</v>
      </c>
    </row>
    <row r="32" spans="2:13" x14ac:dyDescent="0.25">
      <c r="C32" t="s">
        <v>101</v>
      </c>
      <c r="G32">
        <f>D17</f>
        <v>70</v>
      </c>
      <c r="H32" t="s">
        <v>10</v>
      </c>
    </row>
    <row r="50" spans="17:61" x14ac:dyDescent="0.25">
      <c r="Q50" s="24" t="s">
        <v>14</v>
      </c>
      <c r="R50" s="25"/>
      <c r="S50" s="25"/>
      <c r="T50" s="25"/>
      <c r="U50" s="34">
        <f>100*D13/(100-D13)</f>
        <v>20.481927710843372</v>
      </c>
      <c r="V50" s="26" t="s">
        <v>15</v>
      </c>
    </row>
    <row r="51" spans="17:61" ht="15.75" x14ac:dyDescent="0.25">
      <c r="Q51" s="27"/>
      <c r="R51" s="28"/>
      <c r="S51" s="28"/>
      <c r="T51" s="28"/>
      <c r="U51" s="28"/>
      <c r="V51" s="29"/>
      <c r="Z51" s="12" t="s">
        <v>78</v>
      </c>
      <c r="AT51" s="12" t="s">
        <v>79</v>
      </c>
    </row>
    <row r="52" spans="17:61" x14ac:dyDescent="0.25">
      <c r="Q52" s="27" t="s">
        <v>17</v>
      </c>
      <c r="R52" s="28"/>
      <c r="S52" s="28"/>
      <c r="T52" s="28"/>
      <c r="U52" s="30">
        <f>(D12-32)/1.8</f>
        <v>21.111111111111111</v>
      </c>
      <c r="V52" s="29" t="s">
        <v>16</v>
      </c>
    </row>
    <row r="53" spans="17:61" x14ac:dyDescent="0.25">
      <c r="Q53" s="27"/>
      <c r="R53" s="28"/>
      <c r="S53" s="28"/>
      <c r="T53" s="28"/>
      <c r="U53" s="28"/>
      <c r="V53" s="29"/>
      <c r="Z53" t="s">
        <v>22</v>
      </c>
      <c r="AT53" t="s">
        <v>22</v>
      </c>
    </row>
    <row r="54" spans="17:61" x14ac:dyDescent="0.25">
      <c r="Q54" s="27" t="s">
        <v>18</v>
      </c>
      <c r="R54" s="28"/>
      <c r="S54" s="28"/>
      <c r="T54" s="28"/>
      <c r="U54" s="30">
        <f>100*EXP(-EXP(2.87-0.0054*U52)/U50^1.38)</f>
        <v>78.356068524619445</v>
      </c>
      <c r="V54" s="29" t="s">
        <v>10</v>
      </c>
      <c r="Z54" t="s">
        <v>23</v>
      </c>
      <c r="AT54" t="s">
        <v>23</v>
      </c>
    </row>
    <row r="55" spans="17:61" x14ac:dyDescent="0.25">
      <c r="Q55" s="31" t="s">
        <v>136</v>
      </c>
      <c r="R55" s="32"/>
      <c r="S55" s="32"/>
      <c r="T55" s="32"/>
      <c r="U55" s="32"/>
      <c r="V55" s="33"/>
    </row>
    <row r="56" spans="17:61" x14ac:dyDescent="0.25">
      <c r="Z56" t="s">
        <v>24</v>
      </c>
      <c r="AT56" t="s">
        <v>24</v>
      </c>
    </row>
    <row r="57" spans="17:61" x14ac:dyDescent="0.25">
      <c r="Q57" s="24" t="s">
        <v>86</v>
      </c>
      <c r="R57" s="25"/>
      <c r="S57" s="25"/>
      <c r="T57" s="25"/>
      <c r="U57" s="34">
        <f>100*D25/(100-D25)</f>
        <v>14.942528735632184</v>
      </c>
      <c r="V57" s="26" t="s">
        <v>15</v>
      </c>
    </row>
    <row r="58" spans="17:61" x14ac:dyDescent="0.25">
      <c r="Q58" s="27"/>
      <c r="R58" s="28"/>
      <c r="S58" s="28"/>
      <c r="T58" s="28"/>
      <c r="U58" s="28"/>
      <c r="V58" s="29"/>
      <c r="Z58" t="s">
        <v>25</v>
      </c>
      <c r="AH58" s="13" t="s">
        <v>26</v>
      </c>
      <c r="AI58">
        <v>101.325</v>
      </c>
      <c r="AJ58" t="s">
        <v>27</v>
      </c>
      <c r="AK58" t="s">
        <v>28</v>
      </c>
      <c r="AT58" t="s">
        <v>25</v>
      </c>
      <c r="BB58" s="13" t="s">
        <v>26</v>
      </c>
      <c r="BC58">
        <v>101.325</v>
      </c>
      <c r="BD58" t="s">
        <v>27</v>
      </c>
      <c r="BE58" t="s">
        <v>28</v>
      </c>
    </row>
    <row r="59" spans="17:61" x14ac:dyDescent="0.25">
      <c r="Q59" s="27" t="s">
        <v>87</v>
      </c>
      <c r="R59" s="28"/>
      <c r="S59" s="28"/>
      <c r="T59" s="28"/>
      <c r="U59" s="30">
        <f>(D23-32)/1.8</f>
        <v>18.333333333333332</v>
      </c>
      <c r="V59" s="29" t="s">
        <v>16</v>
      </c>
      <c r="AA59" t="s">
        <v>29</v>
      </c>
      <c r="AC59" s="14">
        <f>D16</f>
        <v>65</v>
      </c>
      <c r="AD59" s="15" t="s">
        <v>30</v>
      </c>
      <c r="AH59" s="13" t="s">
        <v>31</v>
      </c>
      <c r="AI59">
        <v>0.28705000000000003</v>
      </c>
      <c r="AJ59" t="s">
        <v>32</v>
      </c>
      <c r="AK59" t="s">
        <v>33</v>
      </c>
      <c r="AU59" t="s">
        <v>29</v>
      </c>
      <c r="AW59" s="14">
        <f>D12</f>
        <v>70</v>
      </c>
      <c r="AX59" s="15" t="s">
        <v>30</v>
      </c>
      <c r="BB59" s="13" t="s">
        <v>31</v>
      </c>
      <c r="BC59">
        <v>0.28705000000000003</v>
      </c>
      <c r="BD59" t="s">
        <v>32</v>
      </c>
      <c r="BE59" t="s">
        <v>33</v>
      </c>
    </row>
    <row r="60" spans="17:61" x14ac:dyDescent="0.25">
      <c r="Q60" s="27"/>
      <c r="R60" s="28"/>
      <c r="S60" s="28"/>
      <c r="T60" s="28"/>
      <c r="U60" s="28"/>
      <c r="V60" s="29"/>
      <c r="AA60" t="s">
        <v>9</v>
      </c>
      <c r="AC60" s="14">
        <f>D17</f>
        <v>70</v>
      </c>
      <c r="AD60" s="15" t="s">
        <v>10</v>
      </c>
      <c r="AU60" t="s">
        <v>9</v>
      </c>
      <c r="AW60" s="14">
        <f>U54</f>
        <v>78.356068524619445</v>
      </c>
      <c r="AX60" s="15" t="s">
        <v>10</v>
      </c>
    </row>
    <row r="61" spans="17:61" x14ac:dyDescent="0.25">
      <c r="Q61" s="27" t="s">
        <v>18</v>
      </c>
      <c r="R61" s="28"/>
      <c r="S61" s="28"/>
      <c r="T61" s="28"/>
      <c r="U61" s="30">
        <f>100*EXP(-EXP(2.87-0.0054*U59)/U57^1.38)</f>
        <v>68.209782528703585</v>
      </c>
      <c r="V61" s="29" t="s">
        <v>10</v>
      </c>
      <c r="AH61" s="13" t="s">
        <v>34</v>
      </c>
      <c r="AI61" s="9">
        <f>AC72+273.16</f>
        <v>291.49333333333334</v>
      </c>
      <c r="AJ61" t="s">
        <v>35</v>
      </c>
      <c r="AK61" t="s">
        <v>36</v>
      </c>
      <c r="BB61" s="13" t="s">
        <v>34</v>
      </c>
      <c r="BC61" s="9">
        <f>AW72+273.16</f>
        <v>294.27111111111111</v>
      </c>
      <c r="BD61" t="s">
        <v>35</v>
      </c>
      <c r="BE61" t="s">
        <v>36</v>
      </c>
    </row>
    <row r="62" spans="17:61" x14ac:dyDescent="0.25">
      <c r="Q62" s="31" t="s">
        <v>139</v>
      </c>
      <c r="R62" s="32"/>
      <c r="S62" s="32"/>
      <c r="T62" s="32"/>
      <c r="U62" s="32"/>
      <c r="V62" s="33"/>
      <c r="Z62" t="s">
        <v>37</v>
      </c>
      <c r="AH62" s="16" t="s">
        <v>38</v>
      </c>
      <c r="AI62" s="17">
        <f>AC73/100</f>
        <v>0.7</v>
      </c>
      <c r="AK62" t="s">
        <v>39</v>
      </c>
      <c r="AT62" t="s">
        <v>37</v>
      </c>
      <c r="BB62" s="16" t="s">
        <v>38</v>
      </c>
      <c r="BC62" s="17">
        <f>AW73/100</f>
        <v>0.78356068524619449</v>
      </c>
      <c r="BE62" t="s">
        <v>39</v>
      </c>
    </row>
    <row r="63" spans="17:61" x14ac:dyDescent="0.25">
      <c r="AA63" t="s">
        <v>29</v>
      </c>
      <c r="AC63" s="18">
        <f>AC72*9/5+32</f>
        <v>65</v>
      </c>
      <c r="AD63" s="15" t="s">
        <v>30</v>
      </c>
      <c r="AN63" t="s">
        <v>40</v>
      </c>
      <c r="AO63" t="s">
        <v>41</v>
      </c>
      <c r="AU63" t="s">
        <v>29</v>
      </c>
      <c r="AW63" s="18">
        <f>AW72*9/5+32</f>
        <v>70</v>
      </c>
      <c r="AX63" s="15" t="s">
        <v>30</v>
      </c>
      <c r="BH63" t="s">
        <v>40</v>
      </c>
      <c r="BI63" t="s">
        <v>41</v>
      </c>
    </row>
    <row r="64" spans="17:61" x14ac:dyDescent="0.25">
      <c r="Q64" t="s">
        <v>80</v>
      </c>
      <c r="V64" s="8">
        <f>I10/100</f>
        <v>0.5</v>
      </c>
      <c r="AA64" t="s">
        <v>42</v>
      </c>
      <c r="AC64" s="18">
        <f>AC75*9/5+32</f>
        <v>54.933334410624326</v>
      </c>
      <c r="AD64" s="15" t="s">
        <v>30</v>
      </c>
      <c r="AH64" s="13" t="s">
        <v>43</v>
      </c>
      <c r="AI64">
        <f>IF(AC72&lt;0,EXP(AO64),EXP(AO65))</f>
        <v>2.1079531133021145</v>
      </c>
      <c r="AJ64" t="s">
        <v>27</v>
      </c>
      <c r="AK64" t="s">
        <v>44</v>
      </c>
      <c r="AN64" t="s">
        <v>45</v>
      </c>
      <c r="AO64">
        <f>24.2779-(6238.64/AI61)-0.344438*LN(AI61)</f>
        <v>0.9208664847216621</v>
      </c>
      <c r="AU64" t="s">
        <v>42</v>
      </c>
      <c r="AW64" s="18">
        <f>AW75*9/5+32</f>
        <v>62.903814376256754</v>
      </c>
      <c r="AX64" s="15" t="s">
        <v>30</v>
      </c>
      <c r="BB64" s="13" t="s">
        <v>43</v>
      </c>
      <c r="BC64">
        <f>IF(AW72&lt;0,EXP(BI64),EXP(BI65))</f>
        <v>2.5045971996864216</v>
      </c>
      <c r="BD64" t="s">
        <v>27</v>
      </c>
      <c r="BE64" t="s">
        <v>44</v>
      </c>
      <c r="BH64" t="s">
        <v>45</v>
      </c>
      <c r="BI64">
        <f>24.2779-(6238.64/BC61)-0.344438*LN(BC61)</f>
        <v>1.1196275289153725</v>
      </c>
    </row>
    <row r="65" spans="17:62" x14ac:dyDescent="0.25">
      <c r="AA65" t="s">
        <v>46</v>
      </c>
      <c r="AC65" s="18"/>
      <c r="AD65" s="15" t="s">
        <v>30</v>
      </c>
      <c r="AH65" s="13" t="s">
        <v>47</v>
      </c>
      <c r="AI65">
        <f>0.62198*AI64/(AI58-AI64)</f>
        <v>1.3214510193080843E-2</v>
      </c>
      <c r="AK65" t="s">
        <v>48</v>
      </c>
      <c r="AN65" t="s">
        <v>49</v>
      </c>
      <c r="AO65">
        <f>(-7511.52/AI61)+89.63121+0.02399897*AI61-1.1654551*10^-5*AI61^2-1.28100336*10^-8*AI61^3+2.0998405*10^-11*AI61^4-12.150799*LN(AI61)</f>
        <v>0.74571738816520394</v>
      </c>
      <c r="AU65" t="s">
        <v>46</v>
      </c>
      <c r="AW65" s="18"/>
      <c r="AX65" s="15" t="s">
        <v>30</v>
      </c>
      <c r="BB65" s="13" t="s">
        <v>47</v>
      </c>
      <c r="BC65">
        <f>0.62198*BC64/(BC58-BC64)</f>
        <v>1.5764045906682109E-2</v>
      </c>
      <c r="BE65" t="s">
        <v>48</v>
      </c>
      <c r="BH65" t="s">
        <v>49</v>
      </c>
      <c r="BI65">
        <f>(-7511.52/BC61)+89.63121+0.02399897*BC61-1.1654551*10^-5*BC61^2-1.28100336*10^-8*BC61^3+2.0998405*10^-11*BC61^4-12.150799*LN(BC61)</f>
        <v>0.91812792307898405</v>
      </c>
    </row>
    <row r="66" spans="17:62" x14ac:dyDescent="0.25">
      <c r="AA66" t="s">
        <v>50</v>
      </c>
      <c r="AC66" s="19">
        <f>AC76</f>
        <v>9.1915722329270408E-3</v>
      </c>
      <c r="AD66" t="s">
        <v>51</v>
      </c>
      <c r="AU66" t="s">
        <v>50</v>
      </c>
      <c r="AW66" s="19">
        <f>AW76</f>
        <v>1.2284697168416316E-2</v>
      </c>
      <c r="AX66" t="s">
        <v>51</v>
      </c>
    </row>
    <row r="67" spans="17:62" x14ac:dyDescent="0.25">
      <c r="Q67" t="s">
        <v>137</v>
      </c>
      <c r="AA67" t="s">
        <v>9</v>
      </c>
      <c r="AC67" s="18">
        <f>AC77</f>
        <v>70</v>
      </c>
      <c r="AD67" t="s">
        <v>10</v>
      </c>
      <c r="AH67" s="13" t="s">
        <v>52</v>
      </c>
      <c r="AI67">
        <f>AI64*AI62</f>
        <v>1.4755671793114802</v>
      </c>
      <c r="AJ67" t="s">
        <v>27</v>
      </c>
      <c r="AK67" t="s">
        <v>53</v>
      </c>
      <c r="AU67" t="s">
        <v>9</v>
      </c>
      <c r="AW67" s="18">
        <f>AW77</f>
        <v>78.356068524619445</v>
      </c>
      <c r="AX67" t="s">
        <v>10</v>
      </c>
      <c r="BB67" s="13" t="s">
        <v>52</v>
      </c>
      <c r="BC67">
        <f>BC64*BC62</f>
        <v>1.9625038980519922</v>
      </c>
      <c r="BD67" t="s">
        <v>27</v>
      </c>
      <c r="BE67" t="s">
        <v>53</v>
      </c>
    </row>
    <row r="68" spans="17:62" x14ac:dyDescent="0.25">
      <c r="AA68" t="s">
        <v>54</v>
      </c>
      <c r="AC68" s="20">
        <f>AC78/0.062428</f>
        <v>13.423361209341635</v>
      </c>
      <c r="AD68" t="s">
        <v>55</v>
      </c>
      <c r="AH68" s="13"/>
      <c r="AU68" t="s">
        <v>54</v>
      </c>
      <c r="AW68" s="20">
        <f>AW78/0.062428</f>
        <v>13.617689552117509</v>
      </c>
      <c r="AX68" t="s">
        <v>55</v>
      </c>
      <c r="BB68" s="13"/>
    </row>
    <row r="69" spans="17:62" x14ac:dyDescent="0.25">
      <c r="Q69" t="s">
        <v>93</v>
      </c>
      <c r="T69" s="9">
        <f>D13</f>
        <v>17</v>
      </c>
      <c r="U69" t="s">
        <v>138</v>
      </c>
      <c r="AA69" t="s">
        <v>56</v>
      </c>
      <c r="AC69" s="18">
        <f>AC79/2.326+7.686</f>
        <v>25.626913399669114</v>
      </c>
      <c r="AD69" t="s">
        <v>57</v>
      </c>
      <c r="AU69" t="s">
        <v>56</v>
      </c>
      <c r="AW69" s="18">
        <f>AW79/2.326+7.686</f>
        <v>30.223463584787009</v>
      </c>
      <c r="AX69" t="s">
        <v>57</v>
      </c>
    </row>
    <row r="70" spans="17:62" x14ac:dyDescent="0.25">
      <c r="R70" t="s">
        <v>95</v>
      </c>
      <c r="U70" s="8">
        <f>T69/100*56</f>
        <v>9.5200000000000014</v>
      </c>
      <c r="V70" t="s">
        <v>96</v>
      </c>
      <c r="AH70" s="13" t="s">
        <v>58</v>
      </c>
      <c r="AI70">
        <f>0.62198*AI67/(AI58-AI67)</f>
        <v>9.1915722329270408E-3</v>
      </c>
      <c r="AK70" t="s">
        <v>59</v>
      </c>
      <c r="BB70" s="13" t="s">
        <v>58</v>
      </c>
      <c r="BC70">
        <f>0.62198*BC67/(BC58-BC67)</f>
        <v>1.2284697168416316E-2</v>
      </c>
      <c r="BE70" t="s">
        <v>59</v>
      </c>
    </row>
    <row r="71" spans="17:62" x14ac:dyDescent="0.25">
      <c r="R71" t="s">
        <v>97</v>
      </c>
      <c r="U71" s="8">
        <f>56-U70</f>
        <v>46.48</v>
      </c>
      <c r="V71" t="s">
        <v>96</v>
      </c>
      <c r="Z71" t="s">
        <v>60</v>
      </c>
      <c r="AH71" s="16" t="s">
        <v>61</v>
      </c>
      <c r="AI71">
        <f>AI70/AI65</f>
        <v>0.69556662325174756</v>
      </c>
      <c r="AK71" t="s">
        <v>62</v>
      </c>
      <c r="AT71" t="s">
        <v>60</v>
      </c>
      <c r="BB71" s="16" t="s">
        <v>61</v>
      </c>
      <c r="BC71">
        <f>BC70/BC65</f>
        <v>0.77928580271445691</v>
      </c>
      <c r="BE71" t="s">
        <v>62</v>
      </c>
    </row>
    <row r="72" spans="17:62" x14ac:dyDescent="0.25">
      <c r="AA72" t="s">
        <v>29</v>
      </c>
      <c r="AC72" s="9">
        <f>(AC59-32)*5/9</f>
        <v>18.333333333333332</v>
      </c>
      <c r="AD72" s="15" t="s">
        <v>63</v>
      </c>
      <c r="AH72" s="16" t="s">
        <v>52</v>
      </c>
      <c r="AI72">
        <f>AI64*AI62</f>
        <v>1.4755671793114802</v>
      </c>
      <c r="AJ72" t="s">
        <v>27</v>
      </c>
      <c r="AK72" t="s">
        <v>64</v>
      </c>
      <c r="AU72" t="s">
        <v>29</v>
      </c>
      <c r="AW72" s="9">
        <f>(AW59-32)*5/9</f>
        <v>21.111111111111111</v>
      </c>
      <c r="AX72" s="15" t="s">
        <v>63</v>
      </c>
      <c r="BB72" s="16" t="s">
        <v>52</v>
      </c>
      <c r="BC72">
        <f>BC64*BC62</f>
        <v>1.9625038980519922</v>
      </c>
      <c r="BD72" t="s">
        <v>27</v>
      </c>
      <c r="BE72" t="s">
        <v>64</v>
      </c>
    </row>
    <row r="73" spans="17:62" x14ac:dyDescent="0.25">
      <c r="Q73" t="s">
        <v>98</v>
      </c>
      <c r="T73" s="9">
        <f>D25</f>
        <v>13</v>
      </c>
      <c r="U73" t="s">
        <v>138</v>
      </c>
      <c r="AA73" t="s">
        <v>9</v>
      </c>
      <c r="AC73" s="9">
        <f>AC60</f>
        <v>70</v>
      </c>
      <c r="AD73" s="15" t="s">
        <v>10</v>
      </c>
      <c r="AH73" s="16" t="s">
        <v>38</v>
      </c>
      <c r="AI73">
        <f>AI72/AI64</f>
        <v>0.7</v>
      </c>
      <c r="AK73" t="s">
        <v>39</v>
      </c>
      <c r="AN73" s="13" t="s">
        <v>65</v>
      </c>
      <c r="AO73">
        <f>LN(AI72)</f>
        <v>0.38904244422647155</v>
      </c>
      <c r="AU73" t="s">
        <v>9</v>
      </c>
      <c r="AW73" s="9">
        <f>AW60</f>
        <v>78.356068524619445</v>
      </c>
      <c r="AX73" s="15" t="s">
        <v>10</v>
      </c>
      <c r="BB73" s="16" t="s">
        <v>38</v>
      </c>
      <c r="BC73">
        <f>BC72/BC64</f>
        <v>0.78356068524619449</v>
      </c>
      <c r="BE73" t="s">
        <v>39</v>
      </c>
      <c r="BH73" s="13" t="s">
        <v>65</v>
      </c>
      <c r="BI73">
        <f>LN(BC72)</f>
        <v>0.67422115694098483</v>
      </c>
    </row>
    <row r="74" spans="17:62" x14ac:dyDescent="0.25">
      <c r="R74" t="s">
        <v>99</v>
      </c>
      <c r="U74" s="8">
        <f>(T73/100*U71)/(1-T73/100)</f>
        <v>6.9452873563218391</v>
      </c>
      <c r="V74" t="s">
        <v>96</v>
      </c>
      <c r="AH74" s="16" t="s">
        <v>66</v>
      </c>
      <c r="AI74">
        <f>IF(AC72&lt;=0,AO74,IF(AC72&lt;=50,AO75,AO76))</f>
        <v>12.740741339235734</v>
      </c>
      <c r="AJ74" s="15" t="s">
        <v>63</v>
      </c>
      <c r="AK74" t="s">
        <v>67</v>
      </c>
      <c r="AN74" s="13" t="s">
        <v>66</v>
      </c>
      <c r="AO74">
        <f>5.994+12.41*AO73+0.4273*AO73^2</f>
        <v>10.886690307053479</v>
      </c>
      <c r="AP74" t="s">
        <v>68</v>
      </c>
      <c r="BB74" s="16" t="s">
        <v>66</v>
      </c>
      <c r="BC74">
        <f>IF(AW72&lt;=0,BI74,IF(AW72&lt;=50,BI75,BI76))</f>
        <v>17.168785764587085</v>
      </c>
      <c r="BD74" s="15" t="s">
        <v>63</v>
      </c>
      <c r="BE74" t="s">
        <v>67</v>
      </c>
      <c r="BH74" s="13" t="s">
        <v>66</v>
      </c>
      <c r="BI74">
        <f>5.994+12.41*BI73+0.4273*BI73^2</f>
        <v>14.555324099823503</v>
      </c>
      <c r="BJ74" t="s">
        <v>68</v>
      </c>
    </row>
    <row r="75" spans="17:62" x14ac:dyDescent="0.25">
      <c r="AA75" t="s">
        <v>42</v>
      </c>
      <c r="AC75" s="9">
        <f>AI74</f>
        <v>12.740741339235734</v>
      </c>
      <c r="AD75" s="15" t="s">
        <v>63</v>
      </c>
      <c r="AH75" s="16" t="s">
        <v>69</v>
      </c>
      <c r="AI75">
        <f>1.006*AC72+AI70*(2501+1.775*AC72)</f>
        <v>41.73056456763036</v>
      </c>
      <c r="AJ75" t="s">
        <v>70</v>
      </c>
      <c r="AK75" t="s">
        <v>71</v>
      </c>
      <c r="AN75" s="13" t="s">
        <v>66</v>
      </c>
      <c r="AO75">
        <f>6.983+14.38*AO73+1.079*AO73^2</f>
        <v>12.740741339235734</v>
      </c>
      <c r="AP75" t="s">
        <v>72</v>
      </c>
      <c r="AU75" t="s">
        <v>42</v>
      </c>
      <c r="AW75" s="9">
        <f>BC74</f>
        <v>17.168785764587085</v>
      </c>
      <c r="AX75" s="15" t="s">
        <v>63</v>
      </c>
      <c r="BB75" s="16" t="s">
        <v>69</v>
      </c>
      <c r="BC75">
        <f>1.006*AW72+BC70*(2501+1.775*AW72)</f>
        <v>52.422140298214586</v>
      </c>
      <c r="BD75" t="s">
        <v>70</v>
      </c>
      <c r="BE75" t="s">
        <v>71</v>
      </c>
      <c r="BH75" s="13" t="s">
        <v>66</v>
      </c>
      <c r="BI75">
        <f>6.983+14.38*BI73+1.079*BI73^2</f>
        <v>17.168785764587085</v>
      </c>
      <c r="BJ75" t="s">
        <v>72</v>
      </c>
    </row>
    <row r="76" spans="17:62" x14ac:dyDescent="0.25">
      <c r="Q76" t="s">
        <v>100</v>
      </c>
      <c r="T76" s="8">
        <f>U70-U74</f>
        <v>2.5747126436781622</v>
      </c>
      <c r="U76" t="s">
        <v>96</v>
      </c>
      <c r="AA76" t="s">
        <v>50</v>
      </c>
      <c r="AC76" s="21">
        <f>AI70</f>
        <v>9.1915722329270408E-3</v>
      </c>
      <c r="AH76" s="16" t="s">
        <v>73</v>
      </c>
      <c r="AI76">
        <f>AI59*AI61/AI58*(1+1.6078*AI70)</f>
        <v>0.83799359357677961</v>
      </c>
      <c r="AJ76" t="s">
        <v>74</v>
      </c>
      <c r="AK76" t="s">
        <v>75</v>
      </c>
      <c r="AN76" s="13" t="s">
        <v>66</v>
      </c>
      <c r="AO76">
        <f>13.8+9.478*AO73+1.991*AO73^2</f>
        <v>17.788690146987225</v>
      </c>
      <c r="AP76" t="s">
        <v>76</v>
      </c>
      <c r="AU76" t="s">
        <v>50</v>
      </c>
      <c r="AW76" s="21">
        <f>BC70</f>
        <v>1.2284697168416316E-2</v>
      </c>
      <c r="BB76" s="16" t="s">
        <v>73</v>
      </c>
      <c r="BC76">
        <f>BC59*BC61/BC58*(1+1.6078*BC70)</f>
        <v>0.85012512335959189</v>
      </c>
      <c r="BD76" t="s">
        <v>74</v>
      </c>
      <c r="BE76" t="s">
        <v>75</v>
      </c>
      <c r="BH76" s="13" t="s">
        <v>66</v>
      </c>
      <c r="BI76">
        <f>13.8+9.478*BI73+1.991*BI73^2</f>
        <v>21.095325294904132</v>
      </c>
      <c r="BJ76" t="s">
        <v>76</v>
      </c>
    </row>
    <row r="77" spans="17:62" x14ac:dyDescent="0.25">
      <c r="AA77" t="s">
        <v>9</v>
      </c>
      <c r="AC77" s="9">
        <f>AI73*100</f>
        <v>70</v>
      </c>
      <c r="AD77" t="s">
        <v>10</v>
      </c>
      <c r="AU77" t="s">
        <v>9</v>
      </c>
      <c r="AW77" s="9">
        <f>BC73*100</f>
        <v>78.356068524619445</v>
      </c>
      <c r="AX77" t="s">
        <v>10</v>
      </c>
    </row>
    <row r="78" spans="17:62" x14ac:dyDescent="0.25">
      <c r="Q78" t="s">
        <v>102</v>
      </c>
      <c r="V78" s="9"/>
      <c r="AA78" t="s">
        <v>54</v>
      </c>
      <c r="AC78" s="7">
        <f>AI76</f>
        <v>0.83799359357677961</v>
      </c>
      <c r="AD78" t="s">
        <v>74</v>
      </c>
      <c r="AU78" t="s">
        <v>54</v>
      </c>
      <c r="AW78" s="7">
        <f>BC76</f>
        <v>0.85012512335959189</v>
      </c>
      <c r="AX78" t="s">
        <v>74</v>
      </c>
    </row>
    <row r="79" spans="17:62" x14ac:dyDescent="0.25">
      <c r="R79" t="s">
        <v>103</v>
      </c>
      <c r="T79">
        <f>K8*60/AC68*(V64*(AW66-AC66))</f>
        <v>1.5280777147367742E-2</v>
      </c>
      <c r="U79" t="s">
        <v>104</v>
      </c>
      <c r="AA79" t="s">
        <v>56</v>
      </c>
      <c r="AC79" s="9">
        <f>AI75</f>
        <v>41.73056456763036</v>
      </c>
      <c r="AD79" t="s">
        <v>70</v>
      </c>
      <c r="AU79" t="s">
        <v>56</v>
      </c>
      <c r="AW79" s="9">
        <f>BC75</f>
        <v>52.422140298214586</v>
      </c>
      <c r="AX79" t="s">
        <v>70</v>
      </c>
    </row>
    <row r="80" spans="17:62" x14ac:dyDescent="0.25">
      <c r="AA80" t="s">
        <v>46</v>
      </c>
      <c r="AD80" s="15" t="s">
        <v>63</v>
      </c>
      <c r="AE80" t="s">
        <v>77</v>
      </c>
      <c r="AU80" t="s">
        <v>46</v>
      </c>
      <c r="AX80" s="15" t="s">
        <v>63</v>
      </c>
      <c r="AY80" t="s">
        <v>77</v>
      </c>
    </row>
    <row r="81" spans="17:20" x14ac:dyDescent="0.25">
      <c r="Q81" t="s">
        <v>135</v>
      </c>
      <c r="S81" s="9">
        <f>T76/T79</f>
        <v>168.49356671114603</v>
      </c>
      <c r="T81" t="s">
        <v>106</v>
      </c>
    </row>
    <row r="82" spans="17:20" x14ac:dyDescent="0.25">
      <c r="S82" s="8">
        <f>S81/24</f>
        <v>7.0205652796310849</v>
      </c>
      <c r="T82" t="s">
        <v>107</v>
      </c>
    </row>
    <row r="87" spans="17:20" x14ac:dyDescent="0.25">
      <c r="Q87" t="s">
        <v>110</v>
      </c>
    </row>
    <row r="89" spans="17:20" x14ac:dyDescent="0.25">
      <c r="Q89" s="13" t="s">
        <v>111</v>
      </c>
      <c r="R89">
        <f>D20/(3.14159/4*D6*D6)</f>
        <v>7.0735590010861449</v>
      </c>
      <c r="S89" t="s">
        <v>112</v>
      </c>
    </row>
    <row r="91" spans="17:20" x14ac:dyDescent="0.25">
      <c r="Q91" t="s">
        <v>113</v>
      </c>
      <c r="S91">
        <f>(D8+D9)*(20700/31635726*R89^2/(LN(1+30.4/196.85*R89)))</f>
        <v>0.35475019272885921</v>
      </c>
      <c r="T91" t="s">
        <v>109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C91"/>
  <sheetViews>
    <sheetView showGridLines="0" workbookViewId="0">
      <selection activeCell="D6" sqref="D6"/>
    </sheetView>
  </sheetViews>
  <sheetFormatPr defaultRowHeight="15" x14ac:dyDescent="0.25"/>
  <cols>
    <col min="2" max="2" width="5.5703125" customWidth="1"/>
    <col min="3" max="3" width="25.28515625" customWidth="1"/>
    <col min="4" max="4" width="10.85546875" customWidth="1"/>
    <col min="6" max="6" width="7.5703125" customWidth="1"/>
    <col min="7" max="7" width="6.28515625" customWidth="1"/>
    <col min="8" max="8" width="17.28515625" customWidth="1"/>
    <col min="9" max="9" width="7.140625" customWidth="1"/>
    <col min="10" max="10" width="27" customWidth="1"/>
    <col min="18" max="18" width="11.7109375" customWidth="1"/>
  </cols>
  <sheetData>
    <row r="2" spans="2:12" ht="18.75" x14ac:dyDescent="0.3">
      <c r="C2" s="35" t="s">
        <v>141</v>
      </c>
    </row>
    <row r="4" spans="2:12" ht="15.75" x14ac:dyDescent="0.25">
      <c r="C4" s="1" t="s">
        <v>114</v>
      </c>
      <c r="J4" s="1" t="s">
        <v>37</v>
      </c>
    </row>
    <row r="5" spans="2:12" ht="15.75" x14ac:dyDescent="0.25">
      <c r="C5" s="1"/>
    </row>
    <row r="6" spans="2:12" x14ac:dyDescent="0.25">
      <c r="C6" t="s">
        <v>0</v>
      </c>
      <c r="D6" s="5">
        <v>30</v>
      </c>
      <c r="E6" t="s">
        <v>2</v>
      </c>
      <c r="J6" t="s">
        <v>20</v>
      </c>
      <c r="K6" s="11">
        <f>3.14159/4*D6*D6*D8*0.8</f>
        <v>2261.9448000000002</v>
      </c>
      <c r="L6" t="s">
        <v>21</v>
      </c>
    </row>
    <row r="7" spans="2:12" x14ac:dyDescent="0.25">
      <c r="C7" t="s">
        <v>1</v>
      </c>
      <c r="D7" s="5">
        <v>28</v>
      </c>
      <c r="E7" t="s">
        <v>2</v>
      </c>
    </row>
    <row r="8" spans="2:12" ht="32.25" customHeight="1" x14ac:dyDescent="0.25">
      <c r="C8" s="36" t="s">
        <v>131</v>
      </c>
      <c r="D8" s="23">
        <v>4</v>
      </c>
      <c r="E8" s="2" t="s">
        <v>2</v>
      </c>
      <c r="J8" s="3" t="s">
        <v>13</v>
      </c>
      <c r="K8" s="4">
        <f>D20/(3.14159/4*D6*D6*D8*0.8)</f>
        <v>2.2104871878394201</v>
      </c>
      <c r="L8" s="2" t="s">
        <v>12</v>
      </c>
    </row>
    <row r="9" spans="2:12" ht="32.25" customHeight="1" x14ac:dyDescent="0.25">
      <c r="C9" s="36" t="s">
        <v>132</v>
      </c>
      <c r="D9" s="23">
        <v>4</v>
      </c>
      <c r="E9" s="2" t="s">
        <v>2</v>
      </c>
      <c r="J9" s="3"/>
      <c r="K9" s="4"/>
      <c r="L9" s="2"/>
    </row>
    <row r="10" spans="2:12" ht="21.75" customHeight="1" x14ac:dyDescent="0.25">
      <c r="C10" s="36"/>
      <c r="D10" s="37"/>
      <c r="E10" s="2"/>
      <c r="H10" s="2" t="s">
        <v>117</v>
      </c>
      <c r="I10" s="39">
        <v>80</v>
      </c>
      <c r="J10" s="38" t="s">
        <v>10</v>
      </c>
      <c r="K10" s="4"/>
      <c r="L10" s="2"/>
    </row>
    <row r="11" spans="2:12" ht="18" customHeight="1" x14ac:dyDescent="0.25">
      <c r="B11" t="s">
        <v>6</v>
      </c>
    </row>
    <row r="12" spans="2:12" x14ac:dyDescent="0.25">
      <c r="C12" t="s">
        <v>5</v>
      </c>
      <c r="D12" s="10">
        <v>70</v>
      </c>
      <c r="E12" t="s">
        <v>3</v>
      </c>
    </row>
    <row r="13" spans="2:12" x14ac:dyDescent="0.25">
      <c r="C13" t="s">
        <v>4</v>
      </c>
      <c r="D13" s="10">
        <v>17</v>
      </c>
      <c r="E13" t="s">
        <v>7</v>
      </c>
    </row>
    <row r="15" spans="2:12" x14ac:dyDescent="0.25">
      <c r="B15" t="s">
        <v>8</v>
      </c>
    </row>
    <row r="16" spans="2:12" x14ac:dyDescent="0.25">
      <c r="C16" t="s">
        <v>5</v>
      </c>
      <c r="D16" s="10">
        <v>65</v>
      </c>
      <c r="E16" t="s">
        <v>3</v>
      </c>
    </row>
    <row r="17" spans="2:13" x14ac:dyDescent="0.25">
      <c r="C17" t="s">
        <v>9</v>
      </c>
      <c r="D17" s="5">
        <v>70</v>
      </c>
      <c r="E17" t="s">
        <v>10</v>
      </c>
    </row>
    <row r="18" spans="2:13" ht="18.75" x14ac:dyDescent="0.3">
      <c r="C18" t="s">
        <v>89</v>
      </c>
      <c r="D18" s="22">
        <f>AC64</f>
        <v>54.933334410624326</v>
      </c>
      <c r="E18" t="s">
        <v>3</v>
      </c>
      <c r="J18" s="35" t="s">
        <v>135</v>
      </c>
      <c r="K18" s="40">
        <f>S81</f>
        <v>104.68273973877778</v>
      </c>
      <c r="L18" s="35" t="s">
        <v>106</v>
      </c>
    </row>
    <row r="19" spans="2:13" ht="18.75" x14ac:dyDescent="0.3">
      <c r="J19" s="35"/>
      <c r="K19" s="41">
        <f>S82</f>
        <v>4.3617808224490746</v>
      </c>
      <c r="L19" s="35" t="s">
        <v>107</v>
      </c>
    </row>
    <row r="20" spans="2:13" x14ac:dyDescent="0.25">
      <c r="B20" t="s">
        <v>85</v>
      </c>
      <c r="D20" s="6">
        <v>5000</v>
      </c>
      <c r="E20" t="s">
        <v>11</v>
      </c>
    </row>
    <row r="21" spans="2:13" x14ac:dyDescent="0.25">
      <c r="D21" s="11"/>
      <c r="J21" t="s">
        <v>108</v>
      </c>
      <c r="L21" s="8">
        <f>S91</f>
        <v>0.35475019272885921</v>
      </c>
      <c r="M21" t="s">
        <v>109</v>
      </c>
    </row>
    <row r="22" spans="2:13" x14ac:dyDescent="0.25">
      <c r="B22" t="s">
        <v>81</v>
      </c>
    </row>
    <row r="23" spans="2:13" x14ac:dyDescent="0.25">
      <c r="C23" t="s">
        <v>82</v>
      </c>
      <c r="D23" s="10">
        <v>65</v>
      </c>
      <c r="E23" t="s">
        <v>3</v>
      </c>
    </row>
    <row r="24" spans="2:13" ht="16.5" customHeight="1" x14ac:dyDescent="0.25">
      <c r="C24" t="s">
        <v>83</v>
      </c>
    </row>
    <row r="25" spans="2:13" x14ac:dyDescent="0.25">
      <c r="C25" t="s">
        <v>84</v>
      </c>
      <c r="D25" s="10">
        <v>13</v>
      </c>
      <c r="E25" t="s">
        <v>7</v>
      </c>
    </row>
    <row r="27" spans="2:13" x14ac:dyDescent="0.25">
      <c r="B27" t="s">
        <v>119</v>
      </c>
    </row>
    <row r="28" spans="2:13" x14ac:dyDescent="0.25">
      <c r="C28" t="s">
        <v>120</v>
      </c>
      <c r="D28" s="5">
        <v>10</v>
      </c>
      <c r="E28" t="s">
        <v>121</v>
      </c>
    </row>
    <row r="29" spans="2:13" x14ac:dyDescent="0.25">
      <c r="C29" t="s">
        <v>122</v>
      </c>
      <c r="D29" s="42">
        <f>1.1*D20*D28</f>
        <v>55000</v>
      </c>
      <c r="E29" t="s">
        <v>123</v>
      </c>
    </row>
    <row r="31" spans="2:13" ht="15.75" x14ac:dyDescent="0.25">
      <c r="B31" s="1" t="s">
        <v>133</v>
      </c>
    </row>
    <row r="32" spans="2:13" x14ac:dyDescent="0.25">
      <c r="C32" t="s">
        <v>134</v>
      </c>
    </row>
    <row r="33" spans="2:8" x14ac:dyDescent="0.25">
      <c r="C33" t="s">
        <v>91</v>
      </c>
    </row>
    <row r="34" spans="2:8" x14ac:dyDescent="0.25">
      <c r="B34" t="s">
        <v>118</v>
      </c>
      <c r="E34" s="9">
        <f>U61</f>
        <v>68.209782528703585</v>
      </c>
      <c r="F34" t="s">
        <v>10</v>
      </c>
    </row>
    <row r="35" spans="2:8" x14ac:dyDescent="0.25">
      <c r="C35" t="s">
        <v>130</v>
      </c>
      <c r="G35" s="9">
        <f>BQ67</f>
        <v>49.667088922121103</v>
      </c>
      <c r="H35" t="s">
        <v>10</v>
      </c>
    </row>
    <row r="50" spans="17:81" x14ac:dyDescent="0.25">
      <c r="Q50" s="24" t="s">
        <v>14</v>
      </c>
      <c r="R50" s="25"/>
      <c r="S50" s="25"/>
      <c r="T50" s="25"/>
      <c r="U50" s="34">
        <f>100*D13/(100-D13)</f>
        <v>20.481927710843372</v>
      </c>
      <c r="V50" s="26" t="s">
        <v>15</v>
      </c>
    </row>
    <row r="51" spans="17:81" ht="15.75" x14ac:dyDescent="0.25">
      <c r="Q51" s="27"/>
      <c r="R51" s="28"/>
      <c r="S51" s="28"/>
      <c r="T51" s="28"/>
      <c r="U51" s="28"/>
      <c r="V51" s="29"/>
      <c r="Z51" s="12" t="s">
        <v>78</v>
      </c>
      <c r="AT51" s="12" t="s">
        <v>79</v>
      </c>
      <c r="BN51" s="12" t="s">
        <v>129</v>
      </c>
    </row>
    <row r="52" spans="17:81" x14ac:dyDescent="0.25">
      <c r="Q52" s="27" t="s">
        <v>17</v>
      </c>
      <c r="R52" s="28"/>
      <c r="S52" s="28"/>
      <c r="T52" s="28"/>
      <c r="U52" s="30">
        <f>(D12-32)/1.8</f>
        <v>21.111111111111111</v>
      </c>
      <c r="V52" s="29" t="s">
        <v>16</v>
      </c>
    </row>
    <row r="53" spans="17:81" x14ac:dyDescent="0.25">
      <c r="Q53" s="27"/>
      <c r="R53" s="28"/>
      <c r="S53" s="28"/>
      <c r="T53" s="28"/>
      <c r="U53" s="28"/>
      <c r="V53" s="29"/>
      <c r="Z53" t="s">
        <v>22</v>
      </c>
      <c r="AT53" t="s">
        <v>22</v>
      </c>
      <c r="BN53" t="s">
        <v>22</v>
      </c>
    </row>
    <row r="54" spans="17:81" x14ac:dyDescent="0.25">
      <c r="Q54" s="27" t="s">
        <v>18</v>
      </c>
      <c r="R54" s="28"/>
      <c r="S54" s="28"/>
      <c r="T54" s="28"/>
      <c r="U54" s="30">
        <f>100*EXP(-EXP(2.87-0.0054*U52)/U50^1.38)</f>
        <v>78.356068524619445</v>
      </c>
      <c r="V54" s="29" t="s">
        <v>10</v>
      </c>
      <c r="Z54" t="s">
        <v>23</v>
      </c>
      <c r="AT54" t="s">
        <v>23</v>
      </c>
      <c r="BN54" t="s">
        <v>23</v>
      </c>
    </row>
    <row r="55" spans="17:81" x14ac:dyDescent="0.25">
      <c r="Q55" s="31" t="s">
        <v>136</v>
      </c>
      <c r="R55" s="32"/>
      <c r="S55" s="32"/>
      <c r="T55" s="32"/>
      <c r="U55" s="32"/>
      <c r="V55" s="33"/>
    </row>
    <row r="56" spans="17:81" x14ac:dyDescent="0.25">
      <c r="Z56" t="s">
        <v>24</v>
      </c>
      <c r="AT56" t="s">
        <v>24</v>
      </c>
      <c r="BN56" t="s">
        <v>24</v>
      </c>
    </row>
    <row r="57" spans="17:81" x14ac:dyDescent="0.25">
      <c r="Q57" s="24" t="s">
        <v>86</v>
      </c>
      <c r="R57" s="25"/>
      <c r="S57" s="25"/>
      <c r="T57" s="25"/>
      <c r="U57" s="34">
        <f>100*D25/(100-D25)</f>
        <v>14.942528735632184</v>
      </c>
      <c r="V57" s="26" t="s">
        <v>15</v>
      </c>
    </row>
    <row r="58" spans="17:81" x14ac:dyDescent="0.25">
      <c r="Q58" s="27"/>
      <c r="R58" s="28"/>
      <c r="S58" s="28"/>
      <c r="T58" s="28"/>
      <c r="U58" s="28"/>
      <c r="V58" s="29"/>
      <c r="Z58" t="s">
        <v>25</v>
      </c>
      <c r="AH58" s="13" t="s">
        <v>26</v>
      </c>
      <c r="AI58">
        <v>101.325</v>
      </c>
      <c r="AJ58" t="s">
        <v>27</v>
      </c>
      <c r="AK58" t="s">
        <v>28</v>
      </c>
      <c r="AT58" t="s">
        <v>25</v>
      </c>
      <c r="BB58" s="13" t="s">
        <v>26</v>
      </c>
      <c r="BC58">
        <v>101.325</v>
      </c>
      <c r="BD58" t="s">
        <v>27</v>
      </c>
      <c r="BE58" t="s">
        <v>28</v>
      </c>
      <c r="BN58" t="s">
        <v>25</v>
      </c>
      <c r="BV58" s="13" t="s">
        <v>26</v>
      </c>
      <c r="BW58">
        <v>101.325</v>
      </c>
      <c r="BX58" t="s">
        <v>27</v>
      </c>
      <c r="BY58" t="s">
        <v>28</v>
      </c>
    </row>
    <row r="59" spans="17:81" x14ac:dyDescent="0.25">
      <c r="Q59" s="27" t="s">
        <v>87</v>
      </c>
      <c r="R59" s="28"/>
      <c r="S59" s="28"/>
      <c r="T59" s="28"/>
      <c r="U59" s="30">
        <f>(D23-32)/1.8</f>
        <v>18.333333333333332</v>
      </c>
      <c r="V59" s="29" t="s">
        <v>16</v>
      </c>
      <c r="AA59" t="s">
        <v>29</v>
      </c>
      <c r="AC59" s="14">
        <f>D16</f>
        <v>65</v>
      </c>
      <c r="AD59" s="15" t="s">
        <v>30</v>
      </c>
      <c r="AH59" s="13" t="s">
        <v>31</v>
      </c>
      <c r="AI59">
        <v>0.28705000000000003</v>
      </c>
      <c r="AJ59" t="s">
        <v>32</v>
      </c>
      <c r="AK59" t="s">
        <v>33</v>
      </c>
      <c r="AU59" t="s">
        <v>29</v>
      </c>
      <c r="AW59" s="14">
        <f>D12</f>
        <v>70</v>
      </c>
      <c r="AX59" s="15" t="s">
        <v>30</v>
      </c>
      <c r="BB59" s="13" t="s">
        <v>31</v>
      </c>
      <c r="BC59">
        <v>0.28705000000000003</v>
      </c>
      <c r="BD59" t="s">
        <v>32</v>
      </c>
      <c r="BE59" t="s">
        <v>33</v>
      </c>
      <c r="BO59" t="s">
        <v>29</v>
      </c>
      <c r="BQ59" s="14">
        <f>AC59+D28</f>
        <v>75</v>
      </c>
      <c r="BR59" s="15" t="s">
        <v>30</v>
      </c>
      <c r="BV59" s="13" t="s">
        <v>31</v>
      </c>
      <c r="BW59">
        <v>0.28705000000000003</v>
      </c>
      <c r="BX59" t="s">
        <v>32</v>
      </c>
      <c r="BY59" t="s">
        <v>33</v>
      </c>
    </row>
    <row r="60" spans="17:81" x14ac:dyDescent="0.25">
      <c r="Q60" s="27"/>
      <c r="R60" s="28"/>
      <c r="S60" s="28"/>
      <c r="T60" s="28"/>
      <c r="U60" s="28"/>
      <c r="V60" s="29"/>
      <c r="AA60" t="s">
        <v>9</v>
      </c>
      <c r="AC60" s="14">
        <f>D17</f>
        <v>70</v>
      </c>
      <c r="AD60" s="15" t="s">
        <v>10</v>
      </c>
      <c r="AU60" t="s">
        <v>9</v>
      </c>
      <c r="AW60" s="14">
        <f>U54</f>
        <v>78.356068524619445</v>
      </c>
      <c r="AX60" s="15" t="s">
        <v>10</v>
      </c>
      <c r="BO60" t="s">
        <v>42</v>
      </c>
      <c r="BQ60" s="14">
        <f>AC64</f>
        <v>54.933334410624326</v>
      </c>
      <c r="BR60" s="15" t="s">
        <v>30</v>
      </c>
    </row>
    <row r="61" spans="17:81" x14ac:dyDescent="0.25">
      <c r="Q61" s="27" t="s">
        <v>18</v>
      </c>
      <c r="R61" s="28"/>
      <c r="S61" s="28"/>
      <c r="T61" s="28"/>
      <c r="U61" s="30">
        <f>100*EXP(-EXP(2.87-0.0054*U59)/U57^1.38)</f>
        <v>68.209782528703585</v>
      </c>
      <c r="V61" s="29" t="s">
        <v>10</v>
      </c>
      <c r="AH61" s="13" t="s">
        <v>34</v>
      </c>
      <c r="AI61" s="9">
        <f>AC72+273.16</f>
        <v>291.49333333333334</v>
      </c>
      <c r="AJ61" t="s">
        <v>35</v>
      </c>
      <c r="AK61" t="s">
        <v>36</v>
      </c>
      <c r="BB61" s="13" t="s">
        <v>34</v>
      </c>
      <c r="BC61" s="9">
        <f>AW72+273.16</f>
        <v>294.27111111111111</v>
      </c>
      <c r="BD61" t="s">
        <v>35</v>
      </c>
      <c r="BE61" t="s">
        <v>36</v>
      </c>
      <c r="BV61" s="13" t="s">
        <v>34</v>
      </c>
      <c r="BW61" s="9">
        <f>BQ72+273.16</f>
        <v>297.04888888888894</v>
      </c>
      <c r="BX61" t="s">
        <v>35</v>
      </c>
      <c r="BY61" t="s">
        <v>36</v>
      </c>
    </row>
    <row r="62" spans="17:81" x14ac:dyDescent="0.25">
      <c r="Q62" s="31" t="s">
        <v>139</v>
      </c>
      <c r="R62" s="32"/>
      <c r="S62" s="32"/>
      <c r="T62" s="32"/>
      <c r="U62" s="32"/>
      <c r="V62" s="33"/>
      <c r="Z62" t="s">
        <v>37</v>
      </c>
      <c r="AH62" s="16" t="s">
        <v>38</v>
      </c>
      <c r="AI62" s="17">
        <f>AC73/100</f>
        <v>0.7</v>
      </c>
      <c r="AK62" t="s">
        <v>39</v>
      </c>
      <c r="AT62" t="s">
        <v>37</v>
      </c>
      <c r="BB62" s="16" t="s">
        <v>38</v>
      </c>
      <c r="BC62" s="17">
        <f>AW73/100</f>
        <v>0.78356068524619449</v>
      </c>
      <c r="BE62" t="s">
        <v>39</v>
      </c>
      <c r="BN62" t="s">
        <v>37</v>
      </c>
      <c r="BV62" s="13" t="s">
        <v>125</v>
      </c>
      <c r="BW62" s="9">
        <f>BQ73+273.16</f>
        <v>285.90074133923576</v>
      </c>
      <c r="BX62" t="s">
        <v>35</v>
      </c>
      <c r="BY62" t="s">
        <v>67</v>
      </c>
    </row>
    <row r="63" spans="17:81" x14ac:dyDescent="0.25">
      <c r="AA63" t="s">
        <v>29</v>
      </c>
      <c r="AC63" s="18">
        <f>AC72*9/5+32</f>
        <v>65</v>
      </c>
      <c r="AD63" s="15" t="s">
        <v>30</v>
      </c>
      <c r="AN63" t="s">
        <v>40</v>
      </c>
      <c r="AO63" t="s">
        <v>41</v>
      </c>
      <c r="AU63" t="s">
        <v>29</v>
      </c>
      <c r="AW63" s="18">
        <f>AW72*9/5+32</f>
        <v>70</v>
      </c>
      <c r="AX63" s="15" t="s">
        <v>30</v>
      </c>
      <c r="BH63" t="s">
        <v>40</v>
      </c>
      <c r="BI63" t="s">
        <v>41</v>
      </c>
      <c r="BO63" t="s">
        <v>29</v>
      </c>
      <c r="BQ63" s="18">
        <f>BQ72*9/5+32</f>
        <v>75</v>
      </c>
      <c r="BR63" s="15" t="s">
        <v>30</v>
      </c>
      <c r="CB63" t="s">
        <v>40</v>
      </c>
      <c r="CC63" t="s">
        <v>41</v>
      </c>
    </row>
    <row r="64" spans="17:81" x14ac:dyDescent="0.25">
      <c r="Q64" t="s">
        <v>80</v>
      </c>
      <c r="V64" s="8">
        <f>I10/100</f>
        <v>0.8</v>
      </c>
      <c r="AA64" t="s">
        <v>42</v>
      </c>
      <c r="AC64" s="18">
        <f>AC75*9/5+32</f>
        <v>54.933334410624326</v>
      </c>
      <c r="AD64" s="15" t="s">
        <v>30</v>
      </c>
      <c r="AH64" s="13" t="s">
        <v>43</v>
      </c>
      <c r="AI64">
        <f>IF(AC72&lt;0,EXP(AO64),EXP(AO65))</f>
        <v>2.1079531133021145</v>
      </c>
      <c r="AJ64" t="s">
        <v>27</v>
      </c>
      <c r="AK64" t="s">
        <v>44</v>
      </c>
      <c r="AN64" t="s">
        <v>45</v>
      </c>
      <c r="AO64">
        <f>24.2779-(6238.64/AI61)-0.344438*LN(AI61)</f>
        <v>0.9208664847216621</v>
      </c>
      <c r="AU64" t="s">
        <v>42</v>
      </c>
      <c r="AW64" s="18">
        <f>AW75*9/5+32</f>
        <v>62.903814376256754</v>
      </c>
      <c r="AX64" s="15" t="s">
        <v>30</v>
      </c>
      <c r="BB64" s="13" t="s">
        <v>43</v>
      </c>
      <c r="BC64">
        <f>IF(AW72&lt;0,EXP(BI64),EXP(BI65))</f>
        <v>2.5045971996864216</v>
      </c>
      <c r="BD64" t="s">
        <v>27</v>
      </c>
      <c r="BE64" t="s">
        <v>44</v>
      </c>
      <c r="BH64" t="s">
        <v>45</v>
      </c>
      <c r="BI64">
        <f>24.2779-(6238.64/BC61)-0.344438*LN(BC61)</f>
        <v>1.1196275289153725</v>
      </c>
      <c r="BO64" t="s">
        <v>42</v>
      </c>
      <c r="BQ64" s="18">
        <f>BQ73*9/5+32</f>
        <v>54.933334410624326</v>
      </c>
      <c r="BR64" s="15" t="s">
        <v>30</v>
      </c>
      <c r="BV64" s="13" t="s">
        <v>43</v>
      </c>
      <c r="BW64">
        <f>IF(BQ72&lt;0,EXP(CC64),EXP(CC65))</f>
        <v>2.965026146896061</v>
      </c>
      <c r="BX64" t="s">
        <v>27</v>
      </c>
      <c r="BY64" t="s">
        <v>44</v>
      </c>
      <c r="CB64" t="s">
        <v>45</v>
      </c>
      <c r="CC64">
        <f>24.2779-(6238.64/BW61)-0.344438*LN(BW61)</f>
        <v>1.3146408411068913</v>
      </c>
    </row>
    <row r="65" spans="17:81" x14ac:dyDescent="0.25">
      <c r="AA65" t="s">
        <v>46</v>
      </c>
      <c r="AC65" s="18"/>
      <c r="AD65" s="15" t="s">
        <v>30</v>
      </c>
      <c r="AH65" s="13" t="s">
        <v>47</v>
      </c>
      <c r="AI65">
        <f>0.62198*AI64/(AI58-AI64)</f>
        <v>1.3214510193080843E-2</v>
      </c>
      <c r="AK65" t="s">
        <v>48</v>
      </c>
      <c r="AN65" t="s">
        <v>49</v>
      </c>
      <c r="AO65">
        <f>(-7511.52/AI61)+89.63121+0.02399897*AI61-1.1654551*10^-5*AI61^2-1.28100336*10^-8*AI61^3+2.0998405*10^-11*AI61^4-12.150799*LN(AI61)</f>
        <v>0.74571738816520394</v>
      </c>
      <c r="AU65" t="s">
        <v>46</v>
      </c>
      <c r="AW65" s="18"/>
      <c r="AX65" s="15" t="s">
        <v>30</v>
      </c>
      <c r="BB65" s="13" t="s">
        <v>47</v>
      </c>
      <c r="BC65">
        <f>0.62198*BC64/(BC58-BC64)</f>
        <v>1.5764045906682109E-2</v>
      </c>
      <c r="BE65" t="s">
        <v>48</v>
      </c>
      <c r="BH65" t="s">
        <v>49</v>
      </c>
      <c r="BI65">
        <f>(-7511.52/BC61)+89.63121+0.02399897*BC61-1.1654551*10^-5*BC61^2-1.28100336*10^-8*BC61^3+2.0998405*10^-11*BC61^4-12.150799*LN(BC61)</f>
        <v>0.91812792307898405</v>
      </c>
      <c r="BO65" t="s">
        <v>46</v>
      </c>
      <c r="BQ65" s="43"/>
      <c r="BR65" s="15" t="s">
        <v>30</v>
      </c>
      <c r="BV65" s="13" t="s">
        <v>47</v>
      </c>
      <c r="BW65">
        <f>0.62198*BW64/(BW58-BW64)</f>
        <v>1.874936410211556E-2</v>
      </c>
      <c r="BY65" t="s">
        <v>48</v>
      </c>
      <c r="CB65" t="s">
        <v>49</v>
      </c>
      <c r="CC65">
        <f>(-7511.52/BW61)+89.63121+0.02399897*BW61-1.1654551*10^-5*BW61^2-1.28100336*10^-8*BW61^3+2.0998405*10^-11*BW61^4-12.150799*LN(BW61)</f>
        <v>1.0868858509254977</v>
      </c>
    </row>
    <row r="66" spans="17:81" x14ac:dyDescent="0.25">
      <c r="AA66" t="s">
        <v>50</v>
      </c>
      <c r="AC66" s="19">
        <f>AC76</f>
        <v>9.1915722329270408E-3</v>
      </c>
      <c r="AD66" t="s">
        <v>51</v>
      </c>
      <c r="AU66" t="s">
        <v>50</v>
      </c>
      <c r="AW66" s="19">
        <f>AW76</f>
        <v>1.2284697168416316E-2</v>
      </c>
      <c r="AX66" t="s">
        <v>51</v>
      </c>
      <c r="BO66" t="s">
        <v>50</v>
      </c>
      <c r="BQ66" s="19">
        <f>BQ76</f>
        <v>9.1730831265247892E-3</v>
      </c>
      <c r="BR66" t="s">
        <v>51</v>
      </c>
    </row>
    <row r="67" spans="17:81" x14ac:dyDescent="0.25">
      <c r="Q67" t="s">
        <v>137</v>
      </c>
      <c r="AA67" t="s">
        <v>9</v>
      </c>
      <c r="AC67" s="18">
        <f>AC77</f>
        <v>70</v>
      </c>
      <c r="AD67" t="s">
        <v>10</v>
      </c>
      <c r="AH67" s="13" t="s">
        <v>52</v>
      </c>
      <c r="AI67">
        <f>AI64*AI62</f>
        <v>1.4755671793114802</v>
      </c>
      <c r="AJ67" t="s">
        <v>27</v>
      </c>
      <c r="AK67" t="s">
        <v>53</v>
      </c>
      <c r="AU67" t="s">
        <v>9</v>
      </c>
      <c r="AW67" s="18">
        <f>AW77</f>
        <v>78.356068524619445</v>
      </c>
      <c r="AX67" t="s">
        <v>10</v>
      </c>
      <c r="BB67" s="13" t="s">
        <v>52</v>
      </c>
      <c r="BC67">
        <f>BC64*BC62</f>
        <v>1.9625038980519922</v>
      </c>
      <c r="BD67" t="s">
        <v>27</v>
      </c>
      <c r="BE67" t="s">
        <v>53</v>
      </c>
      <c r="BO67" t="s">
        <v>9</v>
      </c>
      <c r="BQ67" s="18">
        <f>BQ77</f>
        <v>49.667088922121103</v>
      </c>
      <c r="BR67" t="s">
        <v>10</v>
      </c>
      <c r="BV67" s="13" t="s">
        <v>52</v>
      </c>
      <c r="BW67">
        <f>IF(BQ73&lt;0,EXP(CC68),EXP(CC69))</f>
        <v>1.4726421729430077</v>
      </c>
      <c r="BX67" t="s">
        <v>27</v>
      </c>
      <c r="BY67" t="s">
        <v>64</v>
      </c>
      <c r="CB67" t="s">
        <v>40</v>
      </c>
      <c r="CC67" t="s">
        <v>41</v>
      </c>
    </row>
    <row r="68" spans="17:81" x14ac:dyDescent="0.25">
      <c r="AA68" t="s">
        <v>54</v>
      </c>
      <c r="AC68" s="20">
        <f>AC78/0.062428</f>
        <v>13.423361209341635</v>
      </c>
      <c r="AD68" t="s">
        <v>55</v>
      </c>
      <c r="AH68" s="13"/>
      <c r="AU68" t="s">
        <v>54</v>
      </c>
      <c r="AW68" s="20">
        <f>AW78/0.062428</f>
        <v>13.617689552117509</v>
      </c>
      <c r="AX68" t="s">
        <v>55</v>
      </c>
      <c r="BB68" s="13"/>
      <c r="BO68" t="s">
        <v>54</v>
      </c>
      <c r="BQ68" s="20">
        <f>BQ78/0.062428</f>
        <v>13.678795602489881</v>
      </c>
      <c r="BR68" t="s">
        <v>55</v>
      </c>
      <c r="BV68" s="13" t="s">
        <v>58</v>
      </c>
      <c r="BW68">
        <f>0.62198*BW67/(BW58-BW67)</f>
        <v>9.1730831265247892E-3</v>
      </c>
      <c r="BY68" t="s">
        <v>126</v>
      </c>
      <c r="CB68" t="s">
        <v>127</v>
      </c>
      <c r="CC68">
        <f>24.2779-(6238.64/BW62)-0.344438*LN(BW62)</f>
        <v>0.50888132196125091</v>
      </c>
    </row>
    <row r="69" spans="17:81" x14ac:dyDescent="0.25">
      <c r="Q69" t="s">
        <v>93</v>
      </c>
      <c r="T69" s="9">
        <f>D13</f>
        <v>17</v>
      </c>
      <c r="U69" t="s">
        <v>138</v>
      </c>
      <c r="AA69" t="s">
        <v>56</v>
      </c>
      <c r="AC69" s="18">
        <f>AC79/2.326+7.686</f>
        <v>25.626913399669114</v>
      </c>
      <c r="AD69" t="s">
        <v>57</v>
      </c>
      <c r="AU69" t="s">
        <v>56</v>
      </c>
      <c r="AW69" s="18">
        <f>AW79/2.326+7.686</f>
        <v>30.223463584787009</v>
      </c>
      <c r="AX69" t="s">
        <v>57</v>
      </c>
      <c r="BO69" t="s">
        <v>56</v>
      </c>
      <c r="BQ69" s="18">
        <f>BQ79/2.326+7.686</f>
        <v>28.048453708947477</v>
      </c>
      <c r="BR69" t="s">
        <v>57</v>
      </c>
      <c r="BV69" s="16" t="s">
        <v>61</v>
      </c>
      <c r="BW69">
        <f>BW68/BW65</f>
        <v>0.48924769269853563</v>
      </c>
      <c r="BY69" t="s">
        <v>62</v>
      </c>
      <c r="CB69" t="s">
        <v>128</v>
      </c>
      <c r="CC69">
        <f>(-7511.52/BW62)+89.63121+0.02399897*BW62-1.1654551*10^-5*BW62^2-1.28100336*10^-8*BW62^3+2.0998405*10^-11*BW62^4-12.150799*LN(BW62)</f>
        <v>0.38705818396628899</v>
      </c>
    </row>
    <row r="70" spans="17:81" x14ac:dyDescent="0.25">
      <c r="R70" t="s">
        <v>95</v>
      </c>
      <c r="U70" s="8">
        <f>T69/100*56</f>
        <v>9.5200000000000014</v>
      </c>
      <c r="V70" t="s">
        <v>96</v>
      </c>
      <c r="AH70" s="13" t="s">
        <v>58</v>
      </c>
      <c r="AI70">
        <f>0.62198*AI67/(AI58-AI67)</f>
        <v>9.1915722329270408E-3</v>
      </c>
      <c r="AK70" t="s">
        <v>59</v>
      </c>
      <c r="BB70" s="13" t="s">
        <v>58</v>
      </c>
      <c r="BC70">
        <f>0.62198*BC67/(BC58-BC67)</f>
        <v>1.2284697168416316E-2</v>
      </c>
      <c r="BE70" t="s">
        <v>59</v>
      </c>
      <c r="BV70" s="16" t="s">
        <v>38</v>
      </c>
      <c r="BW70">
        <f>BW67/BW64</f>
        <v>0.496670889221211</v>
      </c>
      <c r="BY70" t="s">
        <v>39</v>
      </c>
    </row>
    <row r="71" spans="17:81" x14ac:dyDescent="0.25">
      <c r="R71" t="s">
        <v>97</v>
      </c>
      <c r="U71" s="8">
        <f>56-U70</f>
        <v>46.48</v>
      </c>
      <c r="V71" t="s">
        <v>96</v>
      </c>
      <c r="Z71" t="s">
        <v>60</v>
      </c>
      <c r="AH71" s="16" t="s">
        <v>61</v>
      </c>
      <c r="AI71">
        <f>AI70/AI65</f>
        <v>0.69556662325174756</v>
      </c>
      <c r="AK71" t="s">
        <v>62</v>
      </c>
      <c r="AT71" t="s">
        <v>60</v>
      </c>
      <c r="BB71" s="16" t="s">
        <v>61</v>
      </c>
      <c r="BC71">
        <f>BC70/BC65</f>
        <v>0.77928580271445691</v>
      </c>
      <c r="BE71" t="s">
        <v>62</v>
      </c>
      <c r="BN71" t="s">
        <v>60</v>
      </c>
      <c r="BV71" s="16" t="s">
        <v>69</v>
      </c>
      <c r="BW71">
        <f>1.006*BQ72+BW68*(2501+1.775*BQ72)</f>
        <v>47.363067327011834</v>
      </c>
      <c r="BX71" t="s">
        <v>70</v>
      </c>
      <c r="BY71" t="s">
        <v>71</v>
      </c>
    </row>
    <row r="72" spans="17:81" x14ac:dyDescent="0.25">
      <c r="AA72" t="s">
        <v>29</v>
      </c>
      <c r="AC72" s="9">
        <f>(AC59-32)*5/9</f>
        <v>18.333333333333332</v>
      </c>
      <c r="AD72" s="15" t="s">
        <v>63</v>
      </c>
      <c r="AH72" s="16" t="s">
        <v>52</v>
      </c>
      <c r="AI72">
        <f>AI64*AI62</f>
        <v>1.4755671793114802</v>
      </c>
      <c r="AJ72" t="s">
        <v>27</v>
      </c>
      <c r="AK72" t="s">
        <v>64</v>
      </c>
      <c r="AU72" t="s">
        <v>29</v>
      </c>
      <c r="AW72" s="9">
        <f>(AW59-32)*5/9</f>
        <v>21.111111111111111</v>
      </c>
      <c r="AX72" s="15" t="s">
        <v>63</v>
      </c>
      <c r="BB72" s="16" t="s">
        <v>52</v>
      </c>
      <c r="BC72">
        <f>BC64*BC62</f>
        <v>1.9625038980519922</v>
      </c>
      <c r="BD72" t="s">
        <v>27</v>
      </c>
      <c r="BE72" t="s">
        <v>64</v>
      </c>
      <c r="BO72" t="s">
        <v>29</v>
      </c>
      <c r="BQ72" s="9">
        <f>(BQ59-32)*5/9</f>
        <v>23.888888888888889</v>
      </c>
      <c r="BR72" s="15" t="s">
        <v>63</v>
      </c>
      <c r="BV72" s="16" t="s">
        <v>73</v>
      </c>
      <c r="BW72">
        <f>BW59*BW61/BW58*(1+1.6078*BW68)</f>
        <v>0.85393985187223831</v>
      </c>
      <c r="BX72" t="s">
        <v>74</v>
      </c>
      <c r="BY72" t="s">
        <v>75</v>
      </c>
    </row>
    <row r="73" spans="17:81" x14ac:dyDescent="0.25">
      <c r="Q73" t="s">
        <v>98</v>
      </c>
      <c r="T73" s="9">
        <f>D25</f>
        <v>13</v>
      </c>
      <c r="U73" t="s">
        <v>138</v>
      </c>
      <c r="AA73" t="s">
        <v>9</v>
      </c>
      <c r="AC73" s="9">
        <f>AC60</f>
        <v>70</v>
      </c>
      <c r="AD73" s="15" t="s">
        <v>10</v>
      </c>
      <c r="AH73" s="16" t="s">
        <v>38</v>
      </c>
      <c r="AI73">
        <f>AI72/AI64</f>
        <v>0.7</v>
      </c>
      <c r="AK73" t="s">
        <v>39</v>
      </c>
      <c r="AN73" s="13" t="s">
        <v>65</v>
      </c>
      <c r="AO73">
        <f>LN(AI72)</f>
        <v>0.38904244422647155</v>
      </c>
      <c r="AU73" t="s">
        <v>9</v>
      </c>
      <c r="AW73" s="9">
        <f>AW60</f>
        <v>78.356068524619445</v>
      </c>
      <c r="AX73" s="15" t="s">
        <v>10</v>
      </c>
      <c r="BB73" s="16" t="s">
        <v>38</v>
      </c>
      <c r="BC73">
        <f>BC72/BC64</f>
        <v>0.78356068524619449</v>
      </c>
      <c r="BE73" t="s">
        <v>39</v>
      </c>
      <c r="BH73" s="13" t="s">
        <v>65</v>
      </c>
      <c r="BI73">
        <f>LN(BC72)</f>
        <v>0.67422115694098483</v>
      </c>
      <c r="BO73" t="s">
        <v>42</v>
      </c>
      <c r="BQ73" s="9">
        <f>(BQ60-32)*5/9</f>
        <v>12.740741339235736</v>
      </c>
      <c r="BR73" s="15" t="s">
        <v>63</v>
      </c>
    </row>
    <row r="74" spans="17:81" x14ac:dyDescent="0.25">
      <c r="R74" t="s">
        <v>99</v>
      </c>
      <c r="U74" s="8">
        <f>(T73/100*U71)/(1-T73/100)</f>
        <v>6.9452873563218391</v>
      </c>
      <c r="V74" t="s">
        <v>96</v>
      </c>
      <c r="AH74" s="16" t="s">
        <v>66</v>
      </c>
      <c r="AI74">
        <f>IF(AC72&lt;=0,AO74,IF(AC72&lt;=50,AO75,AO76))</f>
        <v>12.740741339235734</v>
      </c>
      <c r="AJ74" s="15" t="s">
        <v>63</v>
      </c>
      <c r="AK74" t="s">
        <v>67</v>
      </c>
      <c r="AN74" s="13" t="s">
        <v>66</v>
      </c>
      <c r="AO74">
        <f>5.994+12.41*AO73+0.4273*AO73^2</f>
        <v>10.886690307053479</v>
      </c>
      <c r="AP74" t="s">
        <v>68</v>
      </c>
      <c r="BB74" s="16" t="s">
        <v>66</v>
      </c>
      <c r="BC74">
        <f>IF(AW72&lt;=0,BI74,IF(AW72&lt;=50,BI75,BI76))</f>
        <v>17.168785764587085</v>
      </c>
      <c r="BD74" s="15" t="s">
        <v>63</v>
      </c>
      <c r="BE74" t="s">
        <v>67</v>
      </c>
      <c r="BH74" s="13" t="s">
        <v>66</v>
      </c>
      <c r="BI74">
        <f>5.994+12.41*BI73+0.4273*BI73^2</f>
        <v>14.555324099823503</v>
      </c>
      <c r="BJ74" t="s">
        <v>68</v>
      </c>
    </row>
    <row r="75" spans="17:81" x14ac:dyDescent="0.25">
      <c r="AA75" t="s">
        <v>42</v>
      </c>
      <c r="AC75" s="9">
        <f>AI74</f>
        <v>12.740741339235734</v>
      </c>
      <c r="AD75" s="15" t="s">
        <v>63</v>
      </c>
      <c r="AH75" s="16" t="s">
        <v>69</v>
      </c>
      <c r="AI75">
        <f>1.006*AC72+AI70*(2501+1.775*AC72)</f>
        <v>41.73056456763036</v>
      </c>
      <c r="AJ75" t="s">
        <v>70</v>
      </c>
      <c r="AK75" t="s">
        <v>71</v>
      </c>
      <c r="AN75" s="13" t="s">
        <v>66</v>
      </c>
      <c r="AO75">
        <f>6.983+14.38*AO73+1.079*AO73^2</f>
        <v>12.740741339235734</v>
      </c>
      <c r="AP75" t="s">
        <v>72</v>
      </c>
      <c r="AU75" t="s">
        <v>42</v>
      </c>
      <c r="AW75" s="9">
        <f>BC74</f>
        <v>17.168785764587085</v>
      </c>
      <c r="AX75" s="15" t="s">
        <v>63</v>
      </c>
      <c r="BB75" s="16" t="s">
        <v>69</v>
      </c>
      <c r="BC75">
        <f>1.006*AW72+BC70*(2501+1.775*AW72)</f>
        <v>52.422140298214586</v>
      </c>
      <c r="BD75" t="s">
        <v>70</v>
      </c>
      <c r="BE75" t="s">
        <v>71</v>
      </c>
      <c r="BH75" s="13" t="s">
        <v>66</v>
      </c>
      <c r="BI75">
        <f>6.983+14.38*BI73+1.079*BI73^2</f>
        <v>17.168785764587085</v>
      </c>
      <c r="BJ75" t="s">
        <v>72</v>
      </c>
      <c r="BO75" t="s">
        <v>46</v>
      </c>
      <c r="BR75" s="15" t="s">
        <v>63</v>
      </c>
      <c r="BS75" t="s">
        <v>77</v>
      </c>
    </row>
    <row r="76" spans="17:81" x14ac:dyDescent="0.25">
      <c r="Q76" t="s">
        <v>100</v>
      </c>
      <c r="T76" s="8">
        <f>U70-U74</f>
        <v>2.5747126436781622</v>
      </c>
      <c r="U76" t="s">
        <v>96</v>
      </c>
      <c r="AA76" t="s">
        <v>50</v>
      </c>
      <c r="AC76" s="21">
        <f>AI70</f>
        <v>9.1915722329270408E-3</v>
      </c>
      <c r="AH76" s="16" t="s">
        <v>73</v>
      </c>
      <c r="AI76">
        <f>AI59*AI61/AI58*(1+1.6078*AI70)</f>
        <v>0.83799359357677961</v>
      </c>
      <c r="AJ76" t="s">
        <v>74</v>
      </c>
      <c r="AK76" t="s">
        <v>75</v>
      </c>
      <c r="AN76" s="13" t="s">
        <v>66</v>
      </c>
      <c r="AO76">
        <f>13.8+9.478*AO73+1.991*AO73^2</f>
        <v>17.788690146987225</v>
      </c>
      <c r="AP76" t="s">
        <v>76</v>
      </c>
      <c r="AU76" t="s">
        <v>50</v>
      </c>
      <c r="AW76" s="21">
        <f>BC70</f>
        <v>1.2284697168416316E-2</v>
      </c>
      <c r="BB76" s="16" t="s">
        <v>73</v>
      </c>
      <c r="BC76">
        <f>BC59*BC61/BC58*(1+1.6078*BC70)</f>
        <v>0.85012512335959189</v>
      </c>
      <c r="BD76" t="s">
        <v>74</v>
      </c>
      <c r="BE76" t="s">
        <v>75</v>
      </c>
      <c r="BH76" s="13" t="s">
        <v>66</v>
      </c>
      <c r="BI76">
        <f>13.8+9.478*BI73+1.991*BI73^2</f>
        <v>21.095325294904132</v>
      </c>
      <c r="BJ76" t="s">
        <v>76</v>
      </c>
      <c r="BO76" t="s">
        <v>50</v>
      </c>
      <c r="BQ76" s="21">
        <f>BW68</f>
        <v>9.1730831265247892E-3</v>
      </c>
    </row>
    <row r="77" spans="17:81" x14ac:dyDescent="0.25">
      <c r="AA77" t="s">
        <v>9</v>
      </c>
      <c r="AC77" s="9">
        <f>AI73*100</f>
        <v>70</v>
      </c>
      <c r="AD77" t="s">
        <v>10</v>
      </c>
      <c r="AU77" t="s">
        <v>9</v>
      </c>
      <c r="AW77" s="9">
        <f>BC73*100</f>
        <v>78.356068524619445</v>
      </c>
      <c r="AX77" t="s">
        <v>10</v>
      </c>
      <c r="BO77" t="s">
        <v>9</v>
      </c>
      <c r="BQ77" s="9">
        <f>BW70*100</f>
        <v>49.667088922121103</v>
      </c>
      <c r="BR77" t="s">
        <v>10</v>
      </c>
    </row>
    <row r="78" spans="17:81" x14ac:dyDescent="0.25">
      <c r="Q78" t="s">
        <v>102</v>
      </c>
      <c r="V78" s="9"/>
      <c r="AA78" t="s">
        <v>54</v>
      </c>
      <c r="AC78" s="7">
        <f>AI76</f>
        <v>0.83799359357677961</v>
      </c>
      <c r="AD78" t="s">
        <v>74</v>
      </c>
      <c r="AU78" t="s">
        <v>54</v>
      </c>
      <c r="AW78" s="7">
        <f>BC76</f>
        <v>0.85012512335959189</v>
      </c>
      <c r="AX78" t="s">
        <v>74</v>
      </c>
      <c r="BO78" t="s">
        <v>54</v>
      </c>
      <c r="BQ78" s="7">
        <f>BW72</f>
        <v>0.85393985187223831</v>
      </c>
      <c r="BR78" t="s">
        <v>74</v>
      </c>
    </row>
    <row r="79" spans="17:81" x14ac:dyDescent="0.25">
      <c r="R79" t="s">
        <v>103</v>
      </c>
      <c r="T79">
        <f>K8*60/AC68*(V64*(AW66-BQ66))</f>
        <v>2.4595388409808763E-2</v>
      </c>
      <c r="U79" t="s">
        <v>104</v>
      </c>
      <c r="AA79" t="s">
        <v>56</v>
      </c>
      <c r="AC79" s="9">
        <f>AI75</f>
        <v>41.73056456763036</v>
      </c>
      <c r="AD79" t="s">
        <v>70</v>
      </c>
      <c r="AU79" t="s">
        <v>56</v>
      </c>
      <c r="AW79" s="9">
        <f>BC75</f>
        <v>52.422140298214586</v>
      </c>
      <c r="AX79" t="s">
        <v>70</v>
      </c>
      <c r="BO79" t="s">
        <v>56</v>
      </c>
      <c r="BQ79" s="9">
        <f>BW71</f>
        <v>47.363067327011834</v>
      </c>
      <c r="BR79" t="s">
        <v>70</v>
      </c>
    </row>
    <row r="80" spans="17:81" x14ac:dyDescent="0.25">
      <c r="AA80" t="s">
        <v>46</v>
      </c>
      <c r="AD80" s="15" t="s">
        <v>63</v>
      </c>
      <c r="AE80" t="s">
        <v>77</v>
      </c>
      <c r="AU80" t="s">
        <v>46</v>
      </c>
      <c r="AX80" s="15" t="s">
        <v>63</v>
      </c>
      <c r="AY80" t="s">
        <v>77</v>
      </c>
    </row>
    <row r="81" spans="17:20" x14ac:dyDescent="0.25">
      <c r="Q81" t="s">
        <v>135</v>
      </c>
      <c r="S81" s="9">
        <f>T76/T79</f>
        <v>104.68273973877778</v>
      </c>
      <c r="T81" t="s">
        <v>106</v>
      </c>
    </row>
    <row r="82" spans="17:20" x14ac:dyDescent="0.25">
      <c r="S82" s="8">
        <f>S81/24</f>
        <v>4.3617808224490746</v>
      </c>
      <c r="T82" t="s">
        <v>107</v>
      </c>
    </row>
    <row r="87" spans="17:20" x14ac:dyDescent="0.25">
      <c r="Q87" t="s">
        <v>110</v>
      </c>
    </row>
    <row r="89" spans="17:20" x14ac:dyDescent="0.25">
      <c r="Q89" s="13" t="s">
        <v>111</v>
      </c>
      <c r="R89">
        <f>D20/(3.14159/4*D6*D6)</f>
        <v>7.0735590010861449</v>
      </c>
      <c r="S89" t="s">
        <v>112</v>
      </c>
    </row>
    <row r="91" spans="17:20" x14ac:dyDescent="0.25">
      <c r="Q91" t="s">
        <v>113</v>
      </c>
      <c r="S91">
        <f>(D8+D9)*(20700/31635726*R89^2/(LN(1+30.4/196.85*R89)))</f>
        <v>0.35475019272885921</v>
      </c>
      <c r="T91" t="s">
        <v>109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Bin Drying Corn</vt:lpstr>
      <vt:lpstr>Low Temp Bin Drying Corn</vt:lpstr>
      <vt:lpstr>Bin Drying Soybeans</vt:lpstr>
      <vt:lpstr>Low Temp Bin Drying Soybeans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Zulovich, Joseph M.</dc:creator>
  <cp:lastModifiedBy>Zulovich, Joseph M.</cp:lastModifiedBy>
  <dcterms:created xsi:type="dcterms:W3CDTF">2014-09-04T00:54:20Z</dcterms:created>
  <dcterms:modified xsi:type="dcterms:W3CDTF">2014-09-06T21:49:21Z</dcterms:modified>
</cp:coreProperties>
</file>