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mc:AlternateContent xmlns:mc="http://schemas.openxmlformats.org/markup-compatibility/2006">
    <mc:Choice Requires="x15">
      <x15ac:absPath xmlns:x15ac="http://schemas.microsoft.com/office/spreadsheetml/2010/11/ac" url="https://mailmissouri-my.sharepoint.com/personal/dskvnq_umsystem_edu/Documents/My things/2025/Winter guide updates/Crop Replant Decisions/"/>
    </mc:Choice>
  </mc:AlternateContent>
  <xr:revisionPtr revIDLastSave="456" documentId="8_{282A6EDE-627E-401E-BD9A-D92F8C4E1166}" xr6:coauthVersionLast="47" xr6:coauthVersionMax="47" xr10:uidLastSave="{AA207870-379D-4F0F-93C0-0D82140EEE04}"/>
  <bookViews>
    <workbookView xWindow="-120" yWindow="-120" windowWidth="29040" windowHeight="15720" xr2:uid="{00000000-000D-0000-FFFF-FFFF00000000}"/>
  </bookViews>
  <sheets>
    <sheet name="Introduction" sheetId="3" r:id="rId1"/>
    <sheet name="Corn or Soybean" sheetId="2" r:id="rId2"/>
    <sheet name="Wheat termination" sheetId="4" r:id="rId3"/>
  </sheets>
  <definedNames>
    <definedName name="_xlnm.Print_Area" localSheetId="1">'Corn or Soybean'!$A$1:$H$37</definedName>
    <definedName name="_xlnm.Print_Area" localSheetId="2">'Wheat termination'!$A$2:$J$46</definedName>
    <definedName name="solver_adj" localSheetId="1" hidden="1">'Corn or Soybean'!$S$50</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'Corn or Soybean'!$S$50</definedName>
    <definedName name="solver_lhs2" localSheetId="1" hidden="1">'Corn or Soybean'!$T$50</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2</definedName>
    <definedName name="solver_nwt" localSheetId="1" hidden="1">1</definedName>
    <definedName name="solver_opt" localSheetId="1" hidden="1">'Corn or Soybean'!$Y$57</definedName>
    <definedName name="solver_pre" localSheetId="1" hidden="1">0.000001</definedName>
    <definedName name="solver_rbv" localSheetId="1" hidden="1">1</definedName>
    <definedName name="solver_rel1" localSheetId="1" hidden="1">3</definedName>
    <definedName name="solver_rel2" localSheetId="1" hidden="1">1</definedName>
    <definedName name="solver_rhs1" localSheetId="1" hidden="1">90</definedName>
    <definedName name="solver_rhs2" localSheetId="1" hidden="1">160</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1</definedName>
    <definedName name="solver_val" localSheetId="1" hidden="1">0</definedName>
    <definedName name="solver_ver" localSheetId="1" hidde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42" i="2" l="1"/>
  <c r="U143" i="2"/>
  <c r="U144" i="2"/>
  <c r="U145" i="2"/>
  <c r="U146" i="2"/>
  <c r="U147" i="2"/>
  <c r="U148" i="2"/>
  <c r="U149" i="2"/>
  <c r="U150" i="2"/>
  <c r="U151" i="2"/>
  <c r="U152" i="2"/>
  <c r="U169" i="2" l="1"/>
  <c r="U168" i="2"/>
  <c r="U167" i="2"/>
  <c r="U166" i="2"/>
  <c r="U165" i="2"/>
  <c r="U164" i="2"/>
  <c r="U163" i="2"/>
  <c r="U162" i="2"/>
  <c r="U161" i="2"/>
  <c r="U160" i="2"/>
  <c r="U159" i="2"/>
  <c r="U158" i="2"/>
  <c r="U157" i="2"/>
  <c r="U156" i="2"/>
  <c r="U141" i="2"/>
  <c r="U137" i="2"/>
  <c r="U136" i="2"/>
  <c r="U135" i="2"/>
  <c r="U134" i="2"/>
  <c r="U133" i="2"/>
  <c r="U132" i="2"/>
  <c r="U131" i="2"/>
  <c r="U130" i="2"/>
  <c r="U129" i="2"/>
  <c r="U128" i="2"/>
  <c r="U127" i="2"/>
  <c r="U126" i="2"/>
  <c r="U122" i="2"/>
  <c r="U121" i="2"/>
  <c r="U120" i="2"/>
  <c r="U119" i="2"/>
  <c r="U118" i="2"/>
  <c r="U117" i="2"/>
  <c r="U116" i="2"/>
  <c r="U115" i="2"/>
  <c r="U114" i="2"/>
  <c r="U108" i="2" l="1"/>
  <c r="U107" i="2"/>
  <c r="U106" i="2"/>
  <c r="U105" i="2"/>
  <c r="U104" i="2"/>
  <c r="U103" i="2"/>
  <c r="U102" i="2"/>
  <c r="U101" i="2"/>
  <c r="U100" i="2"/>
  <c r="U99" i="2"/>
  <c r="U98" i="2"/>
  <c r="U97" i="2"/>
  <c r="U89" i="2"/>
  <c r="U90" i="2"/>
  <c r="U91" i="2"/>
  <c r="U92" i="2"/>
  <c r="U83" i="2"/>
  <c r="U84" i="2"/>
  <c r="U85" i="2"/>
  <c r="U86" i="2"/>
  <c r="U87" i="2"/>
  <c r="U88" i="2"/>
  <c r="U82" i="2"/>
  <c r="S58" i="2"/>
  <c r="S59" i="2"/>
  <c r="V58" i="2"/>
  <c r="V59" i="2"/>
  <c r="V57" i="2"/>
  <c r="R58" i="2"/>
  <c r="R59" i="2"/>
  <c r="R57" i="2"/>
  <c r="T59" i="2"/>
  <c r="T58" i="2"/>
  <c r="T57" i="2"/>
  <c r="F9" i="2"/>
  <c r="L88" i="4"/>
  <c r="L87" i="4"/>
  <c r="L79" i="4"/>
  <c r="V69" i="4"/>
  <c r="U69" i="4"/>
  <c r="T69" i="4"/>
  <c r="S69" i="4"/>
  <c r="R69" i="4"/>
  <c r="Q69" i="4"/>
  <c r="Z68" i="4"/>
  <c r="V68" i="4"/>
  <c r="O83" i="4" s="1"/>
  <c r="U68" i="4"/>
  <c r="O82" i="4" s="1"/>
  <c r="T68" i="4"/>
  <c r="S68" i="4"/>
  <c r="R68" i="4"/>
  <c r="Q68" i="4"/>
  <c r="M82" i="4" s="1"/>
  <c r="Z66" i="4"/>
  <c r="U65" i="4"/>
  <c r="S65" i="4"/>
  <c r="Z64" i="4"/>
  <c r="U64" i="4"/>
  <c r="S64" i="4"/>
  <c r="Q64" i="4"/>
  <c r="U63" i="4"/>
  <c r="S63" i="4"/>
  <c r="Q63" i="4"/>
  <c r="Q52" i="4"/>
  <c r="Q53" i="4" s="1"/>
  <c r="S54" i="4" s="1"/>
  <c r="U58" i="2"/>
  <c r="U57" i="2"/>
  <c r="U59" i="2"/>
  <c r="Y66" i="4" l="1"/>
  <c r="Y64" i="4"/>
  <c r="Z60" i="2"/>
  <c r="Y129" i="2" s="1"/>
  <c r="Z58" i="2"/>
  <c r="AF104" i="2" s="1"/>
  <c r="G433" i="2"/>
  <c r="F230" i="2"/>
  <c r="H235" i="2"/>
  <c r="H448" i="2"/>
  <c r="H446" i="2"/>
  <c r="H438" i="2"/>
  <c r="H425" i="2"/>
  <c r="F381" i="2"/>
  <c r="F301" i="2"/>
  <c r="F448" i="2"/>
  <c r="F441" i="2"/>
  <c r="F242" i="2"/>
  <c r="H315" i="2"/>
  <c r="F435" i="2"/>
  <c r="F397" i="2"/>
  <c r="F337" i="2"/>
  <c r="F161" i="2"/>
  <c r="F285" i="2"/>
  <c r="F354" i="2"/>
  <c r="F409" i="2"/>
  <c r="F235" i="2"/>
  <c r="F438" i="2"/>
  <c r="H103" i="2"/>
  <c r="F432" i="2"/>
  <c r="F393" i="2"/>
  <c r="F326" i="2"/>
  <c r="F115" i="2"/>
  <c r="F425" i="2"/>
  <c r="F411" i="2"/>
  <c r="D407" i="2"/>
  <c r="F349" i="2"/>
  <c r="G153" i="2"/>
  <c r="F407" i="2"/>
  <c r="F342" i="2"/>
  <c r="F218" i="2"/>
  <c r="G308" i="2"/>
  <c r="F88" i="2"/>
  <c r="F430" i="2"/>
  <c r="F390" i="2"/>
  <c r="F314" i="2"/>
  <c r="F101" i="2"/>
  <c r="F449" i="2"/>
  <c r="F428" i="2"/>
  <c r="F386" i="2"/>
  <c r="F306" i="2"/>
  <c r="F92" i="2"/>
  <c r="F446" i="2"/>
  <c r="F445" i="2"/>
  <c r="F422" i="2"/>
  <c r="F364" i="2"/>
  <c r="F269" i="2"/>
  <c r="F378" i="2"/>
  <c r="F424" i="2"/>
  <c r="F374" i="2"/>
  <c r="F283" i="2"/>
  <c r="D223" i="2"/>
  <c r="F443" i="2"/>
  <c r="F417" i="2"/>
  <c r="F362" i="2"/>
  <c r="F263" i="2"/>
  <c r="D307" i="2"/>
  <c r="D451" i="2"/>
  <c r="G435" i="2"/>
  <c r="G400" i="2"/>
  <c r="H368" i="2"/>
  <c r="D349" i="2"/>
  <c r="D335" i="2"/>
  <c r="H320" i="2"/>
  <c r="G313" i="2"/>
  <c r="D299" i="2"/>
  <c r="G282" i="2"/>
  <c r="H271" i="2"/>
  <c r="H259" i="2"/>
  <c r="F245" i="2"/>
  <c r="G213" i="2"/>
  <c r="D190" i="2"/>
  <c r="F167" i="2"/>
  <c r="D144" i="2"/>
  <c r="D121" i="2"/>
  <c r="F98" i="2"/>
  <c r="G451" i="2"/>
  <c r="D433" i="2"/>
  <c r="H400" i="2"/>
  <c r="H378" i="2"/>
  <c r="H354" i="2"/>
  <c r="G321" i="2"/>
  <c r="D247" i="2"/>
  <c r="D438" i="2"/>
  <c r="H427" i="2"/>
  <c r="D417" i="2"/>
  <c r="H406" i="2"/>
  <c r="D359" i="2"/>
  <c r="H445" i="2"/>
  <c r="D443" i="2"/>
  <c r="G440" i="2"/>
  <c r="H432" i="2"/>
  <c r="G427" i="2"/>
  <c r="D422" i="2"/>
  <c r="G419" i="2"/>
  <c r="F414" i="2"/>
  <c r="H411" i="2"/>
  <c r="D409" i="2"/>
  <c r="G406" i="2"/>
  <c r="H403" i="2"/>
  <c r="F400" i="2"/>
  <c r="D397" i="2"/>
  <c r="D393" i="2"/>
  <c r="H382" i="2"/>
  <c r="D378" i="2"/>
  <c r="F373" i="2"/>
  <c r="G368" i="2"/>
  <c r="H363" i="2"/>
  <c r="D354" i="2"/>
  <c r="D342" i="2"/>
  <c r="H327" i="2"/>
  <c r="G320" i="2"/>
  <c r="F313" i="2"/>
  <c r="D306" i="2"/>
  <c r="H291" i="2"/>
  <c r="F282" i="2"/>
  <c r="F271" i="2"/>
  <c r="F259" i="2"/>
  <c r="G230" i="2"/>
  <c r="F211" i="2"/>
  <c r="F188" i="2"/>
  <c r="G165" i="2"/>
  <c r="D142" i="2"/>
  <c r="F119" i="2"/>
  <c r="D96" i="2"/>
  <c r="H435" i="2"/>
  <c r="G397" i="2"/>
  <c r="G170" i="2"/>
  <c r="G448" i="2"/>
  <c r="H440" i="2"/>
  <c r="D425" i="2"/>
  <c r="H419" i="2"/>
  <c r="G414" i="2"/>
  <c r="D390" i="2"/>
  <c r="D386" i="2"/>
  <c r="G373" i="2"/>
  <c r="H88" i="2"/>
  <c r="D430" i="2"/>
  <c r="H424" i="2"/>
  <c r="G88" i="2"/>
  <c r="H450" i="2"/>
  <c r="D448" i="2"/>
  <c r="G445" i="2"/>
  <c r="F440" i="2"/>
  <c r="H437" i="2"/>
  <c r="D435" i="2"/>
  <c r="G432" i="2"/>
  <c r="D427" i="2"/>
  <c r="G424" i="2"/>
  <c r="F419" i="2"/>
  <c r="H416" i="2"/>
  <c r="D414" i="2"/>
  <c r="G411" i="2"/>
  <c r="F406" i="2"/>
  <c r="D403" i="2"/>
  <c r="D400" i="2"/>
  <c r="H389" i="2"/>
  <c r="H385" i="2"/>
  <c r="G381" i="2"/>
  <c r="D373" i="2"/>
  <c r="F368" i="2"/>
  <c r="G363" i="2"/>
  <c r="H358" i="2"/>
  <c r="H347" i="2"/>
  <c r="H334" i="2"/>
  <c r="G327" i="2"/>
  <c r="F320" i="2"/>
  <c r="D313" i="2"/>
  <c r="H298" i="2"/>
  <c r="G291" i="2"/>
  <c r="D271" i="2"/>
  <c r="D259" i="2"/>
  <c r="H244" i="2"/>
  <c r="D211" i="2"/>
  <c r="H187" i="2"/>
  <c r="H141" i="2"/>
  <c r="H118" i="2"/>
  <c r="D436" i="2"/>
  <c r="D446" i="2"/>
  <c r="G430" i="2"/>
  <c r="D412" i="2"/>
  <c r="D369" i="2"/>
  <c r="D216" i="2"/>
  <c r="H193" i="2"/>
  <c r="H442" i="2"/>
  <c r="G385" i="2"/>
  <c r="H340" i="2"/>
  <c r="H304" i="2"/>
  <c r="H256" i="2"/>
  <c r="F96" i="2"/>
  <c r="F108" i="2"/>
  <c r="F120" i="2"/>
  <c r="F132" i="2"/>
  <c r="F144" i="2"/>
  <c r="F156" i="2"/>
  <c r="F168" i="2"/>
  <c r="F180" i="2"/>
  <c r="F192" i="2"/>
  <c r="F204" i="2"/>
  <c r="F216" i="2"/>
  <c r="F228" i="2"/>
  <c r="F240" i="2"/>
  <c r="F252" i="2"/>
  <c r="F264" i="2"/>
  <c r="F276" i="2"/>
  <c r="F288" i="2"/>
  <c r="F94" i="2"/>
  <c r="F106" i="2"/>
  <c r="F118" i="2"/>
  <c r="F130" i="2"/>
  <c r="F142" i="2"/>
  <c r="F154" i="2"/>
  <c r="F166" i="2"/>
  <c r="F178" i="2"/>
  <c r="F190" i="2"/>
  <c r="F202" i="2"/>
  <c r="F214" i="2"/>
  <c r="F226" i="2"/>
  <c r="F238" i="2"/>
  <c r="F250" i="2"/>
  <c r="F262" i="2"/>
  <c r="F274" i="2"/>
  <c r="F286" i="2"/>
  <c r="F99" i="2"/>
  <c r="F111" i="2"/>
  <c r="F123" i="2"/>
  <c r="F135" i="2"/>
  <c r="F147" i="2"/>
  <c r="F159" i="2"/>
  <c r="F171" i="2"/>
  <c r="F183" i="2"/>
  <c r="F195" i="2"/>
  <c r="F207" i="2"/>
  <c r="F219" i="2"/>
  <c r="F231" i="2"/>
  <c r="F243" i="2"/>
  <c r="F255" i="2"/>
  <c r="F97" i="2"/>
  <c r="F109" i="2"/>
  <c r="F121" i="2"/>
  <c r="F133" i="2"/>
  <c r="F145" i="2"/>
  <c r="F157" i="2"/>
  <c r="F169" i="2"/>
  <c r="F181" i="2"/>
  <c r="F193" i="2"/>
  <c r="F205" i="2"/>
  <c r="F217" i="2"/>
  <c r="F229" i="2"/>
  <c r="F241" i="2"/>
  <c r="F253" i="2"/>
  <c r="F265" i="2"/>
  <c r="F277" i="2"/>
  <c r="F289" i="2"/>
  <c r="F90" i="2"/>
  <c r="F102" i="2"/>
  <c r="F114" i="2"/>
  <c r="F126" i="2"/>
  <c r="F138" i="2"/>
  <c r="F150" i="2"/>
  <c r="F162" i="2"/>
  <c r="F174" i="2"/>
  <c r="F186" i="2"/>
  <c r="F198" i="2"/>
  <c r="F210" i="2"/>
  <c r="F100" i="2"/>
  <c r="F112" i="2"/>
  <c r="F124" i="2"/>
  <c r="F136" i="2"/>
  <c r="F148" i="2"/>
  <c r="F160" i="2"/>
  <c r="F172" i="2"/>
  <c r="F184" i="2"/>
  <c r="F196" i="2"/>
  <c r="F208" i="2"/>
  <c r="F220" i="2"/>
  <c r="F232" i="2"/>
  <c r="F244" i="2"/>
  <c r="F256" i="2"/>
  <c r="F268" i="2"/>
  <c r="F280" i="2"/>
  <c r="F93" i="2"/>
  <c r="F105" i="2"/>
  <c r="F117" i="2"/>
  <c r="F129" i="2"/>
  <c r="F141" i="2"/>
  <c r="F153" i="2"/>
  <c r="F165" i="2"/>
  <c r="F177" i="2"/>
  <c r="F189" i="2"/>
  <c r="F201" i="2"/>
  <c r="F213" i="2"/>
  <c r="F225" i="2"/>
  <c r="F237" i="2"/>
  <c r="F249" i="2"/>
  <c r="F261" i="2"/>
  <c r="F91" i="2"/>
  <c r="F104" i="2"/>
  <c r="F110" i="2"/>
  <c r="F127" i="2"/>
  <c r="F173" i="2"/>
  <c r="F179" i="2"/>
  <c r="F223" i="2"/>
  <c r="F247" i="2"/>
  <c r="F273" i="2"/>
  <c r="F295" i="2"/>
  <c r="F307" i="2"/>
  <c r="F319" i="2"/>
  <c r="F331" i="2"/>
  <c r="F343" i="2"/>
  <c r="F355" i="2"/>
  <c r="F367" i="2"/>
  <c r="F379" i="2"/>
  <c r="F391" i="2"/>
  <c r="F403" i="2"/>
  <c r="F415" i="2"/>
  <c r="F427" i="2"/>
  <c r="F439" i="2"/>
  <c r="F451" i="2"/>
  <c r="F116" i="2"/>
  <c r="F122" i="2"/>
  <c r="F139" i="2"/>
  <c r="F185" i="2"/>
  <c r="F191" i="2"/>
  <c r="F233" i="2"/>
  <c r="F257" i="2"/>
  <c r="F287" i="2"/>
  <c r="F290" i="2"/>
  <c r="F300" i="2"/>
  <c r="F312" i="2"/>
  <c r="F324" i="2"/>
  <c r="F336" i="2"/>
  <c r="F348" i="2"/>
  <c r="F360" i="2"/>
  <c r="F372" i="2"/>
  <c r="F384" i="2"/>
  <c r="F396" i="2"/>
  <c r="F128" i="2"/>
  <c r="F134" i="2"/>
  <c r="F151" i="2"/>
  <c r="F197" i="2"/>
  <c r="F203" i="2"/>
  <c r="F224" i="2"/>
  <c r="F248" i="2"/>
  <c r="F266" i="2"/>
  <c r="F270" i="2"/>
  <c r="F284" i="2"/>
  <c r="F293" i="2"/>
  <c r="F305" i="2"/>
  <c r="F317" i="2"/>
  <c r="F329" i="2"/>
  <c r="F341" i="2"/>
  <c r="F353" i="2"/>
  <c r="F365" i="2"/>
  <c r="F377" i="2"/>
  <c r="F389" i="2"/>
  <c r="F401" i="2"/>
  <c r="F140" i="2"/>
  <c r="F146" i="2"/>
  <c r="F163" i="2"/>
  <c r="F209" i="2"/>
  <c r="F234" i="2"/>
  <c r="F258" i="2"/>
  <c r="F281" i="2"/>
  <c r="F298" i="2"/>
  <c r="F310" i="2"/>
  <c r="F322" i="2"/>
  <c r="F334" i="2"/>
  <c r="F346" i="2"/>
  <c r="F358" i="2"/>
  <c r="F370" i="2"/>
  <c r="F382" i="2"/>
  <c r="F394" i="2"/>
  <c r="F152" i="2"/>
  <c r="F158" i="2"/>
  <c r="F175" i="2"/>
  <c r="F215" i="2"/>
  <c r="F239" i="2"/>
  <c r="F291" i="2"/>
  <c r="F303" i="2"/>
  <c r="F315" i="2"/>
  <c r="F327" i="2"/>
  <c r="F339" i="2"/>
  <c r="F351" i="2"/>
  <c r="F363" i="2"/>
  <c r="F375" i="2"/>
  <c r="F95" i="2"/>
  <c r="F164" i="2"/>
  <c r="F170" i="2"/>
  <c r="F187" i="2"/>
  <c r="F125" i="2"/>
  <c r="F131" i="2"/>
  <c r="F200" i="2"/>
  <c r="F206" i="2"/>
  <c r="F236" i="2"/>
  <c r="F279" i="2"/>
  <c r="F299" i="2"/>
  <c r="F311" i="2"/>
  <c r="F323" i="2"/>
  <c r="F335" i="2"/>
  <c r="F347" i="2"/>
  <c r="F359" i="2"/>
  <c r="F371" i="2"/>
  <c r="F137" i="2"/>
  <c r="F143" i="2"/>
  <c r="F212" i="2"/>
  <c r="F222" i="2"/>
  <c r="F246" i="2"/>
  <c r="F260" i="2"/>
  <c r="F272" i="2"/>
  <c r="F292" i="2"/>
  <c r="F304" i="2"/>
  <c r="F316" i="2"/>
  <c r="F328" i="2"/>
  <c r="F340" i="2"/>
  <c r="F352" i="2"/>
  <c r="F103" i="2"/>
  <c r="F149" i="2"/>
  <c r="F155" i="2"/>
  <c r="F227" i="2"/>
  <c r="F251" i="2"/>
  <c r="F297" i="2"/>
  <c r="F309" i="2"/>
  <c r="F321" i="2"/>
  <c r="F333" i="2"/>
  <c r="F450" i="2"/>
  <c r="H447" i="2"/>
  <c r="D445" i="2"/>
  <c r="G442" i="2"/>
  <c r="F437" i="2"/>
  <c r="H434" i="2"/>
  <c r="F429" i="2"/>
  <c r="H426" i="2"/>
  <c r="D424" i="2"/>
  <c r="G421" i="2"/>
  <c r="F416" i="2"/>
  <c r="H413" i="2"/>
  <c r="D411" i="2"/>
  <c r="G408" i="2"/>
  <c r="G405" i="2"/>
  <c r="H402" i="2"/>
  <c r="H399" i="2"/>
  <c r="H395" i="2"/>
  <c r="G392" i="2"/>
  <c r="G388" i="2"/>
  <c r="F385" i="2"/>
  <c r="D381" i="2"/>
  <c r="G376" i="2"/>
  <c r="H371" i="2"/>
  <c r="D362" i="2"/>
  <c r="F357" i="2"/>
  <c r="G352" i="2"/>
  <c r="H332" i="2"/>
  <c r="G325" i="2"/>
  <c r="F318" i="2"/>
  <c r="D311" i="2"/>
  <c r="H296" i="2"/>
  <c r="G240" i="2"/>
  <c r="D226" i="2"/>
  <c r="H205" i="2"/>
  <c r="G182" i="2"/>
  <c r="G159" i="2"/>
  <c r="H136" i="2"/>
  <c r="F113" i="2"/>
  <c r="F89" i="2"/>
  <c r="H422" i="2"/>
  <c r="G409" i="2"/>
  <c r="G393" i="2"/>
  <c r="D343" i="2"/>
  <c r="G147" i="2"/>
  <c r="G450" i="2"/>
  <c r="H421" i="2"/>
  <c r="H408" i="2"/>
  <c r="H392" i="2"/>
  <c r="D450" i="2"/>
  <c r="H439" i="2"/>
  <c r="G399" i="2"/>
  <c r="F392" i="2"/>
  <c r="F388" i="2"/>
  <c r="D385" i="2"/>
  <c r="H366" i="2"/>
  <c r="D357" i="2"/>
  <c r="H346" i="2"/>
  <c r="H339" i="2"/>
  <c r="G332" i="2"/>
  <c r="F325" i="2"/>
  <c r="D318" i="2"/>
  <c r="H303" i="2"/>
  <c r="G296" i="2"/>
  <c r="G288" i="2"/>
  <c r="G278" i="2"/>
  <c r="G267" i="2"/>
  <c r="G254" i="2"/>
  <c r="D240" i="2"/>
  <c r="H225" i="2"/>
  <c r="D205" i="2"/>
  <c r="F182" i="2"/>
  <c r="D136" i="2"/>
  <c r="G443" i="2"/>
  <c r="H414" i="2"/>
  <c r="D404" i="2"/>
  <c r="D383" i="2"/>
  <c r="G359" i="2"/>
  <c r="H328" i="2"/>
  <c r="H292" i="2"/>
  <c r="H232" i="2"/>
  <c r="H124" i="2"/>
  <c r="H376" i="2"/>
  <c r="H352" i="2"/>
  <c r="D319" i="2"/>
  <c r="G138" i="2"/>
  <c r="G447" i="2"/>
  <c r="F442" i="2"/>
  <c r="H431" i="2"/>
  <c r="D429" i="2"/>
  <c r="H418" i="2"/>
  <c r="D416" i="2"/>
  <c r="F408" i="2"/>
  <c r="G402" i="2"/>
  <c r="G395" i="2"/>
  <c r="D442" i="2"/>
  <c r="H436" i="2"/>
  <c r="F426" i="2"/>
  <c r="D405" i="2"/>
  <c r="F402" i="2"/>
  <c r="F399" i="2"/>
  <c r="D392" i="2"/>
  <c r="D388" i="2"/>
  <c r="H380" i="2"/>
  <c r="D371" i="2"/>
  <c r="F366" i="2"/>
  <c r="G361" i="2"/>
  <c r="H356" i="2"/>
  <c r="H351" i="2"/>
  <c r="G345" i="2"/>
  <c r="G339" i="2"/>
  <c r="F332" i="2"/>
  <c r="D325" i="2"/>
  <c r="H310" i="2"/>
  <c r="G303" i="2"/>
  <c r="F296" i="2"/>
  <c r="D288" i="2"/>
  <c r="F278" i="2"/>
  <c r="F267" i="2"/>
  <c r="F254" i="2"/>
  <c r="H201" i="2"/>
  <c r="H178" i="2"/>
  <c r="G132" i="2"/>
  <c r="H109" i="2"/>
  <c r="D440" i="2"/>
  <c r="D419" i="2"/>
  <c r="D406" i="2"/>
  <c r="H388" i="2"/>
  <c r="D367" i="2"/>
  <c r="D347" i="2"/>
  <c r="G297" i="2"/>
  <c r="D437" i="2"/>
  <c r="G426" i="2"/>
  <c r="G413" i="2"/>
  <c r="F376" i="2"/>
  <c r="D434" i="2"/>
  <c r="H423" i="2"/>
  <c r="D89" i="2"/>
  <c r="D101" i="2"/>
  <c r="D113" i="2"/>
  <c r="D125" i="2"/>
  <c r="D137" i="2"/>
  <c r="D149" i="2"/>
  <c r="D161" i="2"/>
  <c r="D173" i="2"/>
  <c r="D185" i="2"/>
  <c r="D197" i="2"/>
  <c r="D209" i="2"/>
  <c r="D221" i="2"/>
  <c r="D233" i="2"/>
  <c r="D245" i="2"/>
  <c r="D257" i="2"/>
  <c r="D269" i="2"/>
  <c r="D281" i="2"/>
  <c r="D99" i="2"/>
  <c r="D111" i="2"/>
  <c r="D123" i="2"/>
  <c r="D135" i="2"/>
  <c r="D147" i="2"/>
  <c r="D159" i="2"/>
  <c r="D171" i="2"/>
  <c r="D183" i="2"/>
  <c r="D195" i="2"/>
  <c r="D207" i="2"/>
  <c r="D219" i="2"/>
  <c r="D231" i="2"/>
  <c r="D243" i="2"/>
  <c r="D255" i="2"/>
  <c r="D267" i="2"/>
  <c r="D279" i="2"/>
  <c r="D291" i="2"/>
  <c r="D92" i="2"/>
  <c r="D104" i="2"/>
  <c r="D116" i="2"/>
  <c r="D128" i="2"/>
  <c r="D140" i="2"/>
  <c r="D152" i="2"/>
  <c r="D164" i="2"/>
  <c r="D176" i="2"/>
  <c r="D188" i="2"/>
  <c r="D200" i="2"/>
  <c r="D212" i="2"/>
  <c r="D224" i="2"/>
  <c r="D236" i="2"/>
  <c r="D248" i="2"/>
  <c r="D90" i="2"/>
  <c r="D102" i="2"/>
  <c r="D114" i="2"/>
  <c r="D126" i="2"/>
  <c r="D138" i="2"/>
  <c r="D150" i="2"/>
  <c r="D162" i="2"/>
  <c r="D174" i="2"/>
  <c r="D186" i="2"/>
  <c r="D198" i="2"/>
  <c r="D210" i="2"/>
  <c r="D222" i="2"/>
  <c r="D234" i="2"/>
  <c r="D246" i="2"/>
  <c r="D258" i="2"/>
  <c r="D270" i="2"/>
  <c r="D282" i="2"/>
  <c r="D95" i="2"/>
  <c r="D107" i="2"/>
  <c r="D119" i="2"/>
  <c r="D131" i="2"/>
  <c r="D143" i="2"/>
  <c r="D155" i="2"/>
  <c r="D167" i="2"/>
  <c r="D179" i="2"/>
  <c r="D191" i="2"/>
  <c r="D203" i="2"/>
  <c r="D93" i="2"/>
  <c r="D105" i="2"/>
  <c r="D117" i="2"/>
  <c r="D129" i="2"/>
  <c r="D141" i="2"/>
  <c r="D153" i="2"/>
  <c r="D165" i="2"/>
  <c r="D177" i="2"/>
  <c r="D189" i="2"/>
  <c r="D201" i="2"/>
  <c r="D213" i="2"/>
  <c r="D225" i="2"/>
  <c r="D237" i="2"/>
  <c r="D249" i="2"/>
  <c r="D261" i="2"/>
  <c r="D273" i="2"/>
  <c r="D98" i="2"/>
  <c r="D110" i="2"/>
  <c r="D122" i="2"/>
  <c r="D134" i="2"/>
  <c r="D146" i="2"/>
  <c r="D158" i="2"/>
  <c r="D170" i="2"/>
  <c r="D182" i="2"/>
  <c r="D194" i="2"/>
  <c r="D206" i="2"/>
  <c r="D218" i="2"/>
  <c r="D230" i="2"/>
  <c r="D242" i="2"/>
  <c r="D254" i="2"/>
  <c r="D266" i="2"/>
  <c r="D91" i="2"/>
  <c r="D133" i="2"/>
  <c r="D139" i="2"/>
  <c r="D156" i="2"/>
  <c r="D202" i="2"/>
  <c r="D208" i="2"/>
  <c r="D228" i="2"/>
  <c r="D252" i="2"/>
  <c r="D287" i="2"/>
  <c r="D290" i="2"/>
  <c r="D300" i="2"/>
  <c r="D312" i="2"/>
  <c r="D324" i="2"/>
  <c r="D336" i="2"/>
  <c r="D348" i="2"/>
  <c r="D360" i="2"/>
  <c r="D372" i="2"/>
  <c r="D384" i="2"/>
  <c r="D396" i="2"/>
  <c r="D408" i="2"/>
  <c r="D420" i="2"/>
  <c r="D432" i="2"/>
  <c r="D444" i="2"/>
  <c r="D88" i="2"/>
  <c r="D389" i="2"/>
  <c r="D145" i="2"/>
  <c r="D151" i="2"/>
  <c r="D168" i="2"/>
  <c r="D214" i="2"/>
  <c r="D238" i="2"/>
  <c r="D277" i="2"/>
  <c r="D284" i="2"/>
  <c r="D293" i="2"/>
  <c r="D305" i="2"/>
  <c r="D317" i="2"/>
  <c r="D329" i="2"/>
  <c r="D341" i="2"/>
  <c r="D353" i="2"/>
  <c r="D365" i="2"/>
  <c r="D377" i="2"/>
  <c r="D401" i="2"/>
  <c r="D157" i="2"/>
  <c r="D163" i="2"/>
  <c r="D180" i="2"/>
  <c r="D229" i="2"/>
  <c r="D253" i="2"/>
  <c r="D262" i="2"/>
  <c r="D298" i="2"/>
  <c r="D310" i="2"/>
  <c r="D322" i="2"/>
  <c r="D334" i="2"/>
  <c r="D346" i="2"/>
  <c r="D358" i="2"/>
  <c r="D370" i="2"/>
  <c r="D382" i="2"/>
  <c r="D394" i="2"/>
  <c r="D94" i="2"/>
  <c r="D100" i="2"/>
  <c r="D169" i="2"/>
  <c r="D175" i="2"/>
  <c r="D192" i="2"/>
  <c r="D215" i="2"/>
  <c r="D239" i="2"/>
  <c r="D274" i="2"/>
  <c r="D303" i="2"/>
  <c r="D315" i="2"/>
  <c r="D327" i="2"/>
  <c r="D339" i="2"/>
  <c r="D351" i="2"/>
  <c r="D363" i="2"/>
  <c r="D375" i="2"/>
  <c r="D387" i="2"/>
  <c r="D399" i="2"/>
  <c r="D106" i="2"/>
  <c r="D112" i="2"/>
  <c r="D181" i="2"/>
  <c r="D187" i="2"/>
  <c r="D204" i="2"/>
  <c r="D220" i="2"/>
  <c r="D244" i="2"/>
  <c r="D278" i="2"/>
  <c r="D296" i="2"/>
  <c r="D308" i="2"/>
  <c r="D320" i="2"/>
  <c r="D332" i="2"/>
  <c r="D344" i="2"/>
  <c r="D356" i="2"/>
  <c r="D368" i="2"/>
  <c r="D380" i="2"/>
  <c r="D118" i="2"/>
  <c r="D124" i="2"/>
  <c r="D193" i="2"/>
  <c r="D199" i="2"/>
  <c r="D108" i="2"/>
  <c r="D154" i="2"/>
  <c r="D160" i="2"/>
  <c r="D217" i="2"/>
  <c r="D241" i="2"/>
  <c r="D260" i="2"/>
  <c r="D264" i="2"/>
  <c r="D268" i="2"/>
  <c r="D272" i="2"/>
  <c r="D289" i="2"/>
  <c r="D292" i="2"/>
  <c r="D304" i="2"/>
  <c r="D316" i="2"/>
  <c r="D328" i="2"/>
  <c r="D340" i="2"/>
  <c r="D352" i="2"/>
  <c r="D364" i="2"/>
  <c r="D376" i="2"/>
  <c r="D97" i="2"/>
  <c r="D103" i="2"/>
  <c r="D120" i="2"/>
  <c r="D166" i="2"/>
  <c r="D172" i="2"/>
  <c r="D227" i="2"/>
  <c r="D251" i="2"/>
  <c r="D286" i="2"/>
  <c r="D297" i="2"/>
  <c r="D309" i="2"/>
  <c r="D321" i="2"/>
  <c r="D333" i="2"/>
  <c r="D345" i="2"/>
  <c r="D109" i="2"/>
  <c r="D115" i="2"/>
  <c r="D132" i="2"/>
  <c r="D178" i="2"/>
  <c r="D184" i="2"/>
  <c r="D232" i="2"/>
  <c r="D256" i="2"/>
  <c r="D276" i="2"/>
  <c r="D283" i="2"/>
  <c r="D302" i="2"/>
  <c r="D314" i="2"/>
  <c r="D326" i="2"/>
  <c r="D338" i="2"/>
  <c r="H449" i="2"/>
  <c r="D447" i="2"/>
  <c r="G436" i="2"/>
  <c r="F431" i="2"/>
  <c r="D426" i="2"/>
  <c r="H415" i="2"/>
  <c r="D413" i="2"/>
  <c r="H407" i="2"/>
  <c r="F398" i="2"/>
  <c r="D395" i="2"/>
  <c r="D391" i="2"/>
  <c r="H375" i="2"/>
  <c r="D366" i="2"/>
  <c r="F361" i="2"/>
  <c r="G356" i="2"/>
  <c r="G351" i="2"/>
  <c r="F345" i="2"/>
  <c r="F338" i="2"/>
  <c r="D331" i="2"/>
  <c r="H316" i="2"/>
  <c r="G309" i="2"/>
  <c r="F302" i="2"/>
  <c r="D295" i="2"/>
  <c r="H286" i="2"/>
  <c r="G276" i="2"/>
  <c r="D265" i="2"/>
  <c r="G237" i="2"/>
  <c r="F221" i="2"/>
  <c r="H199" i="2"/>
  <c r="H153" i="2"/>
  <c r="H130" i="2"/>
  <c r="G437" i="2"/>
  <c r="G429" i="2"/>
  <c r="G416" i="2"/>
  <c r="G357" i="2"/>
  <c r="G333" i="2"/>
  <c r="D280" i="2"/>
  <c r="G207" i="2"/>
  <c r="H184" i="2"/>
  <c r="H452" i="2"/>
  <c r="F434" i="2"/>
  <c r="F421" i="2"/>
  <c r="F405" i="2"/>
  <c r="G371" i="2"/>
  <c r="G452" i="2"/>
  <c r="F447" i="2"/>
  <c r="H444" i="2"/>
  <c r="G439" i="2"/>
  <c r="G431" i="2"/>
  <c r="D421" i="2"/>
  <c r="G418" i="2"/>
  <c r="F413" i="2"/>
  <c r="H410" i="2"/>
  <c r="F395" i="2"/>
  <c r="F452" i="2"/>
  <c r="G444" i="2"/>
  <c r="D439" i="2"/>
  <c r="H428" i="2"/>
  <c r="G423" i="2"/>
  <c r="F418" i="2"/>
  <c r="F410" i="2"/>
  <c r="D402" i="2"/>
  <c r="G380" i="2"/>
  <c r="D452" i="2"/>
  <c r="G449" i="2"/>
  <c r="F444" i="2"/>
  <c r="G441" i="2"/>
  <c r="F436" i="2"/>
  <c r="H433" i="2"/>
  <c r="D431" i="2"/>
  <c r="G428" i="2"/>
  <c r="F423" i="2"/>
  <c r="H420" i="2"/>
  <c r="D418" i="2"/>
  <c r="G415" i="2"/>
  <c r="H412" i="2"/>
  <c r="D410" i="2"/>
  <c r="G407" i="2"/>
  <c r="H404" i="2"/>
  <c r="D398" i="2"/>
  <c r="H387" i="2"/>
  <c r="H383" i="2"/>
  <c r="F380" i="2"/>
  <c r="G375" i="2"/>
  <c r="H370" i="2"/>
  <c r="D361" i="2"/>
  <c r="F356" i="2"/>
  <c r="F350" i="2"/>
  <c r="H344" i="2"/>
  <c r="G337" i="2"/>
  <c r="F330" i="2"/>
  <c r="D323" i="2"/>
  <c r="H308" i="2"/>
  <c r="G301" i="2"/>
  <c r="F294" i="2"/>
  <c r="G285" i="2"/>
  <c r="F275" i="2"/>
  <c r="D250" i="2"/>
  <c r="F199" i="2"/>
  <c r="F176" i="2"/>
  <c r="D130" i="2"/>
  <c r="F107" i="2"/>
  <c r="D423" i="2"/>
  <c r="G369" i="2"/>
  <c r="G420" i="2"/>
  <c r="D415" i="2"/>
  <c r="G412" i="2"/>
  <c r="G404" i="2"/>
  <c r="H401" i="2"/>
  <c r="H394" i="2"/>
  <c r="H390" i="2"/>
  <c r="G387" i="2"/>
  <c r="G383" i="2"/>
  <c r="D379" i="2"/>
  <c r="H364" i="2"/>
  <c r="D355" i="2"/>
  <c r="D350" i="2"/>
  <c r="G344" i="2"/>
  <c r="D330" i="2"/>
  <c r="D294" i="2"/>
  <c r="D275" i="2"/>
  <c r="H249" i="2"/>
  <c r="D196" i="2"/>
  <c r="D127" i="2"/>
  <c r="G91" i="2"/>
  <c r="G103" i="2"/>
  <c r="G115" i="2"/>
  <c r="G127" i="2"/>
  <c r="G139" i="2"/>
  <c r="G151" i="2"/>
  <c r="G163" i="2"/>
  <c r="G175" i="2"/>
  <c r="G187" i="2"/>
  <c r="G199" i="2"/>
  <c r="G211" i="2"/>
  <c r="G223" i="2"/>
  <c r="G235" i="2"/>
  <c r="G247" i="2"/>
  <c r="G259" i="2"/>
  <c r="G271" i="2"/>
  <c r="G283" i="2"/>
  <c r="G89" i="2"/>
  <c r="G101" i="2"/>
  <c r="G113" i="2"/>
  <c r="G125" i="2"/>
  <c r="G137" i="2"/>
  <c r="G149" i="2"/>
  <c r="G161" i="2"/>
  <c r="G173" i="2"/>
  <c r="G185" i="2"/>
  <c r="G197" i="2"/>
  <c r="G209" i="2"/>
  <c r="G221" i="2"/>
  <c r="G233" i="2"/>
  <c r="G245" i="2"/>
  <c r="G257" i="2"/>
  <c r="G269" i="2"/>
  <c r="G281" i="2"/>
  <c r="G94" i="2"/>
  <c r="G106" i="2"/>
  <c r="G118" i="2"/>
  <c r="G130" i="2"/>
  <c r="G142" i="2"/>
  <c r="G154" i="2"/>
  <c r="G166" i="2"/>
  <c r="G178" i="2"/>
  <c r="G190" i="2"/>
  <c r="G202" i="2"/>
  <c r="G214" i="2"/>
  <c r="G226" i="2"/>
  <c r="G238" i="2"/>
  <c r="G250" i="2"/>
  <c r="G92" i="2"/>
  <c r="G104" i="2"/>
  <c r="G116" i="2"/>
  <c r="G128" i="2"/>
  <c r="G140" i="2"/>
  <c r="G152" i="2"/>
  <c r="G164" i="2"/>
  <c r="G176" i="2"/>
  <c r="G188" i="2"/>
  <c r="G200" i="2"/>
  <c r="G212" i="2"/>
  <c r="G224" i="2"/>
  <c r="G236" i="2"/>
  <c r="G248" i="2"/>
  <c r="G260" i="2"/>
  <c r="G272" i="2"/>
  <c r="G284" i="2"/>
  <c r="G97" i="2"/>
  <c r="G109" i="2"/>
  <c r="G121" i="2"/>
  <c r="G133" i="2"/>
  <c r="G145" i="2"/>
  <c r="G157" i="2"/>
  <c r="G169" i="2"/>
  <c r="G181" i="2"/>
  <c r="G193" i="2"/>
  <c r="G205" i="2"/>
  <c r="Y62" i="2"/>
  <c r="AB146" i="2" s="1"/>
  <c r="G95" i="2"/>
  <c r="G107" i="2"/>
  <c r="G119" i="2"/>
  <c r="G131" i="2"/>
  <c r="G143" i="2"/>
  <c r="G155" i="2"/>
  <c r="G167" i="2"/>
  <c r="G179" i="2"/>
  <c r="G191" i="2"/>
  <c r="G203" i="2"/>
  <c r="G215" i="2"/>
  <c r="G227" i="2"/>
  <c r="G239" i="2"/>
  <c r="G251" i="2"/>
  <c r="G263" i="2"/>
  <c r="G275" i="2"/>
  <c r="G100" i="2"/>
  <c r="G112" i="2"/>
  <c r="G124" i="2"/>
  <c r="G136" i="2"/>
  <c r="G148" i="2"/>
  <c r="G160" i="2"/>
  <c r="G172" i="2"/>
  <c r="G184" i="2"/>
  <c r="G196" i="2"/>
  <c r="G208" i="2"/>
  <c r="G220" i="2"/>
  <c r="G232" i="2"/>
  <c r="G244" i="2"/>
  <c r="G256" i="2"/>
  <c r="G268" i="2"/>
  <c r="G98" i="2"/>
  <c r="G144" i="2"/>
  <c r="G150" i="2"/>
  <c r="G218" i="2"/>
  <c r="G242" i="2"/>
  <c r="G261" i="2"/>
  <c r="G265" i="2"/>
  <c r="G280" i="2"/>
  <c r="G302" i="2"/>
  <c r="G314" i="2"/>
  <c r="G326" i="2"/>
  <c r="G338" i="2"/>
  <c r="G350" i="2"/>
  <c r="G362" i="2"/>
  <c r="G374" i="2"/>
  <c r="G386" i="2"/>
  <c r="G398" i="2"/>
  <c r="G410" i="2"/>
  <c r="G422" i="2"/>
  <c r="G434" i="2"/>
  <c r="G446" i="2"/>
  <c r="G403" i="2"/>
  <c r="G93" i="2"/>
  <c r="G110" i="2"/>
  <c r="G156" i="2"/>
  <c r="G162" i="2"/>
  <c r="G228" i="2"/>
  <c r="G252" i="2"/>
  <c r="G273" i="2"/>
  <c r="G295" i="2"/>
  <c r="G307" i="2"/>
  <c r="G319" i="2"/>
  <c r="G331" i="2"/>
  <c r="G343" i="2"/>
  <c r="G355" i="2"/>
  <c r="G367" i="2"/>
  <c r="G379" i="2"/>
  <c r="G391" i="2"/>
  <c r="G99" i="2"/>
  <c r="G105" i="2"/>
  <c r="G122" i="2"/>
  <c r="G168" i="2"/>
  <c r="G174" i="2"/>
  <c r="G219" i="2"/>
  <c r="G243" i="2"/>
  <c r="G277" i="2"/>
  <c r="G287" i="2"/>
  <c r="G290" i="2"/>
  <c r="G300" i="2"/>
  <c r="G312" i="2"/>
  <c r="G324" i="2"/>
  <c r="G336" i="2"/>
  <c r="G348" i="2"/>
  <c r="G360" i="2"/>
  <c r="G372" i="2"/>
  <c r="G384" i="2"/>
  <c r="G396" i="2"/>
  <c r="G111" i="2"/>
  <c r="G117" i="2"/>
  <c r="G134" i="2"/>
  <c r="G180" i="2"/>
  <c r="G186" i="2"/>
  <c r="G229" i="2"/>
  <c r="G253" i="2"/>
  <c r="G262" i="2"/>
  <c r="G266" i="2"/>
  <c r="G270" i="2"/>
  <c r="G293" i="2"/>
  <c r="G305" i="2"/>
  <c r="G317" i="2"/>
  <c r="G329" i="2"/>
  <c r="G341" i="2"/>
  <c r="G353" i="2"/>
  <c r="G365" i="2"/>
  <c r="G377" i="2"/>
  <c r="G389" i="2"/>
  <c r="G123" i="2"/>
  <c r="G129" i="2"/>
  <c r="G146" i="2"/>
  <c r="G192" i="2"/>
  <c r="G198" i="2"/>
  <c r="G234" i="2"/>
  <c r="G258" i="2"/>
  <c r="G274" i="2"/>
  <c r="G298" i="2"/>
  <c r="G310" i="2"/>
  <c r="G322" i="2"/>
  <c r="G334" i="2"/>
  <c r="G346" i="2"/>
  <c r="G358" i="2"/>
  <c r="G370" i="2"/>
  <c r="G382" i="2"/>
  <c r="G135" i="2"/>
  <c r="G141" i="2"/>
  <c r="G158" i="2"/>
  <c r="G204" i="2"/>
  <c r="G210" i="2"/>
  <c r="G225" i="2"/>
  <c r="G96" i="2"/>
  <c r="G102" i="2"/>
  <c r="G171" i="2"/>
  <c r="G177" i="2"/>
  <c r="G194" i="2"/>
  <c r="G231" i="2"/>
  <c r="G255" i="2"/>
  <c r="G294" i="2"/>
  <c r="G306" i="2"/>
  <c r="G318" i="2"/>
  <c r="G330" i="2"/>
  <c r="G342" i="2"/>
  <c r="G354" i="2"/>
  <c r="G366" i="2"/>
  <c r="G378" i="2"/>
  <c r="G90" i="2"/>
  <c r="G108" i="2"/>
  <c r="G114" i="2"/>
  <c r="G183" i="2"/>
  <c r="G189" i="2"/>
  <c r="G206" i="2"/>
  <c r="G217" i="2"/>
  <c r="G241" i="2"/>
  <c r="G264" i="2"/>
  <c r="G279" i="2"/>
  <c r="G289" i="2"/>
  <c r="G299" i="2"/>
  <c r="G311" i="2"/>
  <c r="G323" i="2"/>
  <c r="G335" i="2"/>
  <c r="G347" i="2"/>
  <c r="G120" i="2"/>
  <c r="G126" i="2"/>
  <c r="G195" i="2"/>
  <c r="G201" i="2"/>
  <c r="G222" i="2"/>
  <c r="G246" i="2"/>
  <c r="G286" i="2"/>
  <c r="G292" i="2"/>
  <c r="G304" i="2"/>
  <c r="G316" i="2"/>
  <c r="G328" i="2"/>
  <c r="G340" i="2"/>
  <c r="H98" i="2"/>
  <c r="H110" i="2"/>
  <c r="H122" i="2"/>
  <c r="H134" i="2"/>
  <c r="H146" i="2"/>
  <c r="H158" i="2"/>
  <c r="H170" i="2"/>
  <c r="H182" i="2"/>
  <c r="H194" i="2"/>
  <c r="H206" i="2"/>
  <c r="H218" i="2"/>
  <c r="H230" i="2"/>
  <c r="H242" i="2"/>
  <c r="H254" i="2"/>
  <c r="H266" i="2"/>
  <c r="H278" i="2"/>
  <c r="H290" i="2"/>
  <c r="H96" i="2"/>
  <c r="H108" i="2"/>
  <c r="H120" i="2"/>
  <c r="H132" i="2"/>
  <c r="H144" i="2"/>
  <c r="H156" i="2"/>
  <c r="H168" i="2"/>
  <c r="H180" i="2"/>
  <c r="H192" i="2"/>
  <c r="H204" i="2"/>
  <c r="H216" i="2"/>
  <c r="H228" i="2"/>
  <c r="H240" i="2"/>
  <c r="H252" i="2"/>
  <c r="H264" i="2"/>
  <c r="H276" i="2"/>
  <c r="H288" i="2"/>
  <c r="H89" i="2"/>
  <c r="H101" i="2"/>
  <c r="H113" i="2"/>
  <c r="H125" i="2"/>
  <c r="H137" i="2"/>
  <c r="H149" i="2"/>
  <c r="H161" i="2"/>
  <c r="H173" i="2"/>
  <c r="H185" i="2"/>
  <c r="H197" i="2"/>
  <c r="H209" i="2"/>
  <c r="H221" i="2"/>
  <c r="H233" i="2"/>
  <c r="H245" i="2"/>
  <c r="H257" i="2"/>
  <c r="H99" i="2"/>
  <c r="H111" i="2"/>
  <c r="H123" i="2"/>
  <c r="H135" i="2"/>
  <c r="H147" i="2"/>
  <c r="H159" i="2"/>
  <c r="H171" i="2"/>
  <c r="H183" i="2"/>
  <c r="H195" i="2"/>
  <c r="H207" i="2"/>
  <c r="H219" i="2"/>
  <c r="H231" i="2"/>
  <c r="H243" i="2"/>
  <c r="H255" i="2"/>
  <c r="H267" i="2"/>
  <c r="H279" i="2"/>
  <c r="H92" i="2"/>
  <c r="H104" i="2"/>
  <c r="H116" i="2"/>
  <c r="H128" i="2"/>
  <c r="H140" i="2"/>
  <c r="H152" i="2"/>
  <c r="H164" i="2"/>
  <c r="H176" i="2"/>
  <c r="H188" i="2"/>
  <c r="H200" i="2"/>
  <c r="H212" i="2"/>
  <c r="H90" i="2"/>
  <c r="H102" i="2"/>
  <c r="H114" i="2"/>
  <c r="H126" i="2"/>
  <c r="H138" i="2"/>
  <c r="H150" i="2"/>
  <c r="H162" i="2"/>
  <c r="H174" i="2"/>
  <c r="H186" i="2"/>
  <c r="H198" i="2"/>
  <c r="H210" i="2"/>
  <c r="H222" i="2"/>
  <c r="H234" i="2"/>
  <c r="H246" i="2"/>
  <c r="H258" i="2"/>
  <c r="H270" i="2"/>
  <c r="H95" i="2"/>
  <c r="H107" i="2"/>
  <c r="H119" i="2"/>
  <c r="H131" i="2"/>
  <c r="H143" i="2"/>
  <c r="H155" i="2"/>
  <c r="H167" i="2"/>
  <c r="H179" i="2"/>
  <c r="H191" i="2"/>
  <c r="H203" i="2"/>
  <c r="H215" i="2"/>
  <c r="H227" i="2"/>
  <c r="H239" i="2"/>
  <c r="H251" i="2"/>
  <c r="H263" i="2"/>
  <c r="H115" i="2"/>
  <c r="H121" i="2"/>
  <c r="H190" i="2"/>
  <c r="H196" i="2"/>
  <c r="H213" i="2"/>
  <c r="H237" i="2"/>
  <c r="H269" i="2"/>
  <c r="H283" i="2"/>
  <c r="H297" i="2"/>
  <c r="H309" i="2"/>
  <c r="H321" i="2"/>
  <c r="H333" i="2"/>
  <c r="H345" i="2"/>
  <c r="H357" i="2"/>
  <c r="H369" i="2"/>
  <c r="H381" i="2"/>
  <c r="H393" i="2"/>
  <c r="H405" i="2"/>
  <c r="H417" i="2"/>
  <c r="H429" i="2"/>
  <c r="H441" i="2"/>
  <c r="H374" i="2"/>
  <c r="H398" i="2"/>
  <c r="H127" i="2"/>
  <c r="H133" i="2"/>
  <c r="H202" i="2"/>
  <c r="H208" i="2"/>
  <c r="H223" i="2"/>
  <c r="H247" i="2"/>
  <c r="H261" i="2"/>
  <c r="H265" i="2"/>
  <c r="H280" i="2"/>
  <c r="H302" i="2"/>
  <c r="H314" i="2"/>
  <c r="H326" i="2"/>
  <c r="H338" i="2"/>
  <c r="H350" i="2"/>
  <c r="H362" i="2"/>
  <c r="H386" i="2"/>
  <c r="H93" i="2"/>
  <c r="H139" i="2"/>
  <c r="H145" i="2"/>
  <c r="H214" i="2"/>
  <c r="H238" i="2"/>
  <c r="H273" i="2"/>
  <c r="H295" i="2"/>
  <c r="H307" i="2"/>
  <c r="H319" i="2"/>
  <c r="H331" i="2"/>
  <c r="H343" i="2"/>
  <c r="H355" i="2"/>
  <c r="H367" i="2"/>
  <c r="H379" i="2"/>
  <c r="H391" i="2"/>
  <c r="H105" i="2"/>
  <c r="H151" i="2"/>
  <c r="H157" i="2"/>
  <c r="H224" i="2"/>
  <c r="H248" i="2"/>
  <c r="H277" i="2"/>
  <c r="H284" i="2"/>
  <c r="H287" i="2"/>
  <c r="H300" i="2"/>
  <c r="H312" i="2"/>
  <c r="H324" i="2"/>
  <c r="H336" i="2"/>
  <c r="H348" i="2"/>
  <c r="H360" i="2"/>
  <c r="H372" i="2"/>
  <c r="H384" i="2"/>
  <c r="H396" i="2"/>
  <c r="H94" i="2"/>
  <c r="H100" i="2"/>
  <c r="H117" i="2"/>
  <c r="H163" i="2"/>
  <c r="H169" i="2"/>
  <c r="H229" i="2"/>
  <c r="H253" i="2"/>
  <c r="H262" i="2"/>
  <c r="H281" i="2"/>
  <c r="H293" i="2"/>
  <c r="H305" i="2"/>
  <c r="H317" i="2"/>
  <c r="H329" i="2"/>
  <c r="H341" i="2"/>
  <c r="H353" i="2"/>
  <c r="H365" i="2"/>
  <c r="H377" i="2"/>
  <c r="Z62" i="2"/>
  <c r="AE166" i="2" s="1"/>
  <c r="H106" i="2"/>
  <c r="H112" i="2"/>
  <c r="H129" i="2"/>
  <c r="H175" i="2"/>
  <c r="H181" i="2"/>
  <c r="H220" i="2"/>
  <c r="H142" i="2"/>
  <c r="H148" i="2"/>
  <c r="H165" i="2"/>
  <c r="H211" i="2"/>
  <c r="H226" i="2"/>
  <c r="H250" i="2"/>
  <c r="H275" i="2"/>
  <c r="H282" i="2"/>
  <c r="H285" i="2"/>
  <c r="H301" i="2"/>
  <c r="H313" i="2"/>
  <c r="H325" i="2"/>
  <c r="H337" i="2"/>
  <c r="H349" i="2"/>
  <c r="H361" i="2"/>
  <c r="H373" i="2"/>
  <c r="H154" i="2"/>
  <c r="H160" i="2"/>
  <c r="H177" i="2"/>
  <c r="H236" i="2"/>
  <c r="H268" i="2"/>
  <c r="H294" i="2"/>
  <c r="H306" i="2"/>
  <c r="H318" i="2"/>
  <c r="H330" i="2"/>
  <c r="H342" i="2"/>
  <c r="H91" i="2"/>
  <c r="H97" i="2"/>
  <c r="H166" i="2"/>
  <c r="H172" i="2"/>
  <c r="H189" i="2"/>
  <c r="H217" i="2"/>
  <c r="H241" i="2"/>
  <c r="H260" i="2"/>
  <c r="H272" i="2"/>
  <c r="H289" i="2"/>
  <c r="H299" i="2"/>
  <c r="H311" i="2"/>
  <c r="H323" i="2"/>
  <c r="H335" i="2"/>
  <c r="H451" i="2"/>
  <c r="D449" i="2"/>
  <c r="H443" i="2"/>
  <c r="D441" i="2"/>
  <c r="G438" i="2"/>
  <c r="F433" i="2"/>
  <c r="H430" i="2"/>
  <c r="D428" i="2"/>
  <c r="G425" i="2"/>
  <c r="F420" i="2"/>
  <c r="G417" i="2"/>
  <c r="F412" i="2"/>
  <c r="H409" i="2"/>
  <c r="F404" i="2"/>
  <c r="G401" i="2"/>
  <c r="H397" i="2"/>
  <c r="G394" i="2"/>
  <c r="G390" i="2"/>
  <c r="F387" i="2"/>
  <c r="F383" i="2"/>
  <c r="D374" i="2"/>
  <c r="F369" i="2"/>
  <c r="G364" i="2"/>
  <c r="H359" i="2"/>
  <c r="G349" i="2"/>
  <c r="F344" i="2"/>
  <c r="D337" i="2"/>
  <c r="H322" i="2"/>
  <c r="G315" i="2"/>
  <c r="F308" i="2"/>
  <c r="D301" i="2"/>
  <c r="D285" i="2"/>
  <c r="H274" i="2"/>
  <c r="D263" i="2"/>
  <c r="G249" i="2"/>
  <c r="D235" i="2"/>
  <c r="G216" i="2"/>
  <c r="F194" i="2"/>
  <c r="D148" i="2"/>
  <c r="M83" i="4"/>
  <c r="Y68" i="4"/>
  <c r="T54" i="4"/>
  <c r="T55" i="4"/>
  <c r="S55" i="4"/>
  <c r="S57" i="2"/>
  <c r="Q58" i="2"/>
  <c r="Q57" i="2"/>
  <c r="G12" i="2"/>
  <c r="Y66" i="2"/>
  <c r="Y65" i="2"/>
  <c r="Z66" i="2"/>
  <c r="Z65" i="2"/>
  <c r="Z152" i="2" l="1"/>
  <c r="W149" i="2"/>
  <c r="AA152" i="2"/>
  <c r="W143" i="2"/>
  <c r="W147" i="2"/>
  <c r="W151" i="2"/>
  <c r="AC152" i="2"/>
  <c r="W148" i="2"/>
  <c r="W145" i="2"/>
  <c r="AB152" i="2"/>
  <c r="AE152" i="2"/>
  <c r="W146" i="2"/>
  <c r="W144" i="2"/>
  <c r="AD152" i="2"/>
  <c r="AF152" i="2"/>
  <c r="W142" i="2"/>
  <c r="W152" i="2"/>
  <c r="W141" i="2"/>
  <c r="X152" i="2"/>
  <c r="W150" i="2"/>
  <c r="Y152" i="2"/>
  <c r="AE150" i="2"/>
  <c r="AD150" i="2"/>
  <c r="AB151" i="2"/>
  <c r="AE151" i="2"/>
  <c r="AA150" i="2"/>
  <c r="Y150" i="2"/>
  <c r="Z150" i="2"/>
  <c r="X151" i="2"/>
  <c r="Y151" i="2"/>
  <c r="AC151" i="2"/>
  <c r="AD151" i="2"/>
  <c r="AC150" i="2"/>
  <c r="X150" i="2"/>
  <c r="AB150" i="2"/>
  <c r="AA151" i="2"/>
  <c r="AF151" i="2"/>
  <c r="AF150" i="2"/>
  <c r="Z151" i="2"/>
  <c r="AC106" i="2"/>
  <c r="AF108" i="2"/>
  <c r="AC103" i="2"/>
  <c r="AB99" i="2"/>
  <c r="W107" i="2"/>
  <c r="X100" i="2"/>
  <c r="W97" i="2"/>
  <c r="X98" i="2"/>
  <c r="X103" i="2"/>
  <c r="AF102" i="2"/>
  <c r="Z108" i="2"/>
  <c r="W98" i="2"/>
  <c r="Z100" i="2"/>
  <c r="AF101" i="2"/>
  <c r="AA101" i="2"/>
  <c r="AB104" i="2"/>
  <c r="Y100" i="2"/>
  <c r="Y97" i="2"/>
  <c r="AE104" i="2"/>
  <c r="AC101" i="2"/>
  <c r="AE107" i="2"/>
  <c r="X106" i="2"/>
  <c r="Y99" i="2"/>
  <c r="AD102" i="2"/>
  <c r="AC99" i="2"/>
  <c r="AE101" i="2"/>
  <c r="W101" i="2"/>
  <c r="AA106" i="2"/>
  <c r="AB103" i="2"/>
  <c r="AC97" i="2"/>
  <c r="Y105" i="2"/>
  <c r="AD104" i="2"/>
  <c r="W104" i="2"/>
  <c r="AD98" i="2"/>
  <c r="AC108" i="2"/>
  <c r="AE97" i="2"/>
  <c r="AD106" i="2"/>
  <c r="AA102" i="2"/>
  <c r="Y102" i="2"/>
  <c r="AE106" i="2"/>
  <c r="Y101" i="2"/>
  <c r="AA103" i="2"/>
  <c r="AA104" i="2"/>
  <c r="Z105" i="2"/>
  <c r="Z107" i="2"/>
  <c r="X107" i="2"/>
  <c r="X104" i="2"/>
  <c r="X97" i="2"/>
  <c r="AE100" i="2"/>
  <c r="AB101" i="2"/>
  <c r="AB98" i="2"/>
  <c r="X102" i="2"/>
  <c r="AA100" i="2"/>
  <c r="Z101" i="2"/>
  <c r="AF105" i="2"/>
  <c r="AB97" i="2"/>
  <c r="X105" i="2"/>
  <c r="AD100" i="2"/>
  <c r="AD97" i="2"/>
  <c r="AC98" i="2"/>
  <c r="AC104" i="2"/>
  <c r="W103" i="2"/>
  <c r="AA97" i="2"/>
  <c r="Z106" i="2"/>
  <c r="Y98" i="2"/>
  <c r="AA105" i="2"/>
  <c r="X101" i="2"/>
  <c r="AA99" i="2"/>
  <c r="AF106" i="2"/>
  <c r="AB102" i="2"/>
  <c r="Z103" i="2"/>
  <c r="Z104" i="2"/>
  <c r="AC102" i="2"/>
  <c r="Z102" i="2"/>
  <c r="AA108" i="2"/>
  <c r="W100" i="2"/>
  <c r="AC107" i="2"/>
  <c r="W106" i="2"/>
  <c r="W102" i="2"/>
  <c r="AD107" i="2"/>
  <c r="AC100" i="2"/>
  <c r="W99" i="2"/>
  <c r="W108" i="2"/>
  <c r="AD105" i="2"/>
  <c r="AF107" i="2"/>
  <c r="AF100" i="2"/>
  <c r="AB108" i="2"/>
  <c r="AB105" i="2"/>
  <c r="AD103" i="2"/>
  <c r="Z99" i="2"/>
  <c r="AF98" i="2"/>
  <c r="AB106" i="2"/>
  <c r="AE108" i="2"/>
  <c r="AD101" i="2"/>
  <c r="AF103" i="2"/>
  <c r="Z98" i="2"/>
  <c r="AE105" i="2"/>
  <c r="AE102" i="2"/>
  <c r="AD99" i="2"/>
  <c r="AF97" i="2"/>
  <c r="Y108" i="2"/>
  <c r="AE103" i="2"/>
  <c r="AB107" i="2"/>
  <c r="X99" i="2"/>
  <c r="AF99" i="2"/>
  <c r="AD108" i="2"/>
  <c r="Y103" i="2"/>
  <c r="AE98" i="2"/>
  <c r="AA98" i="2"/>
  <c r="W105" i="2"/>
  <c r="Y107" i="2"/>
  <c r="Y104" i="2"/>
  <c r="AE99" i="2"/>
  <c r="Y106" i="2"/>
  <c r="AC105" i="2"/>
  <c r="Z97" i="2"/>
  <c r="AA107" i="2"/>
  <c r="AB100" i="2"/>
  <c r="X108" i="2"/>
  <c r="Z149" i="2"/>
  <c r="AA149" i="2"/>
  <c r="AF143" i="2"/>
  <c r="Y141" i="2"/>
  <c r="AF141" i="2"/>
  <c r="X146" i="2"/>
  <c r="AF142" i="2"/>
  <c r="AD145" i="2"/>
  <c r="AC145" i="2"/>
  <c r="AE145" i="2"/>
  <c r="X144" i="2"/>
  <c r="Y145" i="2"/>
  <c r="AC147" i="2"/>
  <c r="Z148" i="2"/>
  <c r="AA142" i="2"/>
  <c r="AD162" i="2"/>
  <c r="AA129" i="2"/>
  <c r="AF128" i="2"/>
  <c r="W126" i="2"/>
  <c r="AF162" i="2"/>
  <c r="AA137" i="2"/>
  <c r="Z145" i="2"/>
  <c r="AE147" i="2"/>
  <c r="AF149" i="2"/>
  <c r="Y135" i="2"/>
  <c r="Z131" i="2"/>
  <c r="AE135" i="2"/>
  <c r="AA148" i="2"/>
  <c r="AB132" i="2"/>
  <c r="AB143" i="2"/>
  <c r="AA145" i="2"/>
  <c r="AB145" i="2"/>
  <c r="X137" i="2"/>
  <c r="AA128" i="2"/>
  <c r="Y132" i="2"/>
  <c r="W135" i="2"/>
  <c r="AF166" i="2"/>
  <c r="X134" i="2"/>
  <c r="AF137" i="2"/>
  <c r="X162" i="2"/>
  <c r="Y167" i="2"/>
  <c r="AE126" i="2"/>
  <c r="AC166" i="2"/>
  <c r="AC169" i="2"/>
  <c r="AC142" i="2"/>
  <c r="AF148" i="2"/>
  <c r="AB137" i="2"/>
  <c r="AC130" i="2"/>
  <c r="W130" i="2"/>
  <c r="AE129" i="2"/>
  <c r="Y147" i="2"/>
  <c r="Y168" i="2"/>
  <c r="X133" i="2"/>
  <c r="Z129" i="2"/>
  <c r="AA136" i="2"/>
  <c r="AE133" i="2"/>
  <c r="AC133" i="2"/>
  <c r="AD136" i="2"/>
  <c r="AF168" i="2"/>
  <c r="W133" i="2"/>
  <c r="Y126" i="2"/>
  <c r="AF129" i="2"/>
  <c r="Y127" i="2"/>
  <c r="AC131" i="2"/>
  <c r="AD166" i="2"/>
  <c r="Z128" i="2"/>
  <c r="AD134" i="2"/>
  <c r="AF130" i="2"/>
  <c r="AD133" i="2"/>
  <c r="AD130" i="2"/>
  <c r="AF132" i="2"/>
  <c r="AB136" i="2"/>
  <c r="AB165" i="2"/>
  <c r="AB127" i="2"/>
  <c r="Y131" i="2"/>
  <c r="AD132" i="2"/>
  <c r="AA135" i="2"/>
  <c r="W127" i="2"/>
  <c r="W134" i="2"/>
  <c r="X136" i="2"/>
  <c r="Y128" i="2"/>
  <c r="Z164" i="2"/>
  <c r="AD127" i="2"/>
  <c r="Y133" i="2"/>
  <c r="AC134" i="2"/>
  <c r="Z132" i="2"/>
  <c r="Y164" i="2"/>
  <c r="AD126" i="2"/>
  <c r="AA130" i="2"/>
  <c r="Y166" i="2"/>
  <c r="AC168" i="2"/>
  <c r="AE130" i="2"/>
  <c r="W129" i="2"/>
  <c r="AE134" i="2"/>
  <c r="W136" i="2"/>
  <c r="X126" i="2"/>
  <c r="AE131" i="2"/>
  <c r="Z135" i="2"/>
  <c r="AE158" i="2"/>
  <c r="AC167" i="2"/>
  <c r="AA166" i="2"/>
  <c r="Z134" i="2"/>
  <c r="AE132" i="2"/>
  <c r="X131" i="2"/>
  <c r="Y130" i="2"/>
  <c r="AC137" i="2"/>
  <c r="AC128" i="2"/>
  <c r="AF136" i="2"/>
  <c r="AA165" i="2"/>
  <c r="AB142" i="2"/>
  <c r="W159" i="2"/>
  <c r="AE136" i="2"/>
  <c r="X132" i="2"/>
  <c r="AB128" i="2"/>
  <c r="AA134" i="2"/>
  <c r="AD158" i="2"/>
  <c r="AB157" i="2"/>
  <c r="Z163" i="2"/>
  <c r="AB126" i="2"/>
  <c r="AE167" i="2"/>
  <c r="AE168" i="2"/>
  <c r="AD169" i="2"/>
  <c r="Z144" i="2"/>
  <c r="Y144" i="2"/>
  <c r="X143" i="2"/>
  <c r="AE149" i="2"/>
  <c r="AE143" i="2"/>
  <c r="AE157" i="2"/>
  <c r="AE160" i="2"/>
  <c r="AE127" i="2"/>
  <c r="AD129" i="2"/>
  <c r="AB134" i="2"/>
  <c r="X130" i="2"/>
  <c r="AB166" i="2"/>
  <c r="AD141" i="2"/>
  <c r="Y163" i="2"/>
  <c r="Y148" i="2"/>
  <c r="AD137" i="2"/>
  <c r="AF169" i="2"/>
  <c r="AD165" i="2"/>
  <c r="AF157" i="2"/>
  <c r="AF164" i="2"/>
  <c r="X168" i="2"/>
  <c r="AE169" i="2"/>
  <c r="X157" i="2"/>
  <c r="Z158" i="2"/>
  <c r="AB164" i="2"/>
  <c r="AA127" i="2"/>
  <c r="AD143" i="2"/>
  <c r="AC129" i="2"/>
  <c r="Z169" i="2"/>
  <c r="AA168" i="2"/>
  <c r="Z168" i="2"/>
  <c r="X149" i="2"/>
  <c r="AD147" i="2"/>
  <c r="X129" i="2"/>
  <c r="AB144" i="2"/>
  <c r="AC141" i="2"/>
  <c r="AE164" i="2"/>
  <c r="AB162" i="2"/>
  <c r="Z130" i="2"/>
  <c r="W132" i="2"/>
  <c r="AF135" i="2"/>
  <c r="AD128" i="2"/>
  <c r="AA132" i="2"/>
  <c r="W164" i="2"/>
  <c r="W128" i="2"/>
  <c r="Z165" i="2"/>
  <c r="AE141" i="2"/>
  <c r="AC126" i="2"/>
  <c r="X169" i="2"/>
  <c r="W160" i="2"/>
  <c r="AC149" i="2"/>
  <c r="AB147" i="2"/>
  <c r="AD161" i="2"/>
  <c r="AD168" i="2"/>
  <c r="W168" i="2"/>
  <c r="Z167" i="2"/>
  <c r="AE144" i="2"/>
  <c r="AA144" i="2"/>
  <c r="W162" i="2"/>
  <c r="AC144" i="2"/>
  <c r="AB130" i="2"/>
  <c r="X161" i="2"/>
  <c r="AF144" i="2"/>
  <c r="AF127" i="2"/>
  <c r="AB133" i="2"/>
  <c r="Z126" i="2"/>
  <c r="AA131" i="2"/>
  <c r="AF133" i="2"/>
  <c r="Z160" i="2"/>
  <c r="AD131" i="2"/>
  <c r="AE162" i="2"/>
  <c r="AF147" i="2"/>
  <c r="X141" i="2"/>
  <c r="AB148" i="2"/>
  <c r="AE142" i="2"/>
  <c r="AD149" i="2"/>
  <c r="AC148" i="2"/>
  <c r="AF145" i="2"/>
  <c r="AB141" i="2"/>
  <c r="AE146" i="2"/>
  <c r="Y146" i="2"/>
  <c r="Y149" i="2"/>
  <c r="Z143" i="2"/>
  <c r="X142" i="2"/>
  <c r="Z147" i="2"/>
  <c r="AD146" i="2"/>
  <c r="AA147" i="2"/>
  <c r="AA141" i="2"/>
  <c r="AA143" i="2"/>
  <c r="AD142" i="2"/>
  <c r="Y143" i="2"/>
  <c r="AB149" i="2"/>
  <c r="AF131" i="2"/>
  <c r="Z146" i="2"/>
  <c r="W161" i="2"/>
  <c r="AE148" i="2"/>
  <c r="Y159" i="2"/>
  <c r="AD167" i="2"/>
  <c r="W167" i="2"/>
  <c r="Y169" i="2"/>
  <c r="AC143" i="2"/>
  <c r="W157" i="2"/>
  <c r="Y142" i="2"/>
  <c r="AB129" i="2"/>
  <c r="Y156" i="2"/>
  <c r="AA126" i="2"/>
  <c r="X135" i="2"/>
  <c r="W131" i="2"/>
  <c r="AA133" i="2"/>
  <c r="AD135" i="2"/>
  <c r="AC156" i="2"/>
  <c r="Y136" i="2"/>
  <c r="X159" i="2"/>
  <c r="Z141" i="2"/>
  <c r="AC163" i="2"/>
  <c r="X166" i="2"/>
  <c r="AF159" i="2"/>
  <c r="AA162" i="2"/>
  <c r="X164" i="2"/>
  <c r="AA160" i="2"/>
  <c r="AC161" i="2"/>
  <c r="AD156" i="2"/>
  <c r="AF167" i="2"/>
  <c r="AF161" i="2"/>
  <c r="AB169" i="2"/>
  <c r="Z162" i="2"/>
  <c r="AC159" i="2"/>
  <c r="X145" i="2"/>
  <c r="AE165" i="2"/>
  <c r="AB160" i="2"/>
  <c r="Z161" i="2"/>
  <c r="AA164" i="2"/>
  <c r="AE156" i="2"/>
  <c r="AA163" i="2"/>
  <c r="X158" i="2"/>
  <c r="AF165" i="2"/>
  <c r="AA159" i="2"/>
  <c r="Y158" i="2"/>
  <c r="AB156" i="2"/>
  <c r="AD159" i="2"/>
  <c r="AC158" i="2"/>
  <c r="AE161" i="2"/>
  <c r="AF158" i="2"/>
  <c r="AF156" i="2"/>
  <c r="Z157" i="2"/>
  <c r="AB159" i="2"/>
  <c r="AB163" i="2"/>
  <c r="W158" i="2"/>
  <c r="AC157" i="2"/>
  <c r="W156" i="2"/>
  <c r="Z159" i="2"/>
  <c r="AE163" i="2"/>
  <c r="AC162" i="2"/>
  <c r="AB158" i="2"/>
  <c r="AA161" i="2"/>
  <c r="AD164" i="2"/>
  <c r="AC165" i="2"/>
  <c r="AF163" i="2"/>
  <c r="X156" i="2"/>
  <c r="AF160" i="2"/>
  <c r="AA156" i="2"/>
  <c r="AD157" i="2"/>
  <c r="W163" i="2"/>
  <c r="W165" i="2"/>
  <c r="AC164" i="2"/>
  <c r="X160" i="2"/>
  <c r="AC160" i="2"/>
  <c r="Z166" i="2"/>
  <c r="Y162" i="2"/>
  <c r="X165" i="2"/>
  <c r="AE159" i="2"/>
  <c r="Y160" i="2"/>
  <c r="AB168" i="2"/>
  <c r="X163" i="2"/>
  <c r="W166" i="2"/>
  <c r="AD163" i="2"/>
  <c r="AB167" i="2"/>
  <c r="AD160" i="2"/>
  <c r="AA157" i="2"/>
  <c r="X167" i="2"/>
  <c r="Y157" i="2"/>
  <c r="AF146" i="2"/>
  <c r="AD144" i="2"/>
  <c r="AA146" i="2"/>
  <c r="AD148" i="2"/>
  <c r="Z142" i="2"/>
  <c r="AC136" i="2"/>
  <c r="Z136" i="2"/>
  <c r="X127" i="2"/>
  <c r="W137" i="2"/>
  <c r="Y137" i="2"/>
  <c r="AE137" i="2"/>
  <c r="AB131" i="2"/>
  <c r="X128" i="2"/>
  <c r="Z127" i="2"/>
  <c r="AB135" i="2"/>
  <c r="Z137" i="2"/>
  <c r="Y161" i="2"/>
  <c r="Z156" i="2"/>
  <c r="AA169" i="2"/>
  <c r="W169" i="2"/>
  <c r="AA167" i="2"/>
  <c r="Y134" i="2"/>
  <c r="AC146" i="2"/>
  <c r="Y165" i="2"/>
  <c r="AB161" i="2"/>
  <c r="AC127" i="2"/>
  <c r="AF126" i="2"/>
  <c r="AF134" i="2"/>
  <c r="AC132" i="2"/>
  <c r="Z133" i="2"/>
  <c r="AC135" i="2"/>
  <c r="X147" i="2"/>
  <c r="AA158" i="2"/>
  <c r="X148" i="2"/>
  <c r="AE128" i="2"/>
  <c r="Y60" i="2"/>
  <c r="W114" i="2" s="1"/>
  <c r="C94" i="2"/>
  <c r="C106" i="2"/>
  <c r="C118" i="2"/>
  <c r="C130" i="2"/>
  <c r="C142" i="2"/>
  <c r="C154" i="2"/>
  <c r="C166" i="2"/>
  <c r="C178" i="2"/>
  <c r="C190" i="2"/>
  <c r="C202" i="2"/>
  <c r="C214" i="2"/>
  <c r="C226" i="2"/>
  <c r="C238" i="2"/>
  <c r="C250" i="2"/>
  <c r="C262" i="2"/>
  <c r="C274" i="2"/>
  <c r="C286" i="2"/>
  <c r="C92" i="2"/>
  <c r="C104" i="2"/>
  <c r="C116" i="2"/>
  <c r="C128" i="2"/>
  <c r="C140" i="2"/>
  <c r="C152" i="2"/>
  <c r="C164" i="2"/>
  <c r="C176" i="2"/>
  <c r="C188" i="2"/>
  <c r="C200" i="2"/>
  <c r="C212" i="2"/>
  <c r="C224" i="2"/>
  <c r="C236" i="2"/>
  <c r="C248" i="2"/>
  <c r="C260" i="2"/>
  <c r="C272" i="2"/>
  <c r="C284" i="2"/>
  <c r="C97" i="2"/>
  <c r="C109" i="2"/>
  <c r="C121" i="2"/>
  <c r="C133" i="2"/>
  <c r="C145" i="2"/>
  <c r="C157" i="2"/>
  <c r="C169" i="2"/>
  <c r="C181" i="2"/>
  <c r="C193" i="2"/>
  <c r="C205" i="2"/>
  <c r="C217" i="2"/>
  <c r="C229" i="2"/>
  <c r="C241" i="2"/>
  <c r="C253" i="2"/>
  <c r="C95" i="2"/>
  <c r="C107" i="2"/>
  <c r="C119" i="2"/>
  <c r="C131" i="2"/>
  <c r="C143" i="2"/>
  <c r="C155" i="2"/>
  <c r="C167" i="2"/>
  <c r="C179" i="2"/>
  <c r="C191" i="2"/>
  <c r="C203" i="2"/>
  <c r="C215" i="2"/>
  <c r="C227" i="2"/>
  <c r="C239" i="2"/>
  <c r="C251" i="2"/>
  <c r="C263" i="2"/>
  <c r="C275" i="2"/>
  <c r="C287" i="2"/>
  <c r="C100" i="2"/>
  <c r="C112" i="2"/>
  <c r="C124" i="2"/>
  <c r="C136" i="2"/>
  <c r="C148" i="2"/>
  <c r="C160" i="2"/>
  <c r="C172" i="2"/>
  <c r="C184" i="2"/>
  <c r="C196" i="2"/>
  <c r="C208" i="2"/>
  <c r="C98" i="2"/>
  <c r="C110" i="2"/>
  <c r="C122" i="2"/>
  <c r="C134" i="2"/>
  <c r="C146" i="2"/>
  <c r="C158" i="2"/>
  <c r="C170" i="2"/>
  <c r="C182" i="2"/>
  <c r="C194" i="2"/>
  <c r="C206" i="2"/>
  <c r="C218" i="2"/>
  <c r="C230" i="2"/>
  <c r="C242" i="2"/>
  <c r="C254" i="2"/>
  <c r="C266" i="2"/>
  <c r="C278" i="2"/>
  <c r="Y58" i="2"/>
  <c r="AF92" i="2" s="1"/>
  <c r="C91" i="2"/>
  <c r="C103" i="2"/>
  <c r="C115" i="2"/>
  <c r="C127" i="2"/>
  <c r="C139" i="2"/>
  <c r="C151" i="2"/>
  <c r="C163" i="2"/>
  <c r="C175" i="2"/>
  <c r="C187" i="2"/>
  <c r="C199" i="2"/>
  <c r="C211" i="2"/>
  <c r="C223" i="2"/>
  <c r="C235" i="2"/>
  <c r="C247" i="2"/>
  <c r="C259" i="2"/>
  <c r="C89" i="2"/>
  <c r="C93" i="2"/>
  <c r="C162" i="2"/>
  <c r="C168" i="2"/>
  <c r="C185" i="2"/>
  <c r="C233" i="2"/>
  <c r="C257" i="2"/>
  <c r="C277" i="2"/>
  <c r="C293" i="2"/>
  <c r="C305" i="2"/>
  <c r="C317" i="2"/>
  <c r="C329" i="2"/>
  <c r="C341" i="2"/>
  <c r="C353" i="2"/>
  <c r="C365" i="2"/>
  <c r="C377" i="2"/>
  <c r="C389" i="2"/>
  <c r="C401" i="2"/>
  <c r="C413" i="2"/>
  <c r="C425" i="2"/>
  <c r="C437" i="2"/>
  <c r="C449" i="2"/>
  <c r="C394" i="2"/>
  <c r="C99" i="2"/>
  <c r="C105" i="2"/>
  <c r="C174" i="2"/>
  <c r="C180" i="2"/>
  <c r="C197" i="2"/>
  <c r="C219" i="2"/>
  <c r="C243" i="2"/>
  <c r="C270" i="2"/>
  <c r="C298" i="2"/>
  <c r="C310" i="2"/>
  <c r="C322" i="2"/>
  <c r="C334" i="2"/>
  <c r="C346" i="2"/>
  <c r="C358" i="2"/>
  <c r="C370" i="2"/>
  <c r="C382" i="2"/>
  <c r="C406" i="2"/>
  <c r="C111" i="2"/>
  <c r="C117" i="2"/>
  <c r="C186" i="2"/>
  <c r="C192" i="2"/>
  <c r="C209" i="2"/>
  <c r="C234" i="2"/>
  <c r="C258" i="2"/>
  <c r="C281" i="2"/>
  <c r="C303" i="2"/>
  <c r="C315" i="2"/>
  <c r="C327" i="2"/>
  <c r="C339" i="2"/>
  <c r="C351" i="2"/>
  <c r="C363" i="2"/>
  <c r="C375" i="2"/>
  <c r="C387" i="2"/>
  <c r="C399" i="2"/>
  <c r="C123" i="2"/>
  <c r="C129" i="2"/>
  <c r="C198" i="2"/>
  <c r="C204" i="2"/>
  <c r="C220" i="2"/>
  <c r="C244" i="2"/>
  <c r="C291" i="2"/>
  <c r="C296" i="2"/>
  <c r="C308" i="2"/>
  <c r="C320" i="2"/>
  <c r="C332" i="2"/>
  <c r="C344" i="2"/>
  <c r="C356" i="2"/>
  <c r="C368" i="2"/>
  <c r="C380" i="2"/>
  <c r="C392" i="2"/>
  <c r="C135" i="2"/>
  <c r="C141" i="2"/>
  <c r="C210" i="2"/>
  <c r="C225" i="2"/>
  <c r="C249" i="2"/>
  <c r="C267" i="2"/>
  <c r="C271" i="2"/>
  <c r="C285" i="2"/>
  <c r="C288" i="2"/>
  <c r="C301" i="2"/>
  <c r="C313" i="2"/>
  <c r="C325" i="2"/>
  <c r="C337" i="2"/>
  <c r="C349" i="2"/>
  <c r="C361" i="2"/>
  <c r="C373" i="2"/>
  <c r="C101" i="2"/>
  <c r="C147" i="2"/>
  <c r="C153" i="2"/>
  <c r="C216" i="2"/>
  <c r="C90" i="2"/>
  <c r="C114" i="2"/>
  <c r="C120" i="2"/>
  <c r="C137" i="2"/>
  <c r="C183" i="2"/>
  <c r="C189" i="2"/>
  <c r="C222" i="2"/>
  <c r="C246" i="2"/>
  <c r="C297" i="2"/>
  <c r="C309" i="2"/>
  <c r="C321" i="2"/>
  <c r="C333" i="2"/>
  <c r="C345" i="2"/>
  <c r="C357" i="2"/>
  <c r="C369" i="2"/>
  <c r="C126" i="2"/>
  <c r="C132" i="2"/>
  <c r="C149" i="2"/>
  <c r="C195" i="2"/>
  <c r="C201" i="2"/>
  <c r="C232" i="2"/>
  <c r="C256" i="2"/>
  <c r="C276" i="2"/>
  <c r="C283" i="2"/>
  <c r="C302" i="2"/>
  <c r="C314" i="2"/>
  <c r="C326" i="2"/>
  <c r="C338" i="2"/>
  <c r="C350" i="2"/>
  <c r="C138" i="2"/>
  <c r="C144" i="2"/>
  <c r="C161" i="2"/>
  <c r="C207" i="2"/>
  <c r="C213" i="2"/>
  <c r="C237" i="2"/>
  <c r="C265" i="2"/>
  <c r="C269" i="2"/>
  <c r="C280" i="2"/>
  <c r="C295" i="2"/>
  <c r="C307" i="2"/>
  <c r="C319" i="2"/>
  <c r="C331" i="2"/>
  <c r="C343" i="2"/>
  <c r="C102" i="2"/>
  <c r="C125" i="2"/>
  <c r="C171" i="2"/>
  <c r="C294" i="2"/>
  <c r="C330" i="2"/>
  <c r="C355" i="2"/>
  <c r="C379" i="2"/>
  <c r="C415" i="2"/>
  <c r="C423" i="2"/>
  <c r="C436" i="2"/>
  <c r="C150" i="2"/>
  <c r="C173" i="2"/>
  <c r="C323" i="2"/>
  <c r="C360" i="2"/>
  <c r="C398" i="2"/>
  <c r="C410" i="2"/>
  <c r="C418" i="2"/>
  <c r="C221" i="2"/>
  <c r="C264" i="2"/>
  <c r="C316" i="2"/>
  <c r="C366" i="2"/>
  <c r="C391" i="2"/>
  <c r="C395" i="2"/>
  <c r="C402" i="2"/>
  <c r="C426" i="2"/>
  <c r="C439" i="2"/>
  <c r="C447" i="2"/>
  <c r="C434" i="2"/>
  <c r="C416" i="2"/>
  <c r="C429" i="2"/>
  <c r="C450" i="2"/>
  <c r="C445" i="2"/>
  <c r="C312" i="2"/>
  <c r="C403" i="2"/>
  <c r="C448" i="2"/>
  <c r="C108" i="2"/>
  <c r="C177" i="2"/>
  <c r="C252" i="2"/>
  <c r="C324" i="2"/>
  <c r="C371" i="2"/>
  <c r="C384" i="2"/>
  <c r="C388" i="2"/>
  <c r="C405" i="2"/>
  <c r="C421" i="2"/>
  <c r="C442" i="2"/>
  <c r="C408" i="2"/>
  <c r="C156" i="2"/>
  <c r="C240" i="2"/>
  <c r="C318" i="2"/>
  <c r="C376" i="2"/>
  <c r="C385" i="2"/>
  <c r="C381" i="2"/>
  <c r="C290" i="2"/>
  <c r="C396" i="2"/>
  <c r="C428" i="2"/>
  <c r="C431" i="2"/>
  <c r="C113" i="2"/>
  <c r="C159" i="2"/>
  <c r="C311" i="2"/>
  <c r="C352" i="2"/>
  <c r="C362" i="2"/>
  <c r="C411" i="2"/>
  <c r="C424" i="2"/>
  <c r="C372" i="2"/>
  <c r="C300" i="2"/>
  <c r="C374" i="2"/>
  <c r="C255" i="2"/>
  <c r="C268" i="2"/>
  <c r="C279" i="2"/>
  <c r="C289" i="2"/>
  <c r="C304" i="2"/>
  <c r="C340" i="2"/>
  <c r="C347" i="2"/>
  <c r="C367" i="2"/>
  <c r="C419" i="2"/>
  <c r="C432" i="2"/>
  <c r="C440" i="2"/>
  <c r="C88" i="2"/>
  <c r="C228" i="2"/>
  <c r="C400" i="2"/>
  <c r="C414" i="2"/>
  <c r="C427" i="2"/>
  <c r="C435" i="2"/>
  <c r="C261" i="2"/>
  <c r="C336" i="2"/>
  <c r="C441" i="2"/>
  <c r="C96" i="2"/>
  <c r="C165" i="2"/>
  <c r="C282" i="2"/>
  <c r="C306" i="2"/>
  <c r="C342" i="2"/>
  <c r="C354" i="2"/>
  <c r="C378" i="2"/>
  <c r="C393" i="2"/>
  <c r="C397" i="2"/>
  <c r="C409" i="2"/>
  <c r="C422" i="2"/>
  <c r="C430" i="2"/>
  <c r="C443" i="2"/>
  <c r="C417" i="2"/>
  <c r="C451" i="2"/>
  <c r="C404" i="2"/>
  <c r="C412" i="2"/>
  <c r="C273" i="2"/>
  <c r="C420" i="2"/>
  <c r="C452" i="2"/>
  <c r="C245" i="2"/>
  <c r="C299" i="2"/>
  <c r="C335" i="2"/>
  <c r="C348" i="2"/>
  <c r="C359" i="2"/>
  <c r="C386" i="2"/>
  <c r="C390" i="2"/>
  <c r="C438" i="2"/>
  <c r="C383" i="2"/>
  <c r="C433" i="2"/>
  <c r="C231" i="2"/>
  <c r="C292" i="2"/>
  <c r="C328" i="2"/>
  <c r="C364" i="2"/>
  <c r="C446" i="2"/>
  <c r="C407" i="2"/>
  <c r="C444" i="2"/>
  <c r="E173" i="2"/>
  <c r="E88" i="2"/>
  <c r="E99" i="2"/>
  <c r="E101" i="2"/>
  <c r="E103" i="2"/>
  <c r="E105" i="2"/>
  <c r="E107" i="2"/>
  <c r="E109" i="2"/>
  <c r="E111" i="2"/>
  <c r="E113" i="2"/>
  <c r="E115" i="2"/>
  <c r="E117" i="2"/>
  <c r="E119" i="2"/>
  <c r="E121" i="2"/>
  <c r="E123" i="2"/>
  <c r="E125" i="2"/>
  <c r="E127" i="2"/>
  <c r="E129" i="2"/>
  <c r="E131" i="2"/>
  <c r="E133" i="2"/>
  <c r="E135" i="2"/>
  <c r="E137" i="2"/>
  <c r="E139" i="2"/>
  <c r="E141" i="2"/>
  <c r="E143" i="2"/>
  <c r="E145" i="2"/>
  <c r="E147" i="2"/>
  <c r="E149" i="2"/>
  <c r="E151" i="2"/>
  <c r="E153" i="2"/>
  <c r="E155" i="2"/>
  <c r="E157" i="2"/>
  <c r="E159" i="2"/>
  <c r="E161" i="2"/>
  <c r="E163" i="2"/>
  <c r="E165" i="2"/>
  <c r="E167" i="2"/>
  <c r="E169" i="2"/>
  <c r="E171" i="2"/>
  <c r="E175" i="2"/>
  <c r="E177" i="2"/>
  <c r="E179" i="2"/>
  <c r="E181" i="2"/>
  <c r="E183" i="2"/>
  <c r="E185" i="2"/>
  <c r="E187" i="2"/>
  <c r="E189" i="2"/>
  <c r="E191" i="2"/>
  <c r="E193" i="2"/>
  <c r="E195" i="2"/>
  <c r="E197" i="2"/>
  <c r="E199" i="2"/>
  <c r="E201" i="2"/>
  <c r="E203" i="2"/>
  <c r="E205" i="2"/>
  <c r="E207" i="2"/>
  <c r="E209" i="2"/>
  <c r="E211" i="2"/>
  <c r="E213" i="2"/>
  <c r="E215" i="2"/>
  <c r="E217" i="2"/>
  <c r="E219" i="2"/>
  <c r="E221" i="2"/>
  <c r="E223" i="2"/>
  <c r="E225" i="2"/>
  <c r="E227" i="2"/>
  <c r="E229" i="2"/>
  <c r="E231" i="2"/>
  <c r="E233" i="2"/>
  <c r="E235" i="2"/>
  <c r="E237" i="2"/>
  <c r="E239" i="2"/>
  <c r="E241" i="2"/>
  <c r="E243" i="2"/>
  <c r="E245" i="2"/>
  <c r="E247" i="2"/>
  <c r="E249" i="2"/>
  <c r="E251" i="2"/>
  <c r="E253" i="2"/>
  <c r="E255" i="2"/>
  <c r="E257" i="2"/>
  <c r="E259" i="2"/>
  <c r="E261" i="2"/>
  <c r="E263" i="2"/>
  <c r="E265" i="2"/>
  <c r="E267" i="2"/>
  <c r="E269" i="2"/>
  <c r="E91" i="2"/>
  <c r="E102" i="2"/>
  <c r="E100" i="2"/>
  <c r="E124" i="2"/>
  <c r="E148" i="2"/>
  <c r="E172" i="2"/>
  <c r="E196" i="2"/>
  <c r="E220" i="2"/>
  <c r="E244" i="2"/>
  <c r="E268" i="2"/>
  <c r="E94" i="2"/>
  <c r="E116" i="2"/>
  <c r="E140" i="2"/>
  <c r="E164" i="2"/>
  <c r="E188" i="2"/>
  <c r="E212" i="2"/>
  <c r="E236" i="2"/>
  <c r="E260" i="2"/>
  <c r="E327" i="2"/>
  <c r="E345" i="2"/>
  <c r="E349" i="2"/>
  <c r="E353" i="2"/>
  <c r="E357" i="2"/>
  <c r="E359" i="2"/>
  <c r="E363" i="2"/>
  <c r="E365" i="2"/>
  <c r="E369" i="2"/>
  <c r="E371" i="2"/>
  <c r="E375" i="2"/>
  <c r="E377" i="2"/>
  <c r="E381" i="2"/>
  <c r="E385" i="2"/>
  <c r="E387" i="2"/>
  <c r="E391" i="2"/>
  <c r="E393" i="2"/>
  <c r="E397" i="2"/>
  <c r="E399" i="2"/>
  <c r="E401" i="2"/>
  <c r="E403" i="2"/>
  <c r="E407" i="2"/>
  <c r="E409" i="2"/>
  <c r="E413" i="2"/>
  <c r="E415" i="2"/>
  <c r="E417" i="2"/>
  <c r="E421" i="2"/>
  <c r="E423" i="2"/>
  <c r="E427" i="2"/>
  <c r="E429" i="2"/>
  <c r="E433" i="2"/>
  <c r="E435" i="2"/>
  <c r="E439" i="2"/>
  <c r="E443" i="2"/>
  <c r="E445" i="2"/>
  <c r="E449" i="2"/>
  <c r="E93" i="2"/>
  <c r="E202" i="2"/>
  <c r="E152" i="2"/>
  <c r="E176" i="2"/>
  <c r="E248" i="2"/>
  <c r="E174" i="2"/>
  <c r="E246" i="2"/>
  <c r="E270" i="2"/>
  <c r="E276" i="2"/>
  <c r="E278" i="2"/>
  <c r="E286" i="2"/>
  <c r="E290" i="2"/>
  <c r="E296" i="2"/>
  <c r="E114" i="2"/>
  <c r="E138" i="2"/>
  <c r="E162" i="2"/>
  <c r="E186" i="2"/>
  <c r="E210" i="2"/>
  <c r="E234" i="2"/>
  <c r="E258" i="2"/>
  <c r="E271" i="2"/>
  <c r="E273" i="2"/>
  <c r="E275" i="2"/>
  <c r="E277" i="2"/>
  <c r="E279" i="2"/>
  <c r="E281" i="2"/>
  <c r="E283" i="2"/>
  <c r="E285" i="2"/>
  <c r="E287" i="2"/>
  <c r="E289" i="2"/>
  <c r="E291" i="2"/>
  <c r="E293" i="2"/>
  <c r="E295" i="2"/>
  <c r="E297" i="2"/>
  <c r="E299" i="2"/>
  <c r="E301" i="2"/>
  <c r="E303" i="2"/>
  <c r="E305" i="2"/>
  <c r="E307" i="2"/>
  <c r="E309" i="2"/>
  <c r="E311" i="2"/>
  <c r="E313" i="2"/>
  <c r="E315" i="2"/>
  <c r="E317" i="2"/>
  <c r="E319" i="2"/>
  <c r="E321" i="2"/>
  <c r="E323" i="2"/>
  <c r="E325" i="2"/>
  <c r="E329" i="2"/>
  <c r="E331" i="2"/>
  <c r="E333" i="2"/>
  <c r="E335" i="2"/>
  <c r="E337" i="2"/>
  <c r="E339" i="2"/>
  <c r="E341" i="2"/>
  <c r="E343" i="2"/>
  <c r="E347" i="2"/>
  <c r="E351" i="2"/>
  <c r="E355" i="2"/>
  <c r="E361" i="2"/>
  <c r="E367" i="2"/>
  <c r="E373" i="2"/>
  <c r="E379" i="2"/>
  <c r="E383" i="2"/>
  <c r="E389" i="2"/>
  <c r="E395" i="2"/>
  <c r="E405" i="2"/>
  <c r="E411" i="2"/>
  <c r="E419" i="2"/>
  <c r="E425" i="2"/>
  <c r="E431" i="2"/>
  <c r="E437" i="2"/>
  <c r="E441" i="2"/>
  <c r="E447" i="2"/>
  <c r="E451" i="2"/>
  <c r="E97" i="2"/>
  <c r="E132" i="2"/>
  <c r="E180" i="2"/>
  <c r="E228" i="2"/>
  <c r="E252" i="2"/>
  <c r="E95" i="2"/>
  <c r="E106" i="2"/>
  <c r="E130" i="2"/>
  <c r="E154" i="2"/>
  <c r="E178" i="2"/>
  <c r="E226" i="2"/>
  <c r="E250" i="2"/>
  <c r="E104" i="2"/>
  <c r="E128" i="2"/>
  <c r="E200" i="2"/>
  <c r="E224" i="2"/>
  <c r="E126" i="2"/>
  <c r="E198" i="2"/>
  <c r="E222" i="2"/>
  <c r="E274" i="2"/>
  <c r="E280" i="2"/>
  <c r="E284" i="2"/>
  <c r="E294" i="2"/>
  <c r="E112" i="2"/>
  <c r="E136" i="2"/>
  <c r="E160" i="2"/>
  <c r="E184" i="2"/>
  <c r="E208" i="2"/>
  <c r="E232" i="2"/>
  <c r="E256" i="2"/>
  <c r="E110" i="2"/>
  <c r="E134" i="2"/>
  <c r="E158" i="2"/>
  <c r="E182" i="2"/>
  <c r="E206" i="2"/>
  <c r="E230" i="2"/>
  <c r="E254" i="2"/>
  <c r="E108" i="2"/>
  <c r="E156" i="2"/>
  <c r="E204" i="2"/>
  <c r="E150" i="2"/>
  <c r="E272" i="2"/>
  <c r="E282" i="2"/>
  <c r="E288" i="2"/>
  <c r="E292" i="2"/>
  <c r="E298" i="2"/>
  <c r="E192" i="2"/>
  <c r="E190" i="2"/>
  <c r="E122" i="2"/>
  <c r="E218" i="2"/>
  <c r="E318" i="2"/>
  <c r="E342" i="2"/>
  <c r="E366" i="2"/>
  <c r="E390" i="2"/>
  <c r="E414" i="2"/>
  <c r="E438" i="2"/>
  <c r="E120" i="2"/>
  <c r="E216" i="2"/>
  <c r="E316" i="2"/>
  <c r="E340" i="2"/>
  <c r="E364" i="2"/>
  <c r="E388" i="2"/>
  <c r="E412" i="2"/>
  <c r="E436" i="2"/>
  <c r="E336" i="2"/>
  <c r="E356" i="2"/>
  <c r="E404" i="2"/>
  <c r="E424" i="2"/>
  <c r="E302" i="2"/>
  <c r="E326" i="2"/>
  <c r="E374" i="2"/>
  <c r="E422" i="2"/>
  <c r="E446" i="2"/>
  <c r="E300" i="2"/>
  <c r="E372" i="2"/>
  <c r="E420" i="2"/>
  <c r="E444" i="2"/>
  <c r="E346" i="2"/>
  <c r="E442" i="2"/>
  <c r="E320" i="2"/>
  <c r="E368" i="2"/>
  <c r="E416" i="2"/>
  <c r="E118" i="2"/>
  <c r="E214" i="2"/>
  <c r="E314" i="2"/>
  <c r="E338" i="2"/>
  <c r="E362" i="2"/>
  <c r="E386" i="2"/>
  <c r="E410" i="2"/>
  <c r="E434" i="2"/>
  <c r="E242" i="2"/>
  <c r="E312" i="2"/>
  <c r="E360" i="2"/>
  <c r="E384" i="2"/>
  <c r="E432" i="2"/>
  <c r="E142" i="2"/>
  <c r="E452" i="2"/>
  <c r="E166" i="2"/>
  <c r="E322" i="2"/>
  <c r="E418" i="2"/>
  <c r="E344" i="2"/>
  <c r="E146" i="2"/>
  <c r="E408" i="2"/>
  <c r="E194" i="2"/>
  <c r="E144" i="2"/>
  <c r="E240" i="2"/>
  <c r="E310" i="2"/>
  <c r="E334" i="2"/>
  <c r="E358" i="2"/>
  <c r="E382" i="2"/>
  <c r="E406" i="2"/>
  <c r="E430" i="2"/>
  <c r="E238" i="2"/>
  <c r="E308" i="2"/>
  <c r="E332" i="2"/>
  <c r="E380" i="2"/>
  <c r="E428" i="2"/>
  <c r="E400" i="2"/>
  <c r="E448" i="2"/>
  <c r="E262" i="2"/>
  <c r="E350" i="2"/>
  <c r="E398" i="2"/>
  <c r="E324" i="2"/>
  <c r="E348" i="2"/>
  <c r="E396" i="2"/>
  <c r="E370" i="2"/>
  <c r="E394" i="2"/>
  <c r="E392" i="2"/>
  <c r="E440" i="2"/>
  <c r="E170" i="2"/>
  <c r="E266" i="2"/>
  <c r="E306" i="2"/>
  <c r="E330" i="2"/>
  <c r="E354" i="2"/>
  <c r="E378" i="2"/>
  <c r="E402" i="2"/>
  <c r="E426" i="2"/>
  <c r="E450" i="2"/>
  <c r="E168" i="2"/>
  <c r="E264" i="2"/>
  <c r="E304" i="2"/>
  <c r="E328" i="2"/>
  <c r="E352" i="2"/>
  <c r="E376" i="2"/>
  <c r="E98" i="2"/>
  <c r="E92" i="2"/>
  <c r="E90" i="2"/>
  <c r="E89" i="2"/>
  <c r="E96" i="2"/>
  <c r="C29" i="2"/>
  <c r="T56" i="4"/>
  <c r="Z67" i="4" s="1"/>
  <c r="S56" i="4"/>
  <c r="AF90" i="2" l="1"/>
  <c r="AD87" i="2"/>
  <c r="Y84" i="2"/>
  <c r="AE86" i="2"/>
  <c r="AC90" i="2"/>
  <c r="AB88" i="2"/>
  <c r="W86" i="2"/>
  <c r="AE83" i="2"/>
  <c r="AE92" i="2"/>
  <c r="W85" i="2"/>
  <c r="AF88" i="2"/>
  <c r="AA85" i="2"/>
  <c r="X88" i="2"/>
  <c r="AE91" i="2"/>
  <c r="X86" i="2"/>
  <c r="AD83" i="2"/>
  <c r="X91" i="2"/>
  <c r="AF84" i="2"/>
  <c r="AF89" i="2"/>
  <c r="X90" i="2"/>
  <c r="AC86" i="2"/>
  <c r="Z89" i="2"/>
  <c r="Y82" i="2"/>
  <c r="Z82" i="2"/>
  <c r="AA87" i="2"/>
  <c r="AB86" i="2"/>
  <c r="AC82" i="2"/>
  <c r="AD82" i="2"/>
  <c r="AB92" i="2"/>
  <c r="AF87" i="2"/>
  <c r="AB90" i="2"/>
  <c r="AA83" i="2"/>
  <c r="AB83" i="2"/>
  <c r="AC88" i="2"/>
  <c r="W87" i="2"/>
  <c r="Y86" i="2"/>
  <c r="X85" i="2"/>
  <c r="AF82" i="2"/>
  <c r="X89" i="2"/>
  <c r="AD91" i="2"/>
  <c r="AC84" i="2"/>
  <c r="AD84" i="2"/>
  <c r="AE89" i="2"/>
  <c r="X83" i="2"/>
  <c r="AB87" i="2"/>
  <c r="AC87" i="2"/>
  <c r="X84" i="2"/>
  <c r="Z90" i="2"/>
  <c r="X82" i="2"/>
  <c r="AE85" i="2"/>
  <c r="AF85" i="2"/>
  <c r="W91" i="2"/>
  <c r="Z84" i="2"/>
  <c r="AD88" i="2"/>
  <c r="AE88" i="2"/>
  <c r="Z85" i="2"/>
  <c r="AB91" i="2"/>
  <c r="Z83" i="2"/>
  <c r="X87" i="2"/>
  <c r="Y87" i="2"/>
  <c r="Y92" i="2"/>
  <c r="AB85" i="2"/>
  <c r="Z92" i="2"/>
  <c r="Y91" i="2"/>
  <c r="AE87" i="2"/>
  <c r="AD92" i="2"/>
  <c r="AB84" i="2"/>
  <c r="Z88" i="2"/>
  <c r="AA88" i="2"/>
  <c r="AA92" i="2"/>
  <c r="AD86" i="2"/>
  <c r="AF83" i="2"/>
  <c r="AE82" i="2"/>
  <c r="W89" i="2"/>
  <c r="W82" i="2"/>
  <c r="AD85" i="2"/>
  <c r="AB89" i="2"/>
  <c r="AC89" i="2"/>
  <c r="AC92" i="2"/>
  <c r="W88" i="2"/>
  <c r="Z86" i="2"/>
  <c r="W84" i="2"/>
  <c r="Y90" i="2"/>
  <c r="Y83" i="2"/>
  <c r="AF86" i="2"/>
  <c r="AD90" i="2"/>
  <c r="AE90" i="2"/>
  <c r="AC83" i="2"/>
  <c r="Y89" i="2"/>
  <c r="W90" i="2"/>
  <c r="AA82" i="2"/>
  <c r="Y85" i="2"/>
  <c r="AA91" i="2"/>
  <c r="AA84" i="2"/>
  <c r="Y88" i="2"/>
  <c r="AF91" i="2"/>
  <c r="W92" i="2"/>
  <c r="AD89" i="2"/>
  <c r="AA90" i="2"/>
  <c r="Z91" i="2"/>
  <c r="Z87" i="2"/>
  <c r="AA86" i="2"/>
  <c r="W83" i="2"/>
  <c r="AC85" i="2"/>
  <c r="AA89" i="2"/>
  <c r="AE84" i="2"/>
  <c r="X92" i="2"/>
  <c r="AB82" i="2"/>
  <c r="AC91" i="2"/>
  <c r="AF115" i="2"/>
  <c r="AD114" i="2"/>
  <c r="AD121" i="2"/>
  <c r="AE116" i="2"/>
  <c r="AC115" i="2"/>
  <c r="Z116" i="2"/>
  <c r="AD120" i="2"/>
  <c r="AF114" i="2"/>
  <c r="AD118" i="2"/>
  <c r="Z119" i="2"/>
  <c r="AE121" i="2"/>
  <c r="Y120" i="2"/>
  <c r="W120" i="2"/>
  <c r="AF122" i="2"/>
  <c r="W116" i="2"/>
  <c r="AB118" i="2"/>
  <c r="AB116" i="2"/>
  <c r="W118" i="2"/>
  <c r="Y116" i="2"/>
  <c r="AA116" i="2"/>
  <c r="AC118" i="2"/>
  <c r="AE120" i="2"/>
  <c r="AA121" i="2"/>
  <c r="AC114" i="2"/>
  <c r="AA115" i="2"/>
  <c r="AB115" i="2"/>
  <c r="AB114" i="2"/>
  <c r="AA117" i="2"/>
  <c r="AC120" i="2"/>
  <c r="AF117" i="2"/>
  <c r="AC116" i="2"/>
  <c r="AD119" i="2"/>
  <c r="AA120" i="2"/>
  <c r="AE122" i="2"/>
  <c r="AA122" i="2"/>
  <c r="AF116" i="2"/>
  <c r="X117" i="2"/>
  <c r="X120" i="2"/>
  <c r="AE117" i="2"/>
  <c r="Z117" i="2"/>
  <c r="AA114" i="2"/>
  <c r="AE119" i="2"/>
  <c r="X115" i="2"/>
  <c r="Z121" i="2"/>
  <c r="AD115" i="2"/>
  <c r="AF121" i="2"/>
  <c r="AB117" i="2"/>
  <c r="X114" i="2"/>
  <c r="Z122" i="2"/>
  <c r="W121" i="2"/>
  <c r="Y114" i="2"/>
  <c r="AD117" i="2"/>
  <c r="W119" i="2"/>
  <c r="AE115" i="2"/>
  <c r="AC117" i="2"/>
  <c r="Y117" i="2"/>
  <c r="W115" i="2"/>
  <c r="AB121" i="2"/>
  <c r="AA119" i="2"/>
  <c r="AC119" i="2"/>
  <c r="AB120" i="2"/>
  <c r="AD116" i="2"/>
  <c r="Z118" i="2"/>
  <c r="Y122" i="2"/>
  <c r="AC121" i="2"/>
  <c r="AC122" i="2"/>
  <c r="X118" i="2"/>
  <c r="X116" i="2"/>
  <c r="X121" i="2"/>
  <c r="AF120" i="2"/>
  <c r="AA118" i="2"/>
  <c r="AB119" i="2"/>
  <c r="W117" i="2"/>
  <c r="Z114" i="2"/>
  <c r="AE118" i="2"/>
  <c r="AF118" i="2"/>
  <c r="X119" i="2"/>
  <c r="Z115" i="2"/>
  <c r="Y121" i="2"/>
  <c r="AF119" i="2"/>
  <c r="AD122" i="2"/>
  <c r="Y118" i="2"/>
  <c r="X122" i="2"/>
  <c r="W122" i="2"/>
  <c r="AE114" i="2"/>
  <c r="Y119" i="2"/>
  <c r="AB122" i="2"/>
  <c r="Y115" i="2"/>
  <c r="Z120" i="2"/>
  <c r="Z63" i="4"/>
  <c r="F17" i="4" s="1"/>
  <c r="Z65" i="4"/>
  <c r="Y65" i="4"/>
  <c r="Y67" i="4"/>
  <c r="Y63" i="4"/>
  <c r="C17" i="4" l="1"/>
  <c r="C19" i="4" s="1"/>
  <c r="Q46" i="2"/>
  <c r="Q47" i="2" s="1"/>
  <c r="U63" i="2" l="1"/>
  <c r="U62" i="2"/>
  <c r="T49" i="2"/>
  <c r="V63" i="2"/>
  <c r="V62" i="2"/>
  <c r="S49" i="2"/>
  <c r="Q63" i="2"/>
  <c r="T62" i="2"/>
  <c r="S62" i="2"/>
  <c r="R63" i="2"/>
  <c r="S63" i="2"/>
  <c r="T63" i="2"/>
  <c r="R62" i="2"/>
  <c r="S48" i="2"/>
  <c r="Q62" i="2"/>
  <c r="S50" i="2" l="1"/>
  <c r="Z57" i="2" s="1"/>
  <c r="O76" i="2"/>
  <c r="O77" i="2"/>
  <c r="T50" i="2"/>
  <c r="Z59" i="2" s="1"/>
  <c r="M76" i="2"/>
  <c r="M77" i="2"/>
  <c r="Z61" i="2" l="1"/>
  <c r="Y61" i="2"/>
  <c r="Y57" i="2"/>
  <c r="Y59" i="2"/>
  <c r="G24" i="2"/>
  <c r="I18" i="4"/>
  <c r="I19" i="4" s="1"/>
  <c r="C29" i="4"/>
  <c r="F29" i="2" l="1"/>
  <c r="F31" i="2"/>
  <c r="C30" i="2" l="1"/>
  <c r="C32" i="2" s="1"/>
  <c r="L82" i="2"/>
  <c r="L81" i="2"/>
  <c r="B5" i="2" l="1"/>
  <c r="F30" i="2" l="1"/>
  <c r="F32" i="2" s="1"/>
  <c r="I29" i="4"/>
  <c r="I30" i="4" s="1"/>
  <c r="F19" i="4"/>
  <c r="F29" i="4"/>
  <c r="F30" i="4" l="1"/>
  <c r="L77" i="4" s="1"/>
  <c r="C30" i="4"/>
  <c r="L76" i="4" s="1"/>
  <c r="B39" i="4" l="1"/>
  <c r="L74" i="4"/>
  <c r="L73" i="4"/>
  <c r="L73" i="2"/>
  <c r="B35" i="2" s="1"/>
  <c r="B36"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Ray Massey</author>
  </authors>
  <commentList>
    <comment ref="C27" authorId="0" shapeId="0" xr:uid="{00000000-0006-0000-0100-000001000000}">
      <text>
        <r>
          <rPr>
            <b/>
            <sz val="8"/>
            <color indexed="81"/>
            <rFont val="Tahoma"/>
            <family val="2"/>
          </rPr>
          <t>Ray Massey:</t>
        </r>
        <r>
          <rPr>
            <sz val="8"/>
            <color indexed="81"/>
            <rFont val="Tahoma"/>
            <family val="2"/>
          </rPr>
          <t xml:space="preserve">
Enter yields you think are appropriate to override the program estimates.</t>
        </r>
      </text>
    </comment>
    <comment ref="F27" authorId="0" shapeId="0" xr:uid="{00000000-0006-0000-0100-000002000000}">
      <text>
        <r>
          <rPr>
            <b/>
            <sz val="8"/>
            <color indexed="81"/>
            <rFont val="Tahoma"/>
            <family val="2"/>
          </rPr>
          <t>Ray Massey:</t>
        </r>
        <r>
          <rPr>
            <sz val="8"/>
            <color indexed="81"/>
            <rFont val="Tahoma"/>
            <family val="2"/>
          </rPr>
          <t xml:space="preserve">
Enter yields you think are appropriate to override the program estimates.</t>
        </r>
      </text>
    </comment>
  </commentList>
</comments>
</file>

<file path=xl/sharedStrings.xml><?xml version="1.0" encoding="utf-8"?>
<sst xmlns="http://schemas.openxmlformats.org/spreadsheetml/2006/main" count="371" uniqueCount="171">
  <si>
    <t>Estimated Stand Density of Sparse Stand</t>
  </si>
  <si>
    <t>plants/acre</t>
  </si>
  <si>
    <t>Normal Yield</t>
  </si>
  <si>
    <t>bushels/acre</t>
  </si>
  <si>
    <t>Corn</t>
  </si>
  <si>
    <t>Estimated Market Value of Crop</t>
  </si>
  <si>
    <t>Estimated Cost to Replant</t>
  </si>
  <si>
    <t>Seed</t>
  </si>
  <si>
    <t>Fuel, Machinery and Labor (or Custom Plant)</t>
  </si>
  <si>
    <t>Pesticides</t>
  </si>
  <si>
    <t>Other costs</t>
  </si>
  <si>
    <t>soybean</t>
  </si>
  <si>
    <t>Replant Expenses</t>
  </si>
  <si>
    <t>Sparse Stand</t>
  </si>
  <si>
    <t>Estimated Yield</t>
  </si>
  <si>
    <t>Estimated Income</t>
  </si>
  <si>
    <t>Estimated Net Income</t>
  </si>
  <si>
    <t>dollars/bushel</t>
  </si>
  <si>
    <t>Central and North MO</t>
  </si>
  <si>
    <t>Choose a region of Missouri:</t>
  </si>
  <si>
    <t>dollars/acre</t>
  </si>
  <si>
    <t>Replant</t>
  </si>
  <si>
    <t>Estimated Yield from late planting</t>
  </si>
  <si>
    <t>Wheat price</t>
  </si>
  <si>
    <t>Soybean</t>
  </si>
  <si>
    <t>Estimated Planting Income</t>
  </si>
  <si>
    <t>Estimated Planting Expenses</t>
  </si>
  <si>
    <t>corn</t>
  </si>
  <si>
    <t>Double crop breakeven yields</t>
  </si>
  <si>
    <t>Current Wheat Expectations</t>
  </si>
  <si>
    <t>Variable wheat harvest expenses</t>
  </si>
  <si>
    <t>$/bushel</t>
  </si>
  <si>
    <t>$/acre</t>
  </si>
  <si>
    <t>bu/acre</t>
  </si>
  <si>
    <t>Fertilizer (additional to wheat fertilizer)</t>
  </si>
  <si>
    <t xml:space="preserve"> Double Crop</t>
  </si>
  <si>
    <t>Implications</t>
  </si>
  <si>
    <t>Planting date (e.g. type June 3; not 6/3/99)</t>
  </si>
  <si>
    <t xml:space="preserve">Fuel, Machinery and Labor </t>
  </si>
  <si>
    <t xml:space="preserve">Results </t>
  </si>
  <si>
    <t>Additional herbicide needed due to sparse stand</t>
  </si>
  <si>
    <t>Corn or Soybean Replant Decision</t>
  </si>
  <si>
    <t>Chose a Crop</t>
  </si>
  <si>
    <t>Crop List</t>
  </si>
  <si>
    <t>Normal</t>
  </si>
  <si>
    <t>High</t>
  </si>
  <si>
    <t>New Planting date</t>
  </si>
  <si>
    <t>Missouri Region List</t>
  </si>
  <si>
    <t>Wheat to Corn or Soybean Planting Decision</t>
  </si>
  <si>
    <t>Estimated Cost to Plant</t>
  </si>
  <si>
    <t>Profit or Loss from Replanting</t>
  </si>
  <si>
    <t>Date for estimating yield percent</t>
  </si>
  <si>
    <t>Yield Estimate Coefficients</t>
  </si>
  <si>
    <t>a</t>
  </si>
  <si>
    <t>b</t>
  </si>
  <si>
    <t>c</t>
  </si>
  <si>
    <t>Percent of normal</t>
  </si>
  <si>
    <t>Start Date - original data</t>
  </si>
  <si>
    <t>End Date - original data</t>
  </si>
  <si>
    <t>Start Date - year adjusted</t>
  </si>
  <si>
    <t>End Date - year adjusted</t>
  </si>
  <si>
    <t>Base year</t>
  </si>
  <si>
    <t>This year</t>
  </si>
  <si>
    <t>Year Adjustment</t>
  </si>
  <si>
    <t>Corn/Soybean Production Description</t>
  </si>
  <si>
    <t>Planting Date Parameters</t>
  </si>
  <si>
    <t>Plant Density Parameters</t>
  </si>
  <si>
    <t>30" row</t>
  </si>
  <si>
    <t>7" row</t>
  </si>
  <si>
    <t>Min</t>
  </si>
  <si>
    <t>Max</t>
  </si>
  <si>
    <t>Data from Andre Reis produced in March 2025 in Replant Guide update.</t>
  </si>
  <si>
    <t>Intercept</t>
  </si>
  <si>
    <t>Slope</t>
  </si>
  <si>
    <t>Curve</t>
  </si>
  <si>
    <t>Reis equations</t>
  </si>
  <si>
    <t>North central corn</t>
  </si>
  <si>
    <t>Southeast corn</t>
  </si>
  <si>
    <t>Southwest corn</t>
  </si>
  <si>
    <t>North central beans</t>
  </si>
  <si>
    <t>Southwest beans</t>
  </si>
  <si>
    <t>Southeast beans</t>
  </si>
  <si>
    <t>intercept</t>
  </si>
  <si>
    <t>slope</t>
  </si>
  <si>
    <t>curve</t>
  </si>
  <si>
    <t>x = numerical planting date after january 1</t>
  </si>
  <si>
    <t>p-value</t>
  </si>
  <si>
    <t xml:space="preserve">y = yield in Metric tons/hectare (corn) </t>
  </si>
  <si>
    <t>Southeast MO</t>
  </si>
  <si>
    <t>Base date</t>
  </si>
  <si>
    <t>Changed to make predictive yield relative to productivity</t>
  </si>
  <si>
    <t>Max-10%</t>
  </si>
  <si>
    <t>SE  MO</t>
  </si>
  <si>
    <t>SW MO</t>
  </si>
  <si>
    <t>North central MO</t>
  </si>
  <si>
    <t>Southwest MO</t>
  </si>
  <si>
    <t>North central</t>
  </si>
  <si>
    <t>Southeast</t>
  </si>
  <si>
    <t>southwest</t>
  </si>
  <si>
    <t>Beans</t>
  </si>
  <si>
    <t>Optimum reasonable plant date</t>
  </si>
  <si>
    <t>goal - make yield prediction relative to entered "normal" yield</t>
  </si>
  <si>
    <t>Updated by:</t>
  </si>
  <si>
    <t>Profit</t>
  </si>
  <si>
    <t>Single crop breakeven yields</t>
  </si>
  <si>
    <t>Yield override</t>
  </si>
  <si>
    <t>Because the interaction among stand density, planting date, and environment is difficult to predict, deciding whether or not to replant a sparse stand is difficult. This worksheet is designed to help farmers think through the process as they make the decision as objectively as possible. It is recommended that no decision be made solely because these worksheets indicate it would be profitable. Consult an agronomist to verify the accuracy of the input.</t>
  </si>
  <si>
    <t>The Corn or Soybean tab of this workbook helps a producer decide on whether or not to replant single corn or soybeans in a reduced stand scenario. Enter the appropriate information in the shaded cells. The comment at the bottom helps to interpret the results.</t>
  </si>
  <si>
    <t>This worksheet is for educational purposes only. Its use is not supported by the University of Missouri and the user assumes all risks associated with its use.</t>
  </si>
  <si>
    <t>The Wheat termination tab of this workbook helps a producer decide on whether or not to abandon a wheat crop and plant corn or soybeans on those acres. Enter the appropriate information in the shaded cells. The comment at the bottom helps to interpret the results.</t>
  </si>
  <si>
    <t>Original authors: Ray Massey, Agriculture Economist; Bill Wiebold, Agronomist.</t>
  </si>
  <si>
    <t>Andre Froes de Borja Reis, Assisstant Professor, Plant Sciences</t>
  </si>
  <si>
    <t>Are you Eligible for Replant Insurance? (yes or no)</t>
  </si>
  <si>
    <t>Yes</t>
  </si>
  <si>
    <t>No</t>
  </si>
  <si>
    <t>Replant Coverage</t>
  </si>
  <si>
    <t>Soybeans</t>
  </si>
  <si>
    <t>Select</t>
  </si>
  <si>
    <t>Payment</t>
  </si>
  <si>
    <t>Soybean_Yes</t>
  </si>
  <si>
    <t>Soybean_No</t>
  </si>
  <si>
    <t>Corn_No</t>
  </si>
  <si>
    <t>Corn_Yes</t>
  </si>
  <si>
    <t>Corn_Select</t>
  </si>
  <si>
    <t>Soybean_Select</t>
  </si>
  <si>
    <t>Region</t>
  </si>
  <si>
    <t>Southwest</t>
  </si>
  <si>
    <t>Day of planting</t>
  </si>
  <si>
    <t>Start North Cent corn</t>
  </si>
  <si>
    <t>Start SE corn</t>
  </si>
  <si>
    <t>Start All beans and SW corn</t>
  </si>
  <si>
    <t>End SE corn</t>
  </si>
  <si>
    <t>End NC and SW corn</t>
  </si>
  <si>
    <t>End SE beans</t>
  </si>
  <si>
    <t>End NC Beans</t>
  </si>
  <si>
    <t>End SW Beans</t>
  </si>
  <si>
    <t>Estimated return over additional costs</t>
  </si>
  <si>
    <t>`</t>
  </si>
  <si>
    <t xml:space="preserve"> </t>
  </si>
  <si>
    <t>Percent of max corn yield attainable in North and Central MO</t>
  </si>
  <si>
    <t>Percent of max soybean yield attainable in North and Central MO</t>
  </si>
  <si>
    <t>9000</t>
  </si>
  <si>
    <t>12000</t>
  </si>
  <si>
    <t>15000</t>
  </si>
  <si>
    <t>18000</t>
  </si>
  <si>
    <t>21000</t>
  </si>
  <si>
    <t>24000</t>
  </si>
  <si>
    <t>27000</t>
  </si>
  <si>
    <t>30000</t>
  </si>
  <si>
    <t>33000</t>
  </si>
  <si>
    <t>36000</t>
  </si>
  <si>
    <t>Stand count</t>
  </si>
  <si>
    <t>20000</t>
  </si>
  <si>
    <t>35000</t>
  </si>
  <si>
    <t>50000</t>
  </si>
  <si>
    <t>65000</t>
  </si>
  <si>
    <t>80000</t>
  </si>
  <si>
    <t>95000</t>
  </si>
  <si>
    <t>110000</t>
  </si>
  <si>
    <t>125000</t>
  </si>
  <si>
    <t>140000</t>
  </si>
  <si>
    <t>155000</t>
  </si>
  <si>
    <t>Percent of max corn yield attainable in Southeast MO</t>
  </si>
  <si>
    <t>Percent of max soybean yield attainable in Southeast MO</t>
  </si>
  <si>
    <t>Percent of max corn yield attainable in Southwest MO</t>
  </si>
  <si>
    <t>Percent of max soybean yield attainable in Southwest MO</t>
  </si>
  <si>
    <t>Updated: May 2025</t>
  </si>
  <si>
    <t>Missouri Replant Decision Tool</t>
  </si>
  <si>
    <t>Drew Kientzy, Research Analyst, Agriculture Business and Policy</t>
  </si>
  <si>
    <t>Ben Brown,Extension Specialist, Agriculture Business and Policy</t>
  </si>
  <si>
    <t>For more information about the factors affecting a replanting decision, refer to MU Extension's Corn and Soybean Replant Decisions guide (https://extension.missouri.edu/publications/g4091).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</si>
</sst>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quot;$&quot;#,##0.00_);\(&quot;$&quot;#,##0.00\)"/>
    <numFmt numFmtId="8" formatCode="&quot;$&quot;#,##0.00_);[Red]\(&quot;$&quot;#,##0.00\)"/>
    <numFmt numFmtId="44" formatCode="_(&quot;$&quot;* #,##0.00_);_(&quot;$&quot;* \(#,##0.00\);_(&quot;$&quot;* &quot;-&quot;??_);_(@_)"/>
    <numFmt numFmtId="43" formatCode="_(* #,##0.00_);_(* \(#,##0.00\);_(* &quot;-&quot;??_);_(@_)"/>
    <numFmt numFmtId="164" formatCode="_(* #,##0.0_);_(* \(#,##0.0\);_(* &quot;-&quot;??_);_(@_)"/>
    <numFmt numFmtId="165" formatCode="_(* #,##0_);_(* \(#,##0\);_(* &quot;-&quot;??_);_(@_)"/>
    <numFmt numFmtId="166" formatCode="0.0"/>
    <numFmt numFmtId="167" formatCode="[$$-409]#,##0.00_);\([$$-409]#,##0.00\)"/>
    <numFmt numFmtId="168" formatCode="&quot;$&quot;#,##0.00"/>
    <numFmt numFmtId="169" formatCode="0.000"/>
  </numFmts>
  <fonts count="30" x14ac:knownFonts="1">
    <font>
      <sz val="10"/>
      <name val="Arial"/>
    </font>
    <font>
      <sz val="10"/>
      <name val="Arial"/>
      <family val="2"/>
    </font>
    <font>
      <sz val="8"/>
      <color indexed="81"/>
      <name val="Tahoma"/>
      <family val="2"/>
    </font>
    <font>
      <b/>
      <sz val="8"/>
      <color indexed="81"/>
      <name val="Tahoma"/>
      <family val="2"/>
    </font>
    <font>
      <b/>
      <sz val="10"/>
      <color theme="1"/>
      <name val="Aptos"/>
      <family val="2"/>
    </font>
    <font>
      <sz val="10"/>
      <color theme="1"/>
      <name val="Aptos"/>
      <family val="2"/>
    </font>
    <font>
      <b/>
      <sz val="9"/>
      <color theme="1"/>
      <name val="Aptos"/>
      <family val="2"/>
    </font>
    <font>
      <sz val="10"/>
      <name val="Aptos"/>
      <family val="2"/>
    </font>
    <font>
      <sz val="12"/>
      <color theme="1"/>
      <name val="Aptos"/>
      <family val="2"/>
    </font>
    <font>
      <b/>
      <sz val="12"/>
      <color theme="1"/>
      <name val="Aptos"/>
      <family val="2"/>
    </font>
    <font>
      <sz val="10"/>
      <name val="Segoe UI"/>
      <family val="2"/>
    </font>
    <font>
      <i/>
      <sz val="8"/>
      <name val="Segoe UI"/>
      <family val="2"/>
    </font>
    <font>
      <b/>
      <sz val="10"/>
      <name val="Segoe UI"/>
      <family val="2"/>
    </font>
    <font>
      <sz val="10"/>
      <color theme="3" tint="-0.499984740745262"/>
      <name val="Segoe UI"/>
      <family val="2"/>
    </font>
    <font>
      <b/>
      <sz val="16"/>
      <color rgb="FFFFC000"/>
      <name val="Segoe UI"/>
      <family val="2"/>
    </font>
    <font>
      <b/>
      <sz val="10"/>
      <name val="Aptos"/>
      <family val="2"/>
    </font>
    <font>
      <b/>
      <sz val="9"/>
      <name val="Aptos"/>
      <family val="2"/>
    </font>
    <font>
      <b/>
      <sz val="10"/>
      <color theme="1"/>
      <name val="Segoe UI"/>
      <family val="2"/>
    </font>
    <font>
      <b/>
      <sz val="10"/>
      <color indexed="9"/>
      <name val="Segoe UI"/>
      <family val="2"/>
    </font>
    <font>
      <b/>
      <sz val="9"/>
      <color indexed="9"/>
      <name val="Segoe UI"/>
      <family val="2"/>
    </font>
    <font>
      <b/>
      <sz val="10"/>
      <color indexed="18"/>
      <name val="Segoe UI"/>
      <family val="2"/>
    </font>
    <font>
      <sz val="10"/>
      <color theme="1"/>
      <name val="Segoe UI"/>
      <family val="2"/>
    </font>
    <font>
      <sz val="12"/>
      <color theme="1"/>
      <name val="Segoe UI"/>
      <family val="2"/>
    </font>
    <font>
      <b/>
      <sz val="12"/>
      <color theme="1"/>
      <name val="Segoe UI"/>
      <family val="2"/>
    </font>
    <font>
      <b/>
      <sz val="14"/>
      <color rgb="FFFFC000"/>
      <name val="Segoe UI"/>
      <family val="2"/>
    </font>
    <font>
      <b/>
      <sz val="14"/>
      <color rgb="FFFFC000"/>
      <name val="Aptos"/>
      <family val="2"/>
    </font>
    <font>
      <b/>
      <sz val="10"/>
      <color rgb="FFFFC000"/>
      <name val="Aptos"/>
      <family val="2"/>
    </font>
    <font>
      <sz val="10"/>
      <color rgb="FFFFC000"/>
      <name val="Aptos"/>
      <family val="2"/>
    </font>
    <font>
      <sz val="12"/>
      <color rgb="FFFFC000"/>
      <name val="Aptos"/>
      <family val="2"/>
    </font>
    <font>
      <u/>
      <sz val="10"/>
      <color theme="10"/>
      <name val="Arial"/>
    </font>
  </fonts>
  <fills count="10">
    <fill>
      <patternFill patternType="none"/>
    </fill>
    <fill>
      <patternFill patternType="gray125"/>
    </fill>
    <fill>
      <patternFill patternType="solid">
        <fgColor theme="0"/>
        <bgColor indexed="24"/>
      </patternFill>
    </fill>
    <fill>
      <patternFill patternType="solid">
        <fgColor theme="0"/>
        <bgColor indexed="64"/>
      </patternFill>
    </fill>
    <fill>
      <patternFill patternType="solid">
        <fgColor rgb="FFFFFF00"/>
        <bgColor indexed="64"/>
      </patternFill>
    </fill>
    <fill>
      <patternFill patternType="solid">
        <fgColor theme="1"/>
        <bgColor indexed="64"/>
      </patternFill>
    </fill>
    <fill>
      <patternFill patternType="solid">
        <fgColor theme="2"/>
        <bgColor indexed="64"/>
      </patternFill>
    </fill>
    <fill>
      <patternFill patternType="solid">
        <fgColor rgb="FF00B050"/>
        <bgColor indexed="64"/>
      </patternFill>
    </fill>
    <fill>
      <patternFill patternType="solid">
        <fgColor theme="0" tint="-0.14999847407452621"/>
        <bgColor indexed="64"/>
      </patternFill>
    </fill>
    <fill>
      <patternFill patternType="solid">
        <fgColor theme="4" tint="0.79998168889431442"/>
        <bgColor indexed="64"/>
      </patternFill>
    </fill>
  </fills>
  <borders count="28">
    <border>
      <left/>
      <right/>
      <top/>
      <bottom/>
      <diagonal/>
    </border>
    <border>
      <left/>
      <right/>
      <top/>
      <bottom style="thin">
        <color theme="2" tint="-0.499984740745262"/>
      </bottom>
      <diagonal/>
    </border>
    <border>
      <left/>
      <right/>
      <top style="thin">
        <color theme="2" tint="-0.499984740745262"/>
      </top>
      <bottom style="thin">
        <color theme="2" tint="-0.499984740745262"/>
      </bottom>
      <diagonal/>
    </border>
    <border>
      <left/>
      <right/>
      <top/>
      <bottom style="double">
        <color theme="2" tint="-0.74999237037263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thin">
        <color theme="2" tint="-0.499984740745262"/>
      </bottom>
      <diagonal/>
    </border>
    <border>
      <left/>
      <right style="medium">
        <color indexed="64"/>
      </right>
      <top/>
      <bottom style="thin">
        <color theme="2" tint="-0.499984740745262"/>
      </bottom>
      <diagonal/>
    </border>
    <border>
      <left style="medium">
        <color indexed="64"/>
      </left>
      <right/>
      <top/>
      <bottom style="double">
        <color theme="2" tint="-0.749992370372631"/>
      </bottom>
      <diagonal/>
    </border>
    <border>
      <left/>
      <right style="medium">
        <color indexed="64"/>
      </right>
      <top/>
      <bottom style="double">
        <color theme="2" tint="-0.749992370372631"/>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29" fillId="0" borderId="0" applyNumberFormat="0" applyFill="0" applyBorder="0" applyAlignment="0" applyProtection="0"/>
  </cellStyleXfs>
  <cellXfs count="227">
    <xf numFmtId="0" fontId="0" fillId="0" borderId="0" xfId="0"/>
    <xf numFmtId="0" fontId="4" fillId="0" borderId="0" xfId="0" applyFont="1" applyAlignment="1">
      <alignment horizontal="left"/>
    </xf>
    <xf numFmtId="0" fontId="5" fillId="0" borderId="0" xfId="0" applyFont="1"/>
    <xf numFmtId="0" fontId="4" fillId="0" borderId="0" xfId="0" quotePrefix="1" applyFont="1" applyAlignment="1">
      <alignment horizontal="left"/>
    </xf>
    <xf numFmtId="0" fontId="5" fillId="3" borderId="0" xfId="0" applyFont="1" applyFill="1"/>
    <xf numFmtId="0" fontId="5" fillId="0" borderId="0" xfId="0" quotePrefix="1" applyFont="1"/>
    <xf numFmtId="165" fontId="5" fillId="0" borderId="0" xfId="1" applyNumberFormat="1" applyFont="1" applyFill="1" applyBorder="1"/>
    <xf numFmtId="165" fontId="5" fillId="0" borderId="0" xfId="1" applyNumberFormat="1" applyFont="1" applyFill="1" applyBorder="1" applyAlignment="1">
      <alignment horizontal="left"/>
    </xf>
    <xf numFmtId="0" fontId="5" fillId="4" borderId="0" xfId="0" applyFont="1" applyFill="1"/>
    <xf numFmtId="16" fontId="5" fillId="0" borderId="0" xfId="0" applyNumberFormat="1" applyFont="1"/>
    <xf numFmtId="16" fontId="5" fillId="3" borderId="1" xfId="0" applyNumberFormat="1" applyFont="1" applyFill="1" applyBorder="1"/>
    <xf numFmtId="16" fontId="5" fillId="0" borderId="1" xfId="0" applyNumberFormat="1" applyFont="1" applyBorder="1"/>
    <xf numFmtId="0" fontId="5" fillId="0" borderId="0" xfId="0" quotePrefix="1" applyFont="1" applyAlignment="1">
      <alignment horizontal="left"/>
    </xf>
    <xf numFmtId="44" fontId="5" fillId="0" borderId="0" xfId="2" applyFont="1"/>
    <xf numFmtId="165" fontId="5" fillId="0" borderId="0" xfId="1" applyNumberFormat="1" applyFont="1" applyFill="1" applyBorder="1" applyAlignment="1"/>
    <xf numFmtId="164" fontId="5" fillId="0" borderId="0" xfId="1" applyNumberFormat="1" applyFont="1" applyFill="1" applyBorder="1" applyAlignment="1"/>
    <xf numFmtId="8" fontId="5" fillId="0" borderId="0" xfId="2" applyNumberFormat="1" applyFont="1" applyFill="1" applyBorder="1" applyAlignment="1"/>
    <xf numFmtId="43" fontId="5" fillId="0" borderId="0" xfId="0" applyNumberFormat="1" applyFont="1"/>
    <xf numFmtId="14" fontId="5" fillId="0" borderId="0" xfId="0" applyNumberFormat="1" applyFont="1"/>
    <xf numFmtId="0" fontId="4" fillId="0" borderId="0" xfId="0" applyFont="1"/>
    <xf numFmtId="9" fontId="5" fillId="0" borderId="0" xfId="0" applyNumberFormat="1" applyFont="1"/>
    <xf numFmtId="0" fontId="5" fillId="0" borderId="4" xfId="0" applyFont="1" applyBorder="1"/>
    <xf numFmtId="0" fontId="5" fillId="0" borderId="5" xfId="0" applyFont="1" applyBorder="1"/>
    <xf numFmtId="0" fontId="5" fillId="0" borderId="6" xfId="0" applyFont="1" applyBorder="1"/>
    <xf numFmtId="0" fontId="5" fillId="0" borderId="7" xfId="0" applyFont="1" applyBorder="1"/>
    <xf numFmtId="0" fontId="5" fillId="0" borderId="0" xfId="0" applyFont="1" applyAlignment="1">
      <alignment horizontal="right"/>
    </xf>
    <xf numFmtId="0" fontId="5" fillId="0" borderId="8" xfId="0" applyFont="1" applyBorder="1"/>
    <xf numFmtId="0" fontId="5" fillId="0" borderId="9" xfId="0" applyFont="1" applyBorder="1"/>
    <xf numFmtId="9" fontId="7" fillId="0" borderId="0" xfId="3" applyFont="1"/>
    <xf numFmtId="166" fontId="5" fillId="0" borderId="0" xfId="0" applyNumberFormat="1" applyFont="1"/>
    <xf numFmtId="14" fontId="8" fillId="0" borderId="0" xfId="0" applyNumberFormat="1" applyFont="1" applyAlignment="1">
      <alignment horizontal="center" vertical="center" wrapText="1"/>
    </xf>
    <xf numFmtId="0" fontId="8" fillId="0" borderId="0" xfId="0" applyFont="1" applyAlignment="1">
      <alignment horizontal="center" vertical="center" wrapText="1"/>
    </xf>
    <xf numFmtId="14" fontId="5" fillId="0" borderId="8" xfId="0" applyNumberFormat="1" applyFont="1" applyBorder="1"/>
    <xf numFmtId="14" fontId="5" fillId="0" borderId="9" xfId="0" applyNumberFormat="1" applyFont="1" applyBorder="1"/>
    <xf numFmtId="0" fontId="5" fillId="0" borderId="10" xfId="0" applyFont="1" applyBorder="1"/>
    <xf numFmtId="0" fontId="5" fillId="0" borderId="11" xfId="0" applyFont="1" applyBorder="1"/>
    <xf numFmtId="3" fontId="5" fillId="0" borderId="0" xfId="0" applyNumberFormat="1" applyFont="1"/>
    <xf numFmtId="8" fontId="7" fillId="0" borderId="0" xfId="0" applyNumberFormat="1" applyFont="1"/>
    <xf numFmtId="16" fontId="8" fillId="0" borderId="0" xfId="0" applyNumberFormat="1" applyFont="1" applyAlignment="1">
      <alignment horizontal="center" vertical="center" wrapText="1"/>
    </xf>
    <xf numFmtId="3" fontId="5" fillId="0" borderId="0" xfId="0" applyNumberFormat="1" applyFont="1" applyAlignment="1">
      <alignment horizontal="center" vertical="center" wrapText="1"/>
    </xf>
    <xf numFmtId="0" fontId="7" fillId="0" borderId="0" xfId="0" applyFont="1"/>
    <xf numFmtId="0" fontId="4" fillId="0" borderId="0" xfId="0" applyFont="1" applyAlignment="1">
      <alignment horizontal="center" vertical="center" wrapText="1"/>
    </xf>
    <xf numFmtId="0" fontId="5" fillId="0" borderId="0" xfId="0" applyFont="1" applyAlignment="1">
      <alignment wrapText="1"/>
    </xf>
    <xf numFmtId="0" fontId="9" fillId="0" borderId="0" xfId="0" applyFont="1" applyAlignment="1">
      <alignment horizontal="center" vertical="center" wrapText="1"/>
    </xf>
    <xf numFmtId="49" fontId="5" fillId="0" borderId="0" xfId="0" applyNumberFormat="1" applyFont="1"/>
    <xf numFmtId="16" fontId="8" fillId="0" borderId="0" xfId="0" applyNumberFormat="1" applyFont="1" applyAlignment="1">
      <alignment vertical="center" wrapText="1"/>
    </xf>
    <xf numFmtId="0" fontId="8" fillId="0" borderId="0" xfId="0" applyFont="1" applyAlignment="1">
      <alignment vertical="center" wrapText="1"/>
    </xf>
    <xf numFmtId="0" fontId="10" fillId="0" borderId="0" xfId="0" applyFont="1"/>
    <xf numFmtId="0" fontId="11" fillId="0" borderId="0" xfId="0" applyFont="1" applyAlignment="1">
      <alignment horizontal="right"/>
    </xf>
    <xf numFmtId="0" fontId="10" fillId="0" borderId="0" xfId="0" applyFont="1" applyAlignment="1">
      <alignment horizontal="center"/>
    </xf>
    <xf numFmtId="0" fontId="12" fillId="0" borderId="0" xfId="0" quotePrefix="1" applyFont="1" applyAlignment="1">
      <alignment horizontal="left" indent="10"/>
    </xf>
    <xf numFmtId="0" fontId="12" fillId="0" borderId="0" xfId="0" applyFont="1" applyAlignment="1">
      <alignment horizontal="left" indent="6"/>
    </xf>
    <xf numFmtId="0" fontId="12" fillId="0" borderId="0" xfId="0" quotePrefix="1" applyFont="1" applyAlignment="1">
      <alignment horizontal="left" indent="4"/>
    </xf>
    <xf numFmtId="0" fontId="12" fillId="0" borderId="0" xfId="0" applyFont="1" applyAlignment="1">
      <alignment horizontal="left" indent="8"/>
    </xf>
    <xf numFmtId="0" fontId="10" fillId="0" borderId="0" xfId="0" quotePrefix="1" applyFont="1" applyAlignment="1">
      <alignment horizontal="left" wrapText="1"/>
    </xf>
    <xf numFmtId="0" fontId="13" fillId="3" borderId="0" xfId="4" applyFont="1" applyFill="1" applyAlignment="1" applyProtection="1">
      <alignment horizontal="center" vertical="top" wrapText="1"/>
      <protection locked="0"/>
    </xf>
    <xf numFmtId="0" fontId="13" fillId="6" borderId="0" xfId="4" applyFont="1" applyFill="1" applyAlignment="1" applyProtection="1">
      <alignment horizontal="center" vertical="top" wrapText="1"/>
      <protection locked="0"/>
    </xf>
    <xf numFmtId="165" fontId="5" fillId="6" borderId="1" xfId="1" applyNumberFormat="1" applyFont="1" applyFill="1" applyBorder="1" applyProtection="1">
      <protection locked="0"/>
    </xf>
    <xf numFmtId="1" fontId="5" fillId="6" borderId="2" xfId="0" applyNumberFormat="1" applyFont="1" applyFill="1" applyBorder="1" applyProtection="1">
      <protection locked="0"/>
    </xf>
    <xf numFmtId="8" fontId="5" fillId="6" borderId="2" xfId="0" applyNumberFormat="1" applyFont="1" applyFill="1" applyBorder="1" applyProtection="1">
      <protection locked="0"/>
    </xf>
    <xf numFmtId="0" fontId="4" fillId="3" borderId="15" xfId="0" quotePrefix="1" applyFont="1" applyFill="1" applyBorder="1" applyAlignment="1">
      <alignment horizontal="center"/>
    </xf>
    <xf numFmtId="0" fontId="4" fillId="3" borderId="0" xfId="0" applyFont="1" applyFill="1" applyAlignment="1">
      <alignment horizontal="center"/>
    </xf>
    <xf numFmtId="0" fontId="4" fillId="3" borderId="9" xfId="0" applyFont="1" applyFill="1" applyBorder="1" applyAlignment="1">
      <alignment horizontal="center"/>
    </xf>
    <xf numFmtId="0" fontId="4" fillId="3" borderId="15" xfId="0" quotePrefix="1" applyFont="1" applyFill="1" applyBorder="1" applyAlignment="1">
      <alignment horizontal="left"/>
    </xf>
    <xf numFmtId="0" fontId="5" fillId="6" borderId="0" xfId="0" applyFont="1" applyFill="1" applyProtection="1">
      <protection locked="0"/>
    </xf>
    <xf numFmtId="0" fontId="5" fillId="3" borderId="0" xfId="0" applyFont="1" applyFill="1" applyProtection="1">
      <protection locked="0"/>
    </xf>
    <xf numFmtId="0" fontId="5" fillId="0" borderId="15" xfId="0" applyFont="1" applyBorder="1"/>
    <xf numFmtId="0" fontId="4" fillId="0" borderId="15" xfId="0" quotePrefix="1" applyFont="1" applyBorder="1" applyAlignment="1">
      <alignment horizontal="left"/>
    </xf>
    <xf numFmtId="0" fontId="5" fillId="6" borderId="9" xfId="0" applyFont="1" applyFill="1" applyBorder="1" applyProtection="1">
      <protection locked="0"/>
    </xf>
    <xf numFmtId="0" fontId="5" fillId="0" borderId="15" xfId="0" quotePrefix="1" applyFont="1" applyBorder="1" applyAlignment="1">
      <alignment horizontal="left" indent="1"/>
    </xf>
    <xf numFmtId="0" fontId="5" fillId="0" borderId="0" xfId="0" quotePrefix="1" applyFont="1" applyAlignment="1">
      <alignment horizontal="left" indent="1"/>
    </xf>
    <xf numFmtId="165" fontId="5" fillId="0" borderId="9" xfId="1" applyNumberFormat="1" applyFont="1" applyFill="1" applyBorder="1" applyAlignment="1">
      <alignment horizontal="left"/>
    </xf>
    <xf numFmtId="0" fontId="6" fillId="2" borderId="15" xfId="0" applyFont="1" applyFill="1" applyBorder="1" applyAlignment="1">
      <alignment horizontal="left"/>
    </xf>
    <xf numFmtId="0" fontId="5" fillId="2" borderId="0" xfId="0" applyFont="1" applyFill="1"/>
    <xf numFmtId="0" fontId="5" fillId="2" borderId="9" xfId="0" applyFont="1" applyFill="1" applyBorder="1"/>
    <xf numFmtId="0" fontId="5" fillId="0" borderId="16" xfId="0" quotePrefix="1" applyFont="1" applyBorder="1" applyAlignment="1">
      <alignment horizontal="left" indent="1"/>
    </xf>
    <xf numFmtId="165" fontId="5" fillId="0" borderId="17" xfId="1" applyNumberFormat="1" applyFont="1" applyFill="1" applyBorder="1" applyAlignment="1"/>
    <xf numFmtId="0" fontId="7" fillId="0" borderId="15" xfId="0" applyFont="1" applyBorder="1"/>
    <xf numFmtId="0" fontId="16" fillId="0" borderId="0" xfId="0" applyFont="1" applyAlignment="1">
      <alignment horizontal="right"/>
    </xf>
    <xf numFmtId="0" fontId="16" fillId="0" borderId="9" xfId="0" quotePrefix="1" applyFont="1" applyBorder="1" applyAlignment="1">
      <alignment horizontal="right"/>
    </xf>
    <xf numFmtId="0" fontId="5" fillId="0" borderId="15" xfId="0" quotePrefix="1" applyFont="1" applyBorder="1" applyAlignment="1">
      <alignment horizontal="left"/>
    </xf>
    <xf numFmtId="165" fontId="5" fillId="0" borderId="9" xfId="1" applyNumberFormat="1" applyFont="1" applyFill="1" applyBorder="1" applyAlignment="1"/>
    <xf numFmtId="8" fontId="5" fillId="0" borderId="9" xfId="2" applyNumberFormat="1" applyFont="1" applyFill="1" applyBorder="1" applyAlignment="1"/>
    <xf numFmtId="8" fontId="5" fillId="0" borderId="0" xfId="0" applyNumberFormat="1" applyFont="1"/>
    <xf numFmtId="8" fontId="5" fillId="0" borderId="9" xfId="0" applyNumberFormat="1" applyFont="1" applyBorder="1"/>
    <xf numFmtId="0" fontId="4" fillId="0" borderId="20" xfId="0" quotePrefix="1" applyFont="1" applyBorder="1" applyAlignment="1">
      <alignment horizontal="left"/>
    </xf>
    <xf numFmtId="0" fontId="5" fillId="0" borderId="21" xfId="0" applyFont="1" applyBorder="1"/>
    <xf numFmtId="44" fontId="5" fillId="0" borderId="11" xfId="0" applyNumberFormat="1" applyFont="1" applyBorder="1"/>
    <xf numFmtId="8" fontId="5" fillId="6" borderId="1" xfId="0" applyNumberFormat="1" applyFont="1" applyFill="1" applyBorder="1" applyProtection="1">
      <protection locked="0"/>
    </xf>
    <xf numFmtId="14" fontId="7" fillId="6" borderId="1" xfId="2" applyNumberFormat="1" applyFont="1" applyFill="1" applyBorder="1" applyProtection="1">
      <protection locked="0"/>
    </xf>
    <xf numFmtId="0" fontId="10" fillId="3" borderId="0" xfId="0" applyFont="1" applyFill="1"/>
    <xf numFmtId="165" fontId="10" fillId="0" borderId="0" xfId="1" quotePrefix="1" applyNumberFormat="1" applyFont="1" applyFill="1" applyBorder="1" applyAlignment="1">
      <alignment horizontal="left"/>
    </xf>
    <xf numFmtId="7" fontId="10" fillId="0" borderId="0" xfId="2" applyNumberFormat="1" applyFont="1" applyFill="1" applyBorder="1" applyAlignment="1"/>
    <xf numFmtId="165" fontId="10" fillId="0" borderId="0" xfId="1" applyNumberFormat="1" applyFont="1" applyFill="1" applyBorder="1" applyAlignment="1"/>
    <xf numFmtId="168" fontId="10" fillId="0" borderId="0" xfId="1" applyNumberFormat="1" applyFont="1" applyFill="1" applyBorder="1" applyAlignment="1"/>
    <xf numFmtId="167" fontId="10" fillId="3" borderId="0" xfId="2" applyNumberFormat="1" applyFont="1" applyFill="1" applyBorder="1" applyProtection="1"/>
    <xf numFmtId="165" fontId="10" fillId="3" borderId="0" xfId="1" quotePrefix="1" applyNumberFormat="1" applyFont="1" applyFill="1" applyBorder="1" applyAlignment="1">
      <alignment horizontal="left"/>
    </xf>
    <xf numFmtId="0" fontId="21" fillId="0" borderId="0" xfId="0" applyFont="1"/>
    <xf numFmtId="2" fontId="10" fillId="0" borderId="0" xfId="0" applyNumberFormat="1" applyFont="1"/>
    <xf numFmtId="14" fontId="21" fillId="0" borderId="0" xfId="0" applyNumberFormat="1" applyFont="1"/>
    <xf numFmtId="166" fontId="10" fillId="0" borderId="0" xfId="0" applyNumberFormat="1" applyFont="1" applyAlignment="1">
      <alignment horizontal="right"/>
    </xf>
    <xf numFmtId="16" fontId="21" fillId="0" borderId="0" xfId="0" applyNumberFormat="1" applyFont="1"/>
    <xf numFmtId="9" fontId="21" fillId="0" borderId="0" xfId="0" applyNumberFormat="1" applyFont="1"/>
    <xf numFmtId="0" fontId="21" fillId="0" borderId="4" xfId="0" applyFont="1" applyBorder="1"/>
    <xf numFmtId="0" fontId="21" fillId="0" borderId="5" xfId="0" applyFont="1" applyBorder="1"/>
    <xf numFmtId="0" fontId="21" fillId="0" borderId="6" xfId="0" applyFont="1" applyBorder="1"/>
    <xf numFmtId="0" fontId="21" fillId="0" borderId="7" xfId="0" applyFont="1" applyBorder="1"/>
    <xf numFmtId="0" fontId="17" fillId="0" borderId="0" xfId="0" applyFont="1"/>
    <xf numFmtId="0" fontId="21" fillId="0" borderId="0" xfId="0" applyFont="1" applyAlignment="1">
      <alignment horizontal="right"/>
    </xf>
    <xf numFmtId="0" fontId="21" fillId="0" borderId="8" xfId="0" applyFont="1" applyBorder="1"/>
    <xf numFmtId="0" fontId="21" fillId="0" borderId="9" xfId="0" applyFont="1" applyBorder="1"/>
    <xf numFmtId="0" fontId="21" fillId="0" borderId="0" xfId="0" quotePrefix="1" applyFont="1" applyAlignment="1">
      <alignment horizontal="left"/>
    </xf>
    <xf numFmtId="9" fontId="10" fillId="0" borderId="0" xfId="3" applyFont="1"/>
    <xf numFmtId="166" fontId="21" fillId="0" borderId="0" xfId="0" applyNumberFormat="1" applyFont="1"/>
    <xf numFmtId="14" fontId="22" fillId="0" borderId="0" xfId="0" applyNumberFormat="1" applyFont="1" applyAlignment="1">
      <alignment horizontal="center" vertical="center" wrapText="1"/>
    </xf>
    <xf numFmtId="0" fontId="22" fillId="0" borderId="0" xfId="0" applyFont="1" applyAlignment="1">
      <alignment horizontal="center" vertical="center" wrapText="1"/>
    </xf>
    <xf numFmtId="4" fontId="21" fillId="0" borderId="8" xfId="0" applyNumberFormat="1" applyFont="1" applyBorder="1"/>
    <xf numFmtId="14" fontId="21" fillId="0" borderId="8" xfId="0" applyNumberFormat="1" applyFont="1" applyBorder="1"/>
    <xf numFmtId="14" fontId="21" fillId="0" borderId="9" xfId="0" applyNumberFormat="1" applyFont="1" applyBorder="1"/>
    <xf numFmtId="0" fontId="21" fillId="0" borderId="10" xfId="0" applyFont="1" applyBorder="1"/>
    <xf numFmtId="0" fontId="21" fillId="0" borderId="11" xfId="0" applyFont="1" applyBorder="1"/>
    <xf numFmtId="3" fontId="21" fillId="0" borderId="0" xfId="0" applyNumberFormat="1" applyFont="1"/>
    <xf numFmtId="0" fontId="21" fillId="0" borderId="0" xfId="0" quotePrefix="1" applyFont="1"/>
    <xf numFmtId="166" fontId="10" fillId="0" borderId="0" xfId="0" applyNumberFormat="1" applyFont="1"/>
    <xf numFmtId="8" fontId="10" fillId="0" borderId="0" xfId="0" applyNumberFormat="1" applyFont="1"/>
    <xf numFmtId="16" fontId="22" fillId="0" borderId="0" xfId="0" applyNumberFormat="1" applyFont="1" applyAlignment="1">
      <alignment horizontal="center" vertical="center" wrapText="1"/>
    </xf>
    <xf numFmtId="0" fontId="17" fillId="0" borderId="0" xfId="0" applyFont="1" applyAlignment="1">
      <alignment horizontal="center" vertical="center" wrapText="1"/>
    </xf>
    <xf numFmtId="3" fontId="22" fillId="0" borderId="0" xfId="0" applyNumberFormat="1" applyFont="1" applyAlignment="1">
      <alignment horizontal="center" vertical="center" wrapText="1"/>
    </xf>
    <xf numFmtId="0" fontId="21" fillId="0" borderId="0" xfId="0" applyFont="1" applyAlignment="1">
      <alignment wrapText="1"/>
    </xf>
    <xf numFmtId="22" fontId="21" fillId="0" borderId="0" xfId="0" applyNumberFormat="1" applyFont="1"/>
    <xf numFmtId="0" fontId="23" fillId="0" borderId="0" xfId="0" applyFont="1" applyAlignment="1">
      <alignment horizontal="center" vertical="center" wrapText="1"/>
    </xf>
    <xf numFmtId="49" fontId="21" fillId="0" borderId="0" xfId="0" applyNumberFormat="1" applyFont="1"/>
    <xf numFmtId="16" fontId="10" fillId="0" borderId="0" xfId="0" applyNumberFormat="1" applyFont="1"/>
    <xf numFmtId="0" fontId="12" fillId="0" borderId="0" xfId="0" quotePrefix="1" applyFont="1"/>
    <xf numFmtId="0" fontId="12" fillId="0" borderId="0" xfId="0" applyFont="1"/>
    <xf numFmtId="167" fontId="10" fillId="6" borderId="1" xfId="2" applyNumberFormat="1" applyFont="1" applyFill="1" applyBorder="1" applyProtection="1">
      <protection locked="0"/>
    </xf>
    <xf numFmtId="0" fontId="10" fillId="6" borderId="1" xfId="0" applyFont="1" applyFill="1" applyBorder="1" applyProtection="1">
      <protection locked="0"/>
    </xf>
    <xf numFmtId="14" fontId="10" fillId="6" borderId="1" xfId="2" applyNumberFormat="1" applyFont="1" applyFill="1" applyBorder="1" applyProtection="1">
      <protection locked="0"/>
    </xf>
    <xf numFmtId="0" fontId="10" fillId="6" borderId="2" xfId="0" applyFont="1" applyFill="1" applyBorder="1" applyProtection="1">
      <protection locked="0"/>
    </xf>
    <xf numFmtId="167" fontId="10" fillId="6" borderId="2" xfId="2" applyNumberFormat="1" applyFont="1" applyFill="1" applyBorder="1" applyProtection="1">
      <protection locked="0"/>
    </xf>
    <xf numFmtId="0" fontId="10" fillId="0" borderId="15" xfId="0" applyFont="1" applyBorder="1"/>
    <xf numFmtId="0" fontId="10" fillId="0" borderId="9" xfId="0" applyFont="1" applyBorder="1"/>
    <xf numFmtId="0" fontId="12" fillId="0" borderId="15" xfId="0" quotePrefix="1" applyFont="1" applyBorder="1" applyAlignment="1">
      <alignment horizontal="left"/>
    </xf>
    <xf numFmtId="0" fontId="19" fillId="2" borderId="15" xfId="0" quotePrefix="1" applyFont="1" applyFill="1" applyBorder="1" applyAlignment="1">
      <alignment horizontal="left"/>
    </xf>
    <xf numFmtId="0" fontId="19" fillId="2" borderId="0" xfId="0" quotePrefix="1" applyFont="1" applyFill="1" applyAlignment="1">
      <alignment horizontal="right"/>
    </xf>
    <xf numFmtId="0" fontId="10" fillId="3" borderId="9" xfId="0" applyFont="1" applyFill="1" applyBorder="1"/>
    <xf numFmtId="0" fontId="12" fillId="0" borderId="15" xfId="0" quotePrefix="1" applyFont="1" applyBorder="1" applyAlignment="1">
      <alignment horizontal="left" indent="1"/>
    </xf>
    <xf numFmtId="0" fontId="12" fillId="0" borderId="0" xfId="0" applyFont="1" applyAlignment="1">
      <alignment horizontal="center"/>
    </xf>
    <xf numFmtId="0" fontId="21" fillId="4" borderId="0" xfId="0" applyFont="1" applyFill="1"/>
    <xf numFmtId="0" fontId="21" fillId="4" borderId="9" xfId="0" applyFont="1" applyFill="1" applyBorder="1"/>
    <xf numFmtId="165" fontId="10" fillId="0" borderId="9" xfId="1" quotePrefix="1" applyNumberFormat="1" applyFont="1" applyFill="1" applyBorder="1" applyAlignment="1">
      <alignment horizontal="left"/>
    </xf>
    <xf numFmtId="0" fontId="20" fillId="2" borderId="15" xfId="0" quotePrefix="1" applyFont="1" applyFill="1" applyBorder="1" applyAlignment="1">
      <alignment horizontal="left" indent="1"/>
    </xf>
    <xf numFmtId="0" fontId="10" fillId="2" borderId="0" xfId="0" applyFont="1" applyFill="1"/>
    <xf numFmtId="44" fontId="10" fillId="0" borderId="0" xfId="0" applyNumberFormat="1" applyFont="1"/>
    <xf numFmtId="44" fontId="10" fillId="0" borderId="9" xfId="0" applyNumberFormat="1" applyFont="1" applyBorder="1"/>
    <xf numFmtId="0" fontId="18" fillId="0" borderId="15" xfId="0" quotePrefix="1" applyFont="1" applyBorder="1" applyAlignment="1">
      <alignment horizontal="left"/>
    </xf>
    <xf numFmtId="0" fontId="18" fillId="0" borderId="0" xfId="0" quotePrefix="1" applyFont="1" applyAlignment="1">
      <alignment horizontal="left"/>
    </xf>
    <xf numFmtId="0" fontId="18" fillId="0" borderId="9" xfId="0" quotePrefix="1" applyFont="1" applyBorder="1" applyAlignment="1">
      <alignment horizontal="left"/>
    </xf>
    <xf numFmtId="0" fontId="10" fillId="3" borderId="15" xfId="0" applyFont="1" applyFill="1" applyBorder="1"/>
    <xf numFmtId="0" fontId="19" fillId="0" borderId="15" xfId="0" quotePrefix="1" applyFont="1" applyBorder="1" applyAlignment="1">
      <alignment horizontal="left"/>
    </xf>
    <xf numFmtId="0" fontId="19" fillId="0" borderId="0" xfId="0" quotePrefix="1" applyFont="1" applyAlignment="1">
      <alignment horizontal="right"/>
    </xf>
    <xf numFmtId="0" fontId="12" fillId="0" borderId="15" xfId="0" quotePrefix="1" applyFont="1" applyBorder="1"/>
    <xf numFmtId="0" fontId="12" fillId="0" borderId="9" xfId="0" quotePrefix="1" applyFont="1" applyBorder="1"/>
    <xf numFmtId="0" fontId="12" fillId="0" borderId="22" xfId="0" quotePrefix="1" applyFont="1" applyBorder="1" applyAlignment="1">
      <alignment horizontal="left"/>
    </xf>
    <xf numFmtId="0" fontId="12" fillId="0" borderId="23" xfId="0" quotePrefix="1" applyFont="1" applyBorder="1" applyAlignment="1">
      <alignment horizontal="center"/>
    </xf>
    <xf numFmtId="0" fontId="10" fillId="0" borderId="24" xfId="0" applyFont="1" applyBorder="1"/>
    <xf numFmtId="0" fontId="12" fillId="0" borderId="25" xfId="0" quotePrefix="1" applyFont="1" applyBorder="1"/>
    <xf numFmtId="0" fontId="12" fillId="0" borderId="26" xfId="0" quotePrefix="1" applyFont="1" applyBorder="1"/>
    <xf numFmtId="0" fontId="12" fillId="0" borderId="27" xfId="0" quotePrefix="1" applyFont="1" applyBorder="1"/>
    <xf numFmtId="0" fontId="5" fillId="0" borderId="0" xfId="0" applyFont="1" applyProtection="1">
      <protection locked="0"/>
    </xf>
    <xf numFmtId="0" fontId="5" fillId="0" borderId="9" xfId="0" applyFont="1" applyBorder="1" applyProtection="1">
      <protection locked="0"/>
    </xf>
    <xf numFmtId="168" fontId="5" fillId="0" borderId="9" xfId="0" applyNumberFormat="1" applyFont="1" applyBorder="1"/>
    <xf numFmtId="169" fontId="5" fillId="0" borderId="8" xfId="0" applyNumberFormat="1" applyFont="1" applyBorder="1"/>
    <xf numFmtId="169" fontId="5" fillId="0" borderId="9" xfId="0" applyNumberFormat="1" applyFont="1" applyBorder="1"/>
    <xf numFmtId="169" fontId="7" fillId="0" borderId="0" xfId="0" applyNumberFormat="1" applyFont="1"/>
    <xf numFmtId="9" fontId="7" fillId="7" borderId="0" xfId="3" applyFont="1" applyFill="1"/>
    <xf numFmtId="166" fontId="5" fillId="7" borderId="0" xfId="0" applyNumberFormat="1" applyFont="1" applyFill="1"/>
    <xf numFmtId="9" fontId="5" fillId="0" borderId="0" xfId="3" applyFont="1"/>
    <xf numFmtId="0" fontId="26" fillId="5" borderId="0" xfId="0" applyFont="1" applyFill="1"/>
    <xf numFmtId="0" fontId="27" fillId="5" borderId="0" xfId="0" applyFont="1" applyFill="1"/>
    <xf numFmtId="16" fontId="28" fillId="5" borderId="0" xfId="0" applyNumberFormat="1" applyFont="1" applyFill="1" applyAlignment="1">
      <alignment horizontal="center" vertical="center" wrapText="1"/>
    </xf>
    <xf numFmtId="0" fontId="28" fillId="5" borderId="0" xfId="0" applyFont="1" applyFill="1" applyAlignment="1">
      <alignment horizontal="center" vertical="center" wrapText="1"/>
    </xf>
    <xf numFmtId="14" fontId="28" fillId="5" borderId="0" xfId="0" applyNumberFormat="1" applyFont="1" applyFill="1" applyAlignment="1">
      <alignment horizontal="center" vertical="center" wrapText="1"/>
    </xf>
    <xf numFmtId="0" fontId="5" fillId="8" borderId="0" xfId="0" applyFont="1" applyFill="1"/>
    <xf numFmtId="0" fontId="14" fillId="5" borderId="0" xfId="0" applyFont="1" applyFill="1" applyAlignment="1">
      <alignment horizontal="center"/>
    </xf>
    <xf numFmtId="0" fontId="10" fillId="5" borderId="0" xfId="0" applyFont="1" applyFill="1" applyAlignment="1">
      <alignment horizontal="center"/>
    </xf>
    <xf numFmtId="0" fontId="25" fillId="5" borderId="12" xfId="0" quotePrefix="1" applyFont="1" applyFill="1" applyBorder="1" applyAlignment="1">
      <alignment horizontal="center"/>
    </xf>
    <xf numFmtId="0" fontId="25" fillId="5" borderId="13" xfId="0" applyFont="1" applyFill="1" applyBorder="1" applyAlignment="1">
      <alignment horizontal="center"/>
    </xf>
    <xf numFmtId="0" fontId="25" fillId="5" borderId="14" xfId="0" applyFont="1" applyFill="1" applyBorder="1" applyAlignment="1">
      <alignment horizontal="center"/>
    </xf>
    <xf numFmtId="0" fontId="5" fillId="6" borderId="0" xfId="0" applyFont="1" applyFill="1" applyProtection="1">
      <protection locked="0"/>
    </xf>
    <xf numFmtId="0" fontId="5" fillId="6" borderId="9" xfId="0" applyFont="1" applyFill="1" applyBorder="1" applyProtection="1">
      <protection locked="0"/>
    </xf>
    <xf numFmtId="0" fontId="9" fillId="0" borderId="0" xfId="0" applyFont="1" applyAlignment="1">
      <alignment horizontal="center" vertical="center" wrapText="1"/>
    </xf>
    <xf numFmtId="0" fontId="8" fillId="0" borderId="0" xfId="0" applyFont="1" applyAlignment="1">
      <alignment horizontal="center" vertical="center" wrapText="1"/>
    </xf>
    <xf numFmtId="0" fontId="15" fillId="0" borderId="15" xfId="0" applyFont="1" applyBorder="1" applyAlignment="1">
      <alignment horizontal="left"/>
    </xf>
    <xf numFmtId="0" fontId="15" fillId="0" borderId="0" xfId="0" applyFont="1" applyAlignment="1">
      <alignment horizontal="left"/>
    </xf>
    <xf numFmtId="0" fontId="15" fillId="0" borderId="9" xfId="0" applyFont="1" applyBorder="1" applyAlignment="1">
      <alignment horizontal="left"/>
    </xf>
    <xf numFmtId="0" fontId="5" fillId="0" borderId="15" xfId="0" applyFont="1" applyBorder="1" applyAlignment="1">
      <alignment horizontal="center"/>
    </xf>
    <xf numFmtId="0" fontId="5" fillId="0" borderId="0" xfId="0" applyFont="1" applyAlignment="1">
      <alignment horizontal="center"/>
    </xf>
    <xf numFmtId="0" fontId="5" fillId="0" borderId="9" xfId="0" applyFont="1" applyBorder="1" applyAlignment="1">
      <alignment horizontal="center"/>
    </xf>
    <xf numFmtId="0" fontId="5" fillId="0" borderId="18" xfId="0" applyFont="1" applyBorder="1" applyAlignment="1">
      <alignment horizontal="center"/>
    </xf>
    <xf numFmtId="0" fontId="5" fillId="0" borderId="3" xfId="0" applyFont="1" applyBorder="1" applyAlignment="1">
      <alignment horizontal="center"/>
    </xf>
    <xf numFmtId="0" fontId="5" fillId="0" borderId="19" xfId="0" applyFont="1" applyBorder="1" applyAlignment="1">
      <alignment horizontal="center"/>
    </xf>
    <xf numFmtId="0" fontId="5" fillId="0" borderId="16" xfId="0" applyFont="1" applyBorder="1" applyAlignment="1">
      <alignment horizontal="center"/>
    </xf>
    <xf numFmtId="0" fontId="5" fillId="0" borderId="1" xfId="0" applyFont="1" applyBorder="1" applyAlignment="1">
      <alignment horizontal="center"/>
    </xf>
    <xf numFmtId="0" fontId="5" fillId="0" borderId="17" xfId="0" applyFont="1" applyBorder="1" applyAlignment="1">
      <alignment horizontal="center"/>
    </xf>
    <xf numFmtId="0" fontId="5" fillId="0" borderId="16" xfId="0" quotePrefix="1" applyFont="1" applyBorder="1" applyAlignment="1">
      <alignment horizontal="center"/>
    </xf>
    <xf numFmtId="0" fontId="5" fillId="0" borderId="1" xfId="0" quotePrefix="1" applyFont="1" applyBorder="1" applyAlignment="1">
      <alignment horizontal="center"/>
    </xf>
    <xf numFmtId="0" fontId="5" fillId="0" borderId="17" xfId="0" quotePrefix="1" applyFont="1" applyBorder="1" applyAlignment="1">
      <alignment horizontal="center"/>
    </xf>
    <xf numFmtId="0" fontId="10" fillId="6" borderId="0" xfId="0" applyFont="1" applyFill="1" applyProtection="1">
      <protection locked="0"/>
    </xf>
    <xf numFmtId="0" fontId="24" fillId="5" borderId="12" xfId="0" quotePrefix="1" applyFont="1" applyFill="1" applyBorder="1" applyAlignment="1">
      <alignment horizontal="center"/>
    </xf>
    <xf numFmtId="0" fontId="24" fillId="5" borderId="13" xfId="0" quotePrefix="1" applyFont="1" applyFill="1" applyBorder="1" applyAlignment="1">
      <alignment horizontal="center"/>
    </xf>
    <xf numFmtId="0" fontId="24" fillId="5" borderId="14" xfId="0" quotePrefix="1" applyFont="1" applyFill="1" applyBorder="1" applyAlignment="1">
      <alignment horizontal="center"/>
    </xf>
    <xf numFmtId="0" fontId="10" fillId="3" borderId="15" xfId="0" applyFont="1" applyFill="1" applyBorder="1" applyAlignment="1">
      <alignment horizontal="left" wrapText="1"/>
    </xf>
    <xf numFmtId="0" fontId="10" fillId="3" borderId="0" xfId="0" applyFont="1" applyFill="1" applyAlignment="1">
      <alignment horizontal="left" wrapText="1"/>
    </xf>
    <xf numFmtId="0" fontId="10" fillId="3" borderId="9" xfId="0" applyFont="1" applyFill="1" applyBorder="1" applyAlignment="1">
      <alignment horizontal="left" wrapText="1"/>
    </xf>
    <xf numFmtId="0" fontId="22" fillId="0" borderId="0" xfId="0" applyFont="1" applyAlignment="1">
      <alignment horizontal="center" vertical="center" wrapText="1"/>
    </xf>
    <xf numFmtId="0" fontId="23" fillId="0" borderId="0" xfId="0" applyFont="1" applyAlignment="1">
      <alignment horizontal="center" vertical="center" wrapText="1"/>
    </xf>
    <xf numFmtId="0" fontId="10" fillId="0" borderId="20" xfId="0" applyFont="1" applyBorder="1" applyAlignment="1">
      <alignment horizontal="center"/>
    </xf>
    <xf numFmtId="0" fontId="10" fillId="0" borderId="21" xfId="0" applyFont="1" applyBorder="1" applyAlignment="1">
      <alignment horizontal="center"/>
    </xf>
    <xf numFmtId="0" fontId="10" fillId="0" borderId="11" xfId="0" applyFont="1" applyBorder="1" applyAlignment="1">
      <alignment horizontal="center"/>
    </xf>
    <xf numFmtId="0" fontId="12" fillId="0" borderId="16" xfId="0" quotePrefix="1" applyFont="1" applyBorder="1" applyAlignment="1">
      <alignment horizontal="center"/>
    </xf>
    <xf numFmtId="0" fontId="12" fillId="0" borderId="1" xfId="0" quotePrefix="1" applyFont="1" applyBorder="1" applyAlignment="1">
      <alignment horizontal="center"/>
    </xf>
    <xf numFmtId="0" fontId="12" fillId="0" borderId="17" xfId="0" quotePrefix="1" applyFont="1" applyBorder="1" applyAlignment="1">
      <alignment horizontal="center"/>
    </xf>
    <xf numFmtId="0" fontId="20" fillId="2" borderId="16" xfId="0" quotePrefix="1" applyFont="1" applyFill="1" applyBorder="1" applyAlignment="1">
      <alignment horizontal="center"/>
    </xf>
    <xf numFmtId="0" fontId="20" fillId="2" borderId="1" xfId="0" quotePrefix="1" applyFont="1" applyFill="1" applyBorder="1" applyAlignment="1">
      <alignment horizontal="center"/>
    </xf>
    <xf numFmtId="0" fontId="20" fillId="2" borderId="17" xfId="0" quotePrefix="1" applyFont="1" applyFill="1" applyBorder="1" applyAlignment="1">
      <alignment horizontal="center"/>
    </xf>
    <xf numFmtId="0" fontId="29" fillId="9" borderId="0" xfId="5" quotePrefix="1" applyFill="1" applyAlignment="1">
      <alignment horizontal="left" wrapText="1"/>
    </xf>
  </cellXfs>
  <cellStyles count="6">
    <cellStyle name="Comma" xfId="1" builtinId="3"/>
    <cellStyle name="Currency" xfId="2" builtinId="4"/>
    <cellStyle name="Hyperlink" xfId="5" builtinId="8"/>
    <cellStyle name="Normal" xfId="0" builtinId="0"/>
    <cellStyle name="Normal 2" xfId="4" xr:uid="{00000000-0005-0000-0000-000003000000}"/>
    <cellStyle name="Percent" xfId="3" builtinId="5"/>
  </cellStyles>
  <dxfs count="82">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val="0"/>
        <i val="0"/>
        <strike val="0"/>
        <condense val="0"/>
        <extend val="0"/>
        <outline val="0"/>
        <shadow val="0"/>
        <u val="none"/>
        <vertAlign val="baseline"/>
        <sz val="10"/>
        <color theme="1"/>
        <name val="Aptos"/>
        <family val="2"/>
        <scheme val="none"/>
      </font>
    </dxf>
    <dxf>
      <font>
        <b val="0"/>
        <i val="0"/>
        <strike val="0"/>
        <condense val="0"/>
        <extend val="0"/>
        <outline val="0"/>
        <shadow val="0"/>
        <u val="none"/>
        <vertAlign val="baseline"/>
        <sz val="10"/>
        <color theme="1"/>
        <name val="Aptos"/>
        <family val="2"/>
        <scheme val="none"/>
      </font>
    </dxf>
    <dxf>
      <font>
        <b val="0"/>
        <i val="0"/>
        <strike val="0"/>
        <condense val="0"/>
        <extend val="0"/>
        <outline val="0"/>
        <shadow val="0"/>
        <u val="none"/>
        <vertAlign val="baseline"/>
        <sz val="10"/>
        <color theme="1"/>
        <name val="Aptos"/>
        <family val="2"/>
        <scheme val="none"/>
      </font>
    </dxf>
    <dxf>
      <font>
        <b val="0"/>
        <i val="0"/>
        <strike val="0"/>
        <condense val="0"/>
        <extend val="0"/>
        <outline val="0"/>
        <shadow val="0"/>
        <u val="none"/>
        <vertAlign val="baseline"/>
        <sz val="10"/>
        <color theme="1"/>
        <name val="Aptos"/>
        <family val="2"/>
        <scheme val="none"/>
      </font>
    </dxf>
    <dxf>
      <font>
        <b val="0"/>
        <i val="0"/>
        <strike val="0"/>
        <condense val="0"/>
        <extend val="0"/>
        <outline val="0"/>
        <shadow val="0"/>
        <u val="none"/>
        <vertAlign val="baseline"/>
        <sz val="10"/>
        <color theme="1"/>
        <name val="Aptos"/>
        <family val="2"/>
        <scheme val="none"/>
      </font>
    </dxf>
    <dxf>
      <font>
        <b val="0"/>
        <i val="0"/>
        <strike val="0"/>
        <condense val="0"/>
        <extend val="0"/>
        <outline val="0"/>
        <shadow val="0"/>
        <u val="none"/>
        <vertAlign val="baseline"/>
        <sz val="10"/>
        <color theme="1"/>
        <name val="Aptos"/>
        <family val="2"/>
        <scheme val="none"/>
      </font>
    </dxf>
    <dxf>
      <font>
        <b val="0"/>
        <i val="0"/>
        <strike val="0"/>
        <condense val="0"/>
        <extend val="0"/>
        <outline val="0"/>
        <shadow val="0"/>
        <u val="none"/>
        <vertAlign val="baseline"/>
        <sz val="10"/>
        <color theme="1"/>
        <name val="Aptos"/>
        <family val="2"/>
        <scheme val="none"/>
      </font>
    </dxf>
    <dxf>
      <font>
        <b val="0"/>
        <i val="0"/>
        <strike val="0"/>
        <condense val="0"/>
        <extend val="0"/>
        <outline val="0"/>
        <shadow val="0"/>
        <u val="none"/>
        <vertAlign val="baseline"/>
        <sz val="10"/>
        <color theme="1"/>
        <name val="Aptos"/>
        <family val="2"/>
        <scheme val="none"/>
      </font>
    </dxf>
    <dxf>
      <font>
        <b val="0"/>
        <i val="0"/>
        <strike val="0"/>
        <condense val="0"/>
        <extend val="0"/>
        <outline val="0"/>
        <shadow val="0"/>
        <u val="none"/>
        <vertAlign val="baseline"/>
        <sz val="10"/>
        <color theme="1"/>
        <name val="Aptos"/>
        <family val="2"/>
        <scheme val="none"/>
      </font>
    </dxf>
    <dxf>
      <font>
        <b val="0"/>
        <i val="0"/>
        <strike val="0"/>
        <condense val="0"/>
        <extend val="0"/>
        <outline val="0"/>
        <shadow val="0"/>
        <u val="none"/>
        <vertAlign val="baseline"/>
        <sz val="10"/>
        <color theme="1"/>
        <name val="Aptos"/>
        <family val="2"/>
        <scheme val="none"/>
      </font>
      <numFmt numFmtId="13" formatCode="0%"/>
    </dxf>
    <dxf>
      <font>
        <b val="0"/>
        <i val="0"/>
        <strike val="0"/>
        <condense val="0"/>
        <extend val="0"/>
        <outline val="0"/>
        <shadow val="0"/>
        <u val="none"/>
        <vertAlign val="baseline"/>
        <sz val="10"/>
        <color theme="1"/>
        <name val="Aptos"/>
        <family val="2"/>
        <scheme val="none"/>
      </font>
      <numFmt numFmtId="21" formatCode="d\-mmm"/>
    </dxf>
    <dxf>
      <font>
        <b val="0"/>
        <i val="0"/>
        <strike val="0"/>
        <condense val="0"/>
        <extend val="0"/>
        <outline val="0"/>
        <shadow val="0"/>
        <u val="none"/>
        <vertAlign val="baseline"/>
        <sz val="10"/>
        <color theme="1"/>
        <name val="Aptos"/>
        <family val="2"/>
        <scheme val="none"/>
      </font>
    </dxf>
    <dxf>
      <font>
        <b val="0"/>
        <i val="0"/>
        <strike val="0"/>
        <condense val="0"/>
        <extend val="0"/>
        <outline val="0"/>
        <shadow val="0"/>
        <u val="none"/>
        <vertAlign val="baseline"/>
        <sz val="10"/>
        <color auto="1"/>
        <name val="Aptos"/>
        <family val="2"/>
        <scheme val="none"/>
      </font>
      <fill>
        <patternFill patternType="none">
          <fgColor indexed="64"/>
          <bgColor indexed="65"/>
        </patternFill>
      </fill>
    </dxf>
    <dxf>
      <font>
        <b val="0"/>
        <i val="0"/>
        <strike val="0"/>
        <condense val="0"/>
        <extend val="0"/>
        <outline val="0"/>
        <shadow val="0"/>
        <u val="none"/>
        <vertAlign val="baseline"/>
        <sz val="10"/>
        <color theme="1"/>
        <name val="Aptos"/>
        <family val="2"/>
        <scheme val="none"/>
      </font>
    </dxf>
    <dxf>
      <font>
        <b val="0"/>
        <i val="0"/>
        <strike val="0"/>
        <condense val="0"/>
        <extend val="0"/>
        <outline val="0"/>
        <shadow val="0"/>
        <u val="none"/>
        <vertAlign val="baseline"/>
        <sz val="10"/>
        <color theme="1"/>
        <name val="Aptos"/>
        <family val="2"/>
        <scheme val="none"/>
      </font>
    </dxf>
    <dxf>
      <font>
        <b val="0"/>
        <i val="0"/>
        <strike val="0"/>
        <condense val="0"/>
        <extend val="0"/>
        <outline val="0"/>
        <shadow val="0"/>
        <u val="none"/>
        <vertAlign val="baseline"/>
        <sz val="10"/>
        <color theme="1"/>
        <name val="Aptos"/>
        <family val="2"/>
        <scheme val="none"/>
      </font>
    </dxf>
    <dxf>
      <font>
        <b val="0"/>
        <i val="0"/>
        <strike val="0"/>
        <condense val="0"/>
        <extend val="0"/>
        <outline val="0"/>
        <shadow val="0"/>
        <u val="none"/>
        <vertAlign val="baseline"/>
        <sz val="10"/>
        <color theme="1"/>
        <name val="Aptos"/>
        <family val="2"/>
        <scheme val="none"/>
      </font>
    </dxf>
    <dxf>
      <font>
        <b val="0"/>
        <i val="0"/>
        <strike val="0"/>
        <condense val="0"/>
        <extend val="0"/>
        <outline val="0"/>
        <shadow val="0"/>
        <u val="none"/>
        <vertAlign val="baseline"/>
        <sz val="10"/>
        <color theme="1"/>
        <name val="Aptos"/>
        <family val="2"/>
        <scheme val="none"/>
      </font>
    </dxf>
    <dxf>
      <font>
        <b val="0"/>
        <i val="0"/>
        <strike val="0"/>
        <condense val="0"/>
        <extend val="0"/>
        <outline val="0"/>
        <shadow val="0"/>
        <u val="none"/>
        <vertAlign val="baseline"/>
        <sz val="10"/>
        <color theme="1"/>
        <name val="Aptos"/>
        <family val="2"/>
        <scheme val="none"/>
      </font>
    </dxf>
    <dxf>
      <font>
        <b val="0"/>
        <i val="0"/>
        <strike val="0"/>
        <condense val="0"/>
        <extend val="0"/>
        <outline val="0"/>
        <shadow val="0"/>
        <u val="none"/>
        <vertAlign val="baseline"/>
        <sz val="10"/>
        <color theme="1"/>
        <name val="Aptos"/>
        <family val="2"/>
        <scheme val="none"/>
      </font>
    </dxf>
    <dxf>
      <font>
        <b val="0"/>
        <i val="0"/>
        <strike val="0"/>
        <condense val="0"/>
        <extend val="0"/>
        <outline val="0"/>
        <shadow val="0"/>
        <u val="none"/>
        <vertAlign val="baseline"/>
        <sz val="10"/>
        <color theme="1"/>
        <name val="Aptos"/>
        <family val="2"/>
        <scheme val="none"/>
      </font>
    </dxf>
    <dxf>
      <font>
        <b val="0"/>
        <i val="0"/>
        <strike val="0"/>
        <condense val="0"/>
        <extend val="0"/>
        <outline val="0"/>
        <shadow val="0"/>
        <u val="none"/>
        <vertAlign val="baseline"/>
        <sz val="10"/>
        <color theme="1"/>
        <name val="Aptos"/>
        <family val="2"/>
        <scheme val="none"/>
      </font>
    </dxf>
    <dxf>
      <font>
        <b val="0"/>
        <i val="0"/>
        <strike val="0"/>
        <condense val="0"/>
        <extend val="0"/>
        <outline val="0"/>
        <shadow val="0"/>
        <u val="none"/>
        <vertAlign val="baseline"/>
        <sz val="10"/>
        <color theme="1"/>
        <name val="Aptos"/>
        <family val="2"/>
        <scheme val="none"/>
      </font>
      <numFmt numFmtId="13" formatCode="0%"/>
    </dxf>
    <dxf>
      <font>
        <b val="0"/>
        <i val="0"/>
        <strike val="0"/>
        <condense val="0"/>
        <extend val="0"/>
        <outline val="0"/>
        <shadow val="0"/>
        <u val="none"/>
        <vertAlign val="baseline"/>
        <sz val="10"/>
        <color theme="1"/>
        <name val="Aptos"/>
        <family val="2"/>
        <scheme val="none"/>
      </font>
      <numFmt numFmtId="21" formatCode="d\-mmm"/>
    </dxf>
    <dxf>
      <font>
        <b val="0"/>
        <i val="0"/>
        <strike val="0"/>
        <condense val="0"/>
        <extend val="0"/>
        <outline val="0"/>
        <shadow val="0"/>
        <u val="none"/>
        <vertAlign val="baseline"/>
        <sz val="10"/>
        <color theme="1"/>
        <name val="Aptos"/>
        <family val="2"/>
        <scheme val="none"/>
      </font>
    </dxf>
    <dxf>
      <font>
        <b val="0"/>
        <i val="0"/>
        <strike val="0"/>
        <condense val="0"/>
        <extend val="0"/>
        <outline val="0"/>
        <shadow val="0"/>
        <u val="none"/>
        <vertAlign val="baseline"/>
        <sz val="10"/>
        <color auto="1"/>
        <name val="Aptos"/>
        <family val="2"/>
        <scheme val="none"/>
      </font>
      <fill>
        <patternFill patternType="none">
          <fgColor indexed="64"/>
          <bgColor auto="1"/>
        </patternFill>
      </fill>
    </dxf>
    <dxf>
      <font>
        <b val="0"/>
        <i val="0"/>
        <strike val="0"/>
        <condense val="0"/>
        <extend val="0"/>
        <outline val="0"/>
        <shadow val="0"/>
        <u val="none"/>
        <vertAlign val="baseline"/>
        <sz val="10"/>
        <color theme="1"/>
        <name val="Aptos"/>
        <family val="2"/>
        <scheme val="none"/>
      </font>
    </dxf>
    <dxf>
      <font>
        <b val="0"/>
        <i val="0"/>
        <strike val="0"/>
        <condense val="0"/>
        <extend val="0"/>
        <outline val="0"/>
        <shadow val="0"/>
        <u val="none"/>
        <vertAlign val="baseline"/>
        <sz val="10"/>
        <color theme="1"/>
        <name val="Aptos"/>
        <family val="2"/>
        <scheme val="none"/>
      </font>
    </dxf>
    <dxf>
      <font>
        <b val="0"/>
        <i val="0"/>
        <strike val="0"/>
        <condense val="0"/>
        <extend val="0"/>
        <outline val="0"/>
        <shadow val="0"/>
        <u val="none"/>
        <vertAlign val="baseline"/>
        <sz val="10"/>
        <color theme="1"/>
        <name val="Aptos"/>
        <family val="2"/>
        <scheme val="none"/>
      </font>
    </dxf>
    <dxf>
      <font>
        <b val="0"/>
        <i val="0"/>
        <strike val="0"/>
        <condense val="0"/>
        <extend val="0"/>
        <outline val="0"/>
        <shadow val="0"/>
        <u val="none"/>
        <vertAlign val="baseline"/>
        <sz val="10"/>
        <color theme="1"/>
        <name val="Aptos"/>
        <family val="2"/>
        <scheme val="none"/>
      </font>
    </dxf>
    <dxf>
      <font>
        <b val="0"/>
        <i val="0"/>
        <strike val="0"/>
        <condense val="0"/>
        <extend val="0"/>
        <outline val="0"/>
        <shadow val="0"/>
        <u val="none"/>
        <vertAlign val="baseline"/>
        <sz val="10"/>
        <color theme="1"/>
        <name val="Aptos"/>
        <family val="2"/>
        <scheme val="none"/>
      </font>
    </dxf>
    <dxf>
      <font>
        <b val="0"/>
        <i val="0"/>
        <strike val="0"/>
        <condense val="0"/>
        <extend val="0"/>
        <outline val="0"/>
        <shadow val="0"/>
        <u val="none"/>
        <vertAlign val="baseline"/>
        <sz val="10"/>
        <color theme="1"/>
        <name val="Aptos"/>
        <family val="2"/>
        <scheme val="none"/>
      </font>
    </dxf>
    <dxf>
      <font>
        <b val="0"/>
        <i val="0"/>
        <strike val="0"/>
        <condense val="0"/>
        <extend val="0"/>
        <outline val="0"/>
        <shadow val="0"/>
        <u val="none"/>
        <vertAlign val="baseline"/>
        <sz val="10"/>
        <color theme="1"/>
        <name val="Aptos"/>
        <family val="2"/>
        <scheme val="none"/>
      </font>
    </dxf>
    <dxf>
      <font>
        <b val="0"/>
        <i val="0"/>
        <strike val="0"/>
        <condense val="0"/>
        <extend val="0"/>
        <outline val="0"/>
        <shadow val="0"/>
        <u val="none"/>
        <vertAlign val="baseline"/>
        <sz val="10"/>
        <color theme="1"/>
        <name val="Aptos"/>
        <family val="2"/>
        <scheme val="none"/>
      </font>
    </dxf>
    <dxf>
      <font>
        <b val="0"/>
        <i val="0"/>
        <strike val="0"/>
        <condense val="0"/>
        <extend val="0"/>
        <outline val="0"/>
        <shadow val="0"/>
        <u val="none"/>
        <vertAlign val="baseline"/>
        <sz val="10"/>
        <color theme="1"/>
        <name val="Aptos"/>
        <family val="2"/>
        <scheme val="none"/>
      </font>
    </dxf>
    <dxf>
      <font>
        <b val="0"/>
        <i val="0"/>
        <strike val="0"/>
        <condense val="0"/>
        <extend val="0"/>
        <outline val="0"/>
        <shadow val="0"/>
        <u val="none"/>
        <vertAlign val="baseline"/>
        <sz val="10"/>
        <color theme="1"/>
        <name val="Aptos"/>
        <family val="2"/>
        <scheme val="none"/>
      </font>
      <numFmt numFmtId="13" formatCode="0%"/>
    </dxf>
    <dxf>
      <font>
        <b val="0"/>
        <i val="0"/>
        <strike val="0"/>
        <condense val="0"/>
        <extend val="0"/>
        <outline val="0"/>
        <shadow val="0"/>
        <u val="none"/>
        <vertAlign val="baseline"/>
        <sz val="10"/>
        <color theme="1"/>
        <name val="Aptos"/>
        <family val="2"/>
        <scheme val="none"/>
      </font>
      <numFmt numFmtId="21" formatCode="d\-mmm"/>
    </dxf>
    <dxf>
      <font>
        <b val="0"/>
        <i val="0"/>
        <strike val="0"/>
        <condense val="0"/>
        <extend val="0"/>
        <outline val="0"/>
        <shadow val="0"/>
        <u val="none"/>
        <vertAlign val="baseline"/>
        <sz val="10"/>
        <color theme="1"/>
        <name val="Aptos"/>
        <family val="2"/>
        <scheme val="none"/>
      </font>
    </dxf>
    <dxf>
      <font>
        <b val="0"/>
        <i val="0"/>
        <strike val="0"/>
        <condense val="0"/>
        <extend val="0"/>
        <outline val="0"/>
        <shadow val="0"/>
        <u val="none"/>
        <vertAlign val="baseline"/>
        <sz val="10"/>
        <color auto="1"/>
        <name val="Aptos"/>
        <family val="2"/>
        <scheme val="none"/>
      </font>
      <fill>
        <patternFill patternType="none">
          <fgColor indexed="64"/>
          <bgColor indexed="65"/>
        </patternFill>
      </fill>
    </dxf>
    <dxf>
      <font>
        <b val="0"/>
        <i val="0"/>
        <strike val="0"/>
        <condense val="0"/>
        <extend val="0"/>
        <outline val="0"/>
        <shadow val="0"/>
        <u val="none"/>
        <vertAlign val="baseline"/>
        <sz val="10"/>
        <color theme="1"/>
        <name val="Aptos"/>
        <family val="2"/>
        <scheme val="none"/>
      </font>
    </dxf>
    <dxf>
      <font>
        <b val="0"/>
        <i val="0"/>
        <strike val="0"/>
        <condense val="0"/>
        <extend val="0"/>
        <outline val="0"/>
        <shadow val="0"/>
        <u val="none"/>
        <vertAlign val="baseline"/>
        <sz val="10"/>
        <color theme="1"/>
        <name val="Aptos"/>
        <family val="2"/>
        <scheme val="none"/>
      </font>
    </dxf>
    <dxf>
      <font>
        <b val="0"/>
        <i val="0"/>
        <strike val="0"/>
        <condense val="0"/>
        <extend val="0"/>
        <outline val="0"/>
        <shadow val="0"/>
        <u val="none"/>
        <vertAlign val="baseline"/>
        <sz val="10"/>
        <color theme="1"/>
        <name val="Aptos"/>
        <family val="2"/>
        <scheme val="none"/>
      </font>
    </dxf>
    <dxf>
      <font>
        <b val="0"/>
        <i val="0"/>
        <strike val="0"/>
        <condense val="0"/>
        <extend val="0"/>
        <outline val="0"/>
        <shadow val="0"/>
        <u val="none"/>
        <vertAlign val="baseline"/>
        <sz val="10"/>
        <color theme="1"/>
        <name val="Aptos"/>
        <family val="2"/>
        <scheme val="none"/>
      </font>
    </dxf>
    <dxf>
      <font>
        <b val="0"/>
        <i val="0"/>
        <strike val="0"/>
        <condense val="0"/>
        <extend val="0"/>
        <outline val="0"/>
        <shadow val="0"/>
        <u val="none"/>
        <vertAlign val="baseline"/>
        <sz val="10"/>
        <color theme="1"/>
        <name val="Aptos"/>
        <family val="2"/>
        <scheme val="none"/>
      </font>
    </dxf>
    <dxf>
      <font>
        <b val="0"/>
        <i val="0"/>
        <strike val="0"/>
        <condense val="0"/>
        <extend val="0"/>
        <outline val="0"/>
        <shadow val="0"/>
        <u val="none"/>
        <vertAlign val="baseline"/>
        <sz val="10"/>
        <color theme="1"/>
        <name val="Aptos"/>
        <family val="2"/>
        <scheme val="none"/>
      </font>
    </dxf>
    <dxf>
      <font>
        <b val="0"/>
        <i val="0"/>
        <strike val="0"/>
        <condense val="0"/>
        <extend val="0"/>
        <outline val="0"/>
        <shadow val="0"/>
        <u val="none"/>
        <vertAlign val="baseline"/>
        <sz val="10"/>
        <color theme="1"/>
        <name val="Aptos"/>
        <family val="2"/>
        <scheme val="none"/>
      </font>
    </dxf>
    <dxf>
      <font>
        <b val="0"/>
        <i val="0"/>
        <strike val="0"/>
        <condense val="0"/>
        <extend val="0"/>
        <outline val="0"/>
        <shadow val="0"/>
        <u val="none"/>
        <vertAlign val="baseline"/>
        <sz val="10"/>
        <color theme="1"/>
        <name val="Aptos"/>
        <family val="2"/>
        <scheme val="none"/>
      </font>
    </dxf>
    <dxf>
      <font>
        <b val="0"/>
        <i val="0"/>
        <strike val="0"/>
        <condense val="0"/>
        <extend val="0"/>
        <outline val="0"/>
        <shadow val="0"/>
        <u val="none"/>
        <vertAlign val="baseline"/>
        <sz val="10"/>
        <color theme="1"/>
        <name val="Aptos"/>
        <family val="2"/>
        <scheme val="none"/>
      </font>
    </dxf>
    <dxf>
      <font>
        <b val="0"/>
        <i val="0"/>
        <strike val="0"/>
        <condense val="0"/>
        <extend val="0"/>
        <outline val="0"/>
        <shadow val="0"/>
        <u val="none"/>
        <vertAlign val="baseline"/>
        <sz val="10"/>
        <color theme="1"/>
        <name val="Aptos"/>
        <family val="2"/>
        <scheme val="none"/>
      </font>
      <numFmt numFmtId="13" formatCode="0%"/>
    </dxf>
    <dxf>
      <font>
        <b val="0"/>
        <i val="0"/>
        <strike val="0"/>
        <condense val="0"/>
        <extend val="0"/>
        <outline val="0"/>
        <shadow val="0"/>
        <u val="none"/>
        <vertAlign val="baseline"/>
        <sz val="10"/>
        <color theme="1"/>
        <name val="Aptos"/>
        <family val="2"/>
        <scheme val="none"/>
      </font>
      <numFmt numFmtId="21" formatCode="d\-mmm"/>
    </dxf>
    <dxf>
      <font>
        <b val="0"/>
        <i val="0"/>
        <strike val="0"/>
        <condense val="0"/>
        <extend val="0"/>
        <outline val="0"/>
        <shadow val="0"/>
        <u val="none"/>
        <vertAlign val="baseline"/>
        <sz val="10"/>
        <color theme="1"/>
        <name val="Aptos"/>
        <family val="2"/>
        <scheme val="none"/>
      </font>
    </dxf>
    <dxf>
      <font>
        <b val="0"/>
        <i val="0"/>
        <strike val="0"/>
        <condense val="0"/>
        <extend val="0"/>
        <outline val="0"/>
        <shadow val="0"/>
        <u val="none"/>
        <vertAlign val="baseline"/>
        <sz val="10"/>
        <color auto="1"/>
        <name val="Aptos"/>
        <family val="2"/>
        <scheme val="none"/>
      </font>
      <fill>
        <patternFill patternType="none">
          <fgColor indexed="64"/>
          <bgColor auto="1"/>
        </patternFill>
      </fill>
    </dxf>
    <dxf>
      <font>
        <b val="0"/>
        <i val="0"/>
        <strike val="0"/>
        <condense val="0"/>
        <extend val="0"/>
        <outline val="0"/>
        <shadow val="0"/>
        <u val="none"/>
        <vertAlign val="baseline"/>
        <sz val="10"/>
        <color theme="1"/>
        <name val="Aptos"/>
        <family val="2"/>
        <scheme val="none"/>
      </font>
    </dxf>
    <dxf>
      <font>
        <b val="0"/>
        <i val="0"/>
        <strike val="0"/>
        <condense val="0"/>
        <extend val="0"/>
        <outline val="0"/>
        <shadow val="0"/>
        <u val="none"/>
        <vertAlign val="baseline"/>
        <sz val="10"/>
        <color theme="1"/>
        <name val="Aptos"/>
        <family val="2"/>
        <scheme val="none"/>
      </font>
    </dxf>
    <dxf>
      <font>
        <b val="0"/>
        <i val="0"/>
        <strike val="0"/>
        <condense val="0"/>
        <extend val="0"/>
        <outline val="0"/>
        <shadow val="0"/>
        <u val="none"/>
        <vertAlign val="baseline"/>
        <sz val="10"/>
        <color theme="1"/>
        <name val="Aptos"/>
        <family val="2"/>
        <scheme val="none"/>
      </font>
    </dxf>
    <dxf>
      <font>
        <b val="0"/>
        <i val="0"/>
        <strike val="0"/>
        <condense val="0"/>
        <extend val="0"/>
        <outline val="0"/>
        <shadow val="0"/>
        <u val="none"/>
        <vertAlign val="baseline"/>
        <sz val="10"/>
        <color theme="1"/>
        <name val="Aptos"/>
        <family val="2"/>
        <scheme val="none"/>
      </font>
    </dxf>
    <dxf>
      <font>
        <b val="0"/>
        <i val="0"/>
        <strike val="0"/>
        <condense val="0"/>
        <extend val="0"/>
        <outline val="0"/>
        <shadow val="0"/>
        <u val="none"/>
        <vertAlign val="baseline"/>
        <sz val="10"/>
        <color theme="1"/>
        <name val="Aptos"/>
        <family val="2"/>
        <scheme val="none"/>
      </font>
    </dxf>
    <dxf>
      <font>
        <b val="0"/>
        <i val="0"/>
        <strike val="0"/>
        <condense val="0"/>
        <extend val="0"/>
        <outline val="0"/>
        <shadow val="0"/>
        <u val="none"/>
        <vertAlign val="baseline"/>
        <sz val="10"/>
        <color theme="1"/>
        <name val="Aptos"/>
        <family val="2"/>
        <scheme val="none"/>
      </font>
    </dxf>
    <dxf>
      <font>
        <b val="0"/>
        <i val="0"/>
        <strike val="0"/>
        <condense val="0"/>
        <extend val="0"/>
        <outline val="0"/>
        <shadow val="0"/>
        <u val="none"/>
        <vertAlign val="baseline"/>
        <sz val="10"/>
        <color theme="1"/>
        <name val="Aptos"/>
        <family val="2"/>
        <scheme val="none"/>
      </font>
    </dxf>
    <dxf>
      <font>
        <b val="0"/>
        <i val="0"/>
        <strike val="0"/>
        <condense val="0"/>
        <extend val="0"/>
        <outline val="0"/>
        <shadow val="0"/>
        <u val="none"/>
        <vertAlign val="baseline"/>
        <sz val="10"/>
        <color theme="1"/>
        <name val="Aptos"/>
        <family val="2"/>
        <scheme val="none"/>
      </font>
    </dxf>
    <dxf>
      <font>
        <b val="0"/>
        <i val="0"/>
        <strike val="0"/>
        <condense val="0"/>
        <extend val="0"/>
        <outline val="0"/>
        <shadow val="0"/>
        <u val="none"/>
        <vertAlign val="baseline"/>
        <sz val="10"/>
        <color theme="1"/>
        <name val="Aptos"/>
        <family val="2"/>
        <scheme val="none"/>
      </font>
    </dxf>
    <dxf>
      <font>
        <b val="0"/>
        <i val="0"/>
        <strike val="0"/>
        <condense val="0"/>
        <extend val="0"/>
        <outline val="0"/>
        <shadow val="0"/>
        <u val="none"/>
        <vertAlign val="baseline"/>
        <sz val="10"/>
        <color theme="1"/>
        <name val="Aptos"/>
        <family val="2"/>
        <scheme val="none"/>
      </font>
    </dxf>
    <dxf>
      <font>
        <b val="0"/>
        <i val="0"/>
        <strike val="0"/>
        <condense val="0"/>
        <extend val="0"/>
        <outline val="0"/>
        <shadow val="0"/>
        <u val="none"/>
        <vertAlign val="baseline"/>
        <sz val="10"/>
        <color theme="1"/>
        <name val="Aptos"/>
        <family val="2"/>
        <scheme val="none"/>
      </font>
      <numFmt numFmtId="21" formatCode="d\-mmm"/>
    </dxf>
    <dxf>
      <font>
        <b val="0"/>
        <i val="0"/>
        <strike val="0"/>
        <condense val="0"/>
        <extend val="0"/>
        <outline val="0"/>
        <shadow val="0"/>
        <u val="none"/>
        <vertAlign val="baseline"/>
        <sz val="10"/>
        <color theme="1"/>
        <name val="Aptos"/>
        <family val="2"/>
        <scheme val="none"/>
      </font>
    </dxf>
    <dxf>
      <font>
        <b val="0"/>
        <i val="0"/>
        <strike val="0"/>
        <condense val="0"/>
        <extend val="0"/>
        <outline val="0"/>
        <shadow val="0"/>
        <u val="none"/>
        <vertAlign val="baseline"/>
        <sz val="10"/>
        <color auto="1"/>
        <name val="Aptos"/>
        <family val="2"/>
        <scheme val="none"/>
      </font>
      <fill>
        <patternFill patternType="none">
          <fgColor indexed="64"/>
          <bgColor indexed="65"/>
        </patternFill>
      </fill>
    </dxf>
    <dxf>
      <font>
        <b val="0"/>
        <i val="0"/>
        <strike val="0"/>
        <condense val="0"/>
        <extend val="0"/>
        <outline val="0"/>
        <shadow val="0"/>
        <u val="none"/>
        <vertAlign val="baseline"/>
        <sz val="10"/>
        <color theme="1"/>
        <name val="Aptos"/>
        <family val="2"/>
        <scheme val="none"/>
      </font>
    </dxf>
    <dxf>
      <font>
        <b val="0"/>
        <i val="0"/>
        <strike val="0"/>
        <condense val="0"/>
        <extend val="0"/>
        <outline val="0"/>
        <shadow val="0"/>
        <u val="none"/>
        <vertAlign val="baseline"/>
        <sz val="10"/>
        <color theme="1"/>
        <name val="Aptos"/>
        <family val="2"/>
        <scheme val="none"/>
      </font>
    </dxf>
    <dxf>
      <font>
        <b val="0"/>
        <i val="0"/>
        <strike val="0"/>
        <condense val="0"/>
        <extend val="0"/>
        <outline val="0"/>
        <shadow val="0"/>
        <u val="none"/>
        <vertAlign val="baseline"/>
        <sz val="10"/>
        <color theme="1"/>
        <name val="Aptos"/>
        <family val="2"/>
        <scheme val="none"/>
      </font>
    </dxf>
    <dxf>
      <font>
        <b val="0"/>
        <i val="0"/>
        <strike val="0"/>
        <condense val="0"/>
        <extend val="0"/>
        <outline val="0"/>
        <shadow val="0"/>
        <u val="none"/>
        <vertAlign val="baseline"/>
        <sz val="10"/>
        <color theme="1"/>
        <name val="Aptos"/>
        <family val="2"/>
        <scheme val="none"/>
      </font>
    </dxf>
    <dxf>
      <font>
        <b val="0"/>
        <i val="0"/>
        <strike val="0"/>
        <condense val="0"/>
        <extend val="0"/>
        <outline val="0"/>
        <shadow val="0"/>
        <u val="none"/>
        <vertAlign val="baseline"/>
        <sz val="10"/>
        <color theme="1"/>
        <name val="Aptos"/>
        <family val="2"/>
        <scheme val="none"/>
      </font>
    </dxf>
    <dxf>
      <font>
        <b val="0"/>
        <i val="0"/>
        <strike val="0"/>
        <condense val="0"/>
        <extend val="0"/>
        <outline val="0"/>
        <shadow val="0"/>
        <u val="none"/>
        <vertAlign val="baseline"/>
        <sz val="10"/>
        <color theme="1"/>
        <name val="Aptos"/>
        <family val="2"/>
        <scheme val="none"/>
      </font>
    </dxf>
    <dxf>
      <font>
        <b val="0"/>
        <i val="0"/>
        <strike val="0"/>
        <condense val="0"/>
        <extend val="0"/>
        <outline val="0"/>
        <shadow val="0"/>
        <u val="none"/>
        <vertAlign val="baseline"/>
        <sz val="10"/>
        <color theme="1"/>
        <name val="Aptos"/>
        <family val="2"/>
        <scheme val="none"/>
      </font>
    </dxf>
    <dxf>
      <font>
        <b val="0"/>
        <i val="0"/>
        <strike val="0"/>
        <condense val="0"/>
        <extend val="0"/>
        <outline val="0"/>
        <shadow val="0"/>
        <u val="none"/>
        <vertAlign val="baseline"/>
        <sz val="10"/>
        <color theme="1"/>
        <name val="Aptos"/>
        <family val="2"/>
        <scheme val="none"/>
      </font>
    </dxf>
    <dxf>
      <font>
        <b val="0"/>
        <i val="0"/>
        <strike val="0"/>
        <condense val="0"/>
        <extend val="0"/>
        <outline val="0"/>
        <shadow val="0"/>
        <u val="none"/>
        <vertAlign val="baseline"/>
        <sz val="10"/>
        <color theme="1"/>
        <name val="Aptos"/>
        <family val="2"/>
        <scheme val="none"/>
      </font>
    </dxf>
    <dxf>
      <font>
        <b val="0"/>
        <i val="0"/>
        <strike val="0"/>
        <condense val="0"/>
        <extend val="0"/>
        <outline val="0"/>
        <shadow val="0"/>
        <u val="none"/>
        <vertAlign val="baseline"/>
        <sz val="10"/>
        <color theme="1"/>
        <name val="Aptos"/>
        <family val="2"/>
        <scheme val="none"/>
      </font>
      <numFmt numFmtId="13" formatCode="0%"/>
    </dxf>
    <dxf>
      <font>
        <b val="0"/>
        <i val="0"/>
        <strike val="0"/>
        <condense val="0"/>
        <extend val="0"/>
        <outline val="0"/>
        <shadow val="0"/>
        <u val="none"/>
        <vertAlign val="baseline"/>
        <sz val="10"/>
        <color theme="1"/>
        <name val="Aptos"/>
        <family val="2"/>
        <scheme val="none"/>
      </font>
      <numFmt numFmtId="21" formatCode="d\-mmm"/>
    </dxf>
    <dxf>
      <font>
        <b val="0"/>
        <i val="0"/>
        <strike val="0"/>
        <condense val="0"/>
        <extend val="0"/>
        <outline val="0"/>
        <shadow val="0"/>
        <u val="none"/>
        <vertAlign val="baseline"/>
        <sz val="10"/>
        <color theme="1"/>
        <name val="Aptos"/>
        <family val="2"/>
        <scheme val="none"/>
      </font>
    </dxf>
    <dxf>
      <font>
        <b val="0"/>
        <i val="0"/>
        <strike val="0"/>
        <condense val="0"/>
        <extend val="0"/>
        <outline val="0"/>
        <shadow val="0"/>
        <u val="none"/>
        <vertAlign val="baseline"/>
        <sz val="10"/>
        <color auto="1"/>
        <name val="Aptos"/>
        <family val="2"/>
        <scheme val="none"/>
      </font>
      <fill>
        <patternFill patternType="none">
          <fgColor indexed="64"/>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Yields</a:t>
            </a:r>
            <a:r>
              <a:rPr lang="en-US" baseline="0"/>
              <a:t> by date</a:t>
            </a:r>
          </a:p>
        </c:rich>
      </c:tx>
      <c:layout>
        <c:manualLayout>
          <c:xMode val="edge"/>
          <c:yMode val="edge"/>
          <c:x val="0.40927282099428203"/>
          <c:y val="2.798272122048731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0"/>
          <c:tx>
            <c:strRef>
              <c:f>'Corn or Soybean'!$C$86:$C$87</c:f>
              <c:strCache>
                <c:ptCount val="2"/>
                <c:pt idx="0">
                  <c:v>North central</c:v>
                </c:pt>
                <c:pt idx="1">
                  <c:v>Corn</c:v>
                </c:pt>
              </c:strCache>
            </c:strRef>
          </c:tx>
          <c:spPr>
            <a:ln w="28575" cap="rnd">
              <a:solidFill>
                <a:srgbClr val="FF0000"/>
              </a:solidFill>
              <a:prstDash val="dash"/>
              <a:round/>
            </a:ln>
            <a:effectLst/>
          </c:spPr>
          <c:marker>
            <c:symbol val="none"/>
          </c:marker>
          <c:cat>
            <c:multiLvlStrRef>
              <c:f>'Corn or Soybean'!$B$88:$B$452</c:f>
            </c:multiLvlStrRef>
          </c:cat>
          <c:val>
            <c:numRef>
              <c:f>'Corn or Soybean'!$C$88:$C$452</c:f>
            </c:numRef>
          </c:val>
          <c:smooth val="0"/>
          <c:extLst>
            <c:ext xmlns:c16="http://schemas.microsoft.com/office/drawing/2014/chart" uri="{C3380CC4-5D6E-409C-BE32-E72D297353CC}">
              <c16:uniqueId val="{00000001-5087-45BF-A94C-F706FB9DA743}"/>
            </c:ext>
          </c:extLst>
        </c:ser>
        <c:ser>
          <c:idx val="3"/>
          <c:order val="2"/>
          <c:tx>
            <c:strRef>
              <c:f>'Corn or Soybean'!$E$86:$E$87</c:f>
              <c:strCache>
                <c:ptCount val="2"/>
                <c:pt idx="0">
                  <c:v>Southeast</c:v>
                </c:pt>
                <c:pt idx="1">
                  <c:v>Corn</c:v>
                </c:pt>
              </c:strCache>
            </c:strRef>
          </c:tx>
          <c:spPr>
            <a:ln w="28575" cap="rnd">
              <a:solidFill>
                <a:srgbClr val="FF0000"/>
              </a:solidFill>
              <a:round/>
            </a:ln>
            <a:effectLst/>
          </c:spPr>
          <c:marker>
            <c:symbol val="none"/>
          </c:marker>
          <c:cat>
            <c:multiLvlStrRef>
              <c:f>'Corn or Soybean'!$B$88:$B$452</c:f>
            </c:multiLvlStrRef>
          </c:cat>
          <c:val>
            <c:numRef>
              <c:f>'Corn or Soybean'!$E$88:$E$452</c:f>
            </c:numRef>
          </c:val>
          <c:smooth val="0"/>
          <c:extLst>
            <c:ext xmlns:c16="http://schemas.microsoft.com/office/drawing/2014/chart" uri="{C3380CC4-5D6E-409C-BE32-E72D297353CC}">
              <c16:uniqueId val="{00000003-5087-45BF-A94C-F706FB9DA743}"/>
            </c:ext>
          </c:extLst>
        </c:ser>
        <c:ser>
          <c:idx val="5"/>
          <c:order val="4"/>
          <c:tx>
            <c:strRef>
              <c:f>'Corn or Soybean'!$G$86:$G$87</c:f>
              <c:strCache>
                <c:ptCount val="2"/>
                <c:pt idx="0">
                  <c:v>Southwest</c:v>
                </c:pt>
                <c:pt idx="1">
                  <c:v>Corn</c:v>
                </c:pt>
              </c:strCache>
            </c:strRef>
          </c:tx>
          <c:spPr>
            <a:ln w="28575" cap="rnd">
              <a:solidFill>
                <a:srgbClr val="FF0000"/>
              </a:solidFill>
              <a:prstDash val="sysDot"/>
              <a:round/>
            </a:ln>
            <a:effectLst/>
          </c:spPr>
          <c:marker>
            <c:symbol val="none"/>
          </c:marker>
          <c:cat>
            <c:multiLvlStrRef>
              <c:f>'Corn or Soybean'!$B$88:$B$452</c:f>
            </c:multiLvlStrRef>
          </c:cat>
          <c:val>
            <c:numRef>
              <c:f>'Corn or Soybean'!$G$88:$G$452</c:f>
            </c:numRef>
          </c:val>
          <c:smooth val="0"/>
          <c:extLst>
            <c:ext xmlns:c16="http://schemas.microsoft.com/office/drawing/2014/chart" uri="{C3380CC4-5D6E-409C-BE32-E72D297353CC}">
              <c16:uniqueId val="{00000005-5087-45BF-A94C-F706FB9DA743}"/>
            </c:ext>
          </c:extLst>
        </c:ser>
        <c:dLbls>
          <c:showLegendKey val="0"/>
          <c:showVal val="0"/>
          <c:showCatName val="0"/>
          <c:showSerName val="0"/>
          <c:showPercent val="0"/>
          <c:showBubbleSize val="0"/>
        </c:dLbls>
        <c:marker val="1"/>
        <c:smooth val="0"/>
        <c:axId val="2009712095"/>
        <c:axId val="2009706815"/>
      </c:lineChart>
      <c:lineChart>
        <c:grouping val="standard"/>
        <c:varyColors val="0"/>
        <c:ser>
          <c:idx val="2"/>
          <c:order val="1"/>
          <c:tx>
            <c:strRef>
              <c:f>'Corn or Soybean'!$D$86:$D$87</c:f>
              <c:strCache>
                <c:ptCount val="2"/>
                <c:pt idx="0">
                  <c:v>North central</c:v>
                </c:pt>
                <c:pt idx="1">
                  <c:v>Soybean</c:v>
                </c:pt>
              </c:strCache>
            </c:strRef>
          </c:tx>
          <c:spPr>
            <a:ln w="28575" cap="rnd">
              <a:solidFill>
                <a:schemeClr val="accent3"/>
              </a:solidFill>
              <a:prstDash val="dash"/>
              <a:round/>
            </a:ln>
            <a:effectLst/>
          </c:spPr>
          <c:marker>
            <c:symbol val="none"/>
          </c:marker>
          <c:cat>
            <c:multiLvlStrRef>
              <c:f>'Corn or Soybean'!$B$88:$B$452</c:f>
            </c:multiLvlStrRef>
          </c:cat>
          <c:val>
            <c:numRef>
              <c:f>'Corn or Soybean'!$D$88:$D$452</c:f>
            </c:numRef>
          </c:val>
          <c:smooth val="0"/>
          <c:extLst>
            <c:ext xmlns:c16="http://schemas.microsoft.com/office/drawing/2014/chart" uri="{C3380CC4-5D6E-409C-BE32-E72D297353CC}">
              <c16:uniqueId val="{00000002-5087-45BF-A94C-F706FB9DA743}"/>
            </c:ext>
          </c:extLst>
        </c:ser>
        <c:ser>
          <c:idx val="4"/>
          <c:order val="3"/>
          <c:tx>
            <c:strRef>
              <c:f>'Corn or Soybean'!$F$86:$F$87</c:f>
              <c:strCache>
                <c:ptCount val="2"/>
                <c:pt idx="0">
                  <c:v>Southeast</c:v>
                </c:pt>
                <c:pt idx="1">
                  <c:v>Soybean</c:v>
                </c:pt>
              </c:strCache>
            </c:strRef>
          </c:tx>
          <c:spPr>
            <a:ln w="28575" cap="rnd">
              <a:solidFill>
                <a:schemeClr val="accent3"/>
              </a:solidFill>
              <a:round/>
            </a:ln>
            <a:effectLst/>
          </c:spPr>
          <c:marker>
            <c:symbol val="none"/>
          </c:marker>
          <c:cat>
            <c:multiLvlStrRef>
              <c:f>'Corn or Soybean'!$B$88:$B$452</c:f>
            </c:multiLvlStrRef>
          </c:cat>
          <c:val>
            <c:numRef>
              <c:f>'Corn or Soybean'!$F$88:$F$452</c:f>
            </c:numRef>
          </c:val>
          <c:smooth val="0"/>
          <c:extLst>
            <c:ext xmlns:c16="http://schemas.microsoft.com/office/drawing/2014/chart" uri="{C3380CC4-5D6E-409C-BE32-E72D297353CC}">
              <c16:uniqueId val="{00000004-5087-45BF-A94C-F706FB9DA743}"/>
            </c:ext>
          </c:extLst>
        </c:ser>
        <c:ser>
          <c:idx val="6"/>
          <c:order val="5"/>
          <c:tx>
            <c:strRef>
              <c:f>'Corn or Soybean'!$H$86:$H$87</c:f>
              <c:strCache>
                <c:ptCount val="2"/>
                <c:pt idx="0">
                  <c:v>Southwest</c:v>
                </c:pt>
                <c:pt idx="1">
                  <c:v>Soybean</c:v>
                </c:pt>
              </c:strCache>
            </c:strRef>
          </c:tx>
          <c:spPr>
            <a:ln w="28575" cap="rnd">
              <a:solidFill>
                <a:schemeClr val="accent3"/>
              </a:solidFill>
              <a:prstDash val="sysDot"/>
              <a:round/>
            </a:ln>
            <a:effectLst/>
          </c:spPr>
          <c:marker>
            <c:symbol val="none"/>
          </c:marker>
          <c:cat>
            <c:multiLvlStrRef>
              <c:f>'Corn or Soybean'!$B$88:$B$452</c:f>
            </c:multiLvlStrRef>
          </c:cat>
          <c:val>
            <c:numRef>
              <c:f>'Corn or Soybean'!$H$88:$H$452</c:f>
            </c:numRef>
          </c:val>
          <c:smooth val="0"/>
          <c:extLst>
            <c:ext xmlns:c16="http://schemas.microsoft.com/office/drawing/2014/chart" uri="{C3380CC4-5D6E-409C-BE32-E72D297353CC}">
              <c16:uniqueId val="{00000006-5087-45BF-A94C-F706FB9DA743}"/>
            </c:ext>
          </c:extLst>
        </c:ser>
        <c:dLbls>
          <c:showLegendKey val="0"/>
          <c:showVal val="0"/>
          <c:showCatName val="0"/>
          <c:showSerName val="0"/>
          <c:showPercent val="0"/>
          <c:showBubbleSize val="0"/>
        </c:dLbls>
        <c:marker val="1"/>
        <c:smooth val="0"/>
        <c:axId val="724765440"/>
        <c:axId val="1236577120"/>
      </c:lineChart>
      <c:catAx>
        <c:axId val="20097120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09706815"/>
        <c:crosses val="autoZero"/>
        <c:auto val="1"/>
        <c:lblAlgn val="ctr"/>
        <c:lblOffset val="100"/>
        <c:tickLblSkip val="30"/>
        <c:noMultiLvlLbl val="0"/>
      </c:catAx>
      <c:valAx>
        <c:axId val="2009706815"/>
        <c:scaling>
          <c:orientation val="minMax"/>
          <c:max val="250"/>
          <c:min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09712095"/>
        <c:crosses val="autoZero"/>
        <c:crossBetween val="between"/>
        <c:majorUnit val="25"/>
      </c:valAx>
      <c:valAx>
        <c:axId val="1236577120"/>
        <c:scaling>
          <c:orientation val="minMax"/>
          <c:min val="0"/>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4765440"/>
        <c:crosses val="max"/>
        <c:crossBetween val="between"/>
      </c:valAx>
      <c:catAx>
        <c:axId val="724765440"/>
        <c:scaling>
          <c:orientation val="minMax"/>
        </c:scaling>
        <c:delete val="1"/>
        <c:axPos val="b"/>
        <c:numFmt formatCode="General" sourceLinked="1"/>
        <c:majorTickMark val="out"/>
        <c:minorTickMark val="none"/>
        <c:tickLblPos val="nextTo"/>
        <c:crossAx val="123657712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0"/>
          <c:spPr>
            <a:ln w="28575" cap="rnd">
              <a:solidFill>
                <a:schemeClr val="accent2"/>
              </a:solidFill>
              <a:round/>
            </a:ln>
            <a:effectLst/>
          </c:spPr>
          <c:marker>
            <c:symbol val="none"/>
          </c:marker>
          <c:val>
            <c:numRef>
              <c:f>'Corn or Soybean'!$W$110:$AF$110</c:f>
            </c:numRef>
          </c:val>
          <c:smooth val="0"/>
          <c:extLst>
            <c:ext xmlns:c16="http://schemas.microsoft.com/office/drawing/2014/chart" uri="{C3380CC4-5D6E-409C-BE32-E72D297353CC}">
              <c16:uniqueId val="{00000001-74EE-4BCB-93BD-B79E43C451FA}"/>
            </c:ext>
          </c:extLst>
        </c:ser>
        <c:dLbls>
          <c:showLegendKey val="0"/>
          <c:showVal val="0"/>
          <c:showCatName val="0"/>
          <c:showSerName val="0"/>
          <c:showPercent val="0"/>
          <c:showBubbleSize val="0"/>
        </c:dLbls>
        <c:marker val="1"/>
        <c:smooth val="0"/>
        <c:axId val="1222962271"/>
        <c:axId val="1222959871"/>
      </c:lineChart>
      <c:catAx>
        <c:axId val="1222962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2959871"/>
        <c:crosses val="autoZero"/>
        <c:auto val="1"/>
        <c:lblAlgn val="ctr"/>
        <c:lblOffset val="100"/>
        <c:noMultiLvlLbl val="0"/>
      </c:catAx>
      <c:valAx>
        <c:axId val="122295987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29622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Yields</a:t>
            </a:r>
            <a:r>
              <a:rPr lang="en-US" baseline="0"/>
              <a:t> by date</a:t>
            </a:r>
          </a:p>
        </c:rich>
      </c:tx>
      <c:layout>
        <c:manualLayout>
          <c:xMode val="edge"/>
          <c:yMode val="edge"/>
          <c:x val="0.40927282099428203"/>
          <c:y val="2.798272122048731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0"/>
          <c:tx>
            <c:strRef>
              <c:f>'Corn or Soybean'!$C$86:$C$87</c:f>
              <c:strCache>
                <c:ptCount val="2"/>
                <c:pt idx="0">
                  <c:v>North central</c:v>
                </c:pt>
                <c:pt idx="1">
                  <c:v>Corn</c:v>
                </c:pt>
              </c:strCache>
            </c:strRef>
          </c:tx>
          <c:spPr>
            <a:ln w="28575" cap="rnd">
              <a:solidFill>
                <a:srgbClr val="FF0000"/>
              </a:solidFill>
              <a:prstDash val="dash"/>
              <a:round/>
            </a:ln>
            <a:effectLst/>
          </c:spPr>
          <c:marker>
            <c:symbol val="none"/>
          </c:marker>
          <c:cat>
            <c:multiLvlStrRef>
              <c:f>'Corn or Soybean'!$B$167:$B$284</c:f>
            </c:multiLvlStrRef>
          </c:cat>
          <c:val>
            <c:numRef>
              <c:f>'Corn or Soybean'!$C$167:$C$284</c:f>
            </c:numRef>
          </c:val>
          <c:smooth val="0"/>
          <c:extLst>
            <c:ext xmlns:c16="http://schemas.microsoft.com/office/drawing/2014/chart" uri="{C3380CC4-5D6E-409C-BE32-E72D297353CC}">
              <c16:uniqueId val="{00000000-28A3-4A6A-93A2-93A3FF55C39F}"/>
            </c:ext>
          </c:extLst>
        </c:ser>
        <c:ser>
          <c:idx val="3"/>
          <c:order val="2"/>
          <c:tx>
            <c:strRef>
              <c:f>'Corn or Soybean'!$E$86:$E$87</c:f>
              <c:strCache>
                <c:ptCount val="2"/>
                <c:pt idx="0">
                  <c:v>Southeast</c:v>
                </c:pt>
                <c:pt idx="1">
                  <c:v>Corn</c:v>
                </c:pt>
              </c:strCache>
            </c:strRef>
          </c:tx>
          <c:spPr>
            <a:ln w="28575" cap="rnd">
              <a:solidFill>
                <a:srgbClr val="FF0000"/>
              </a:solidFill>
              <a:round/>
            </a:ln>
            <a:effectLst/>
          </c:spPr>
          <c:marker>
            <c:symbol val="none"/>
          </c:marker>
          <c:cat>
            <c:multiLvlStrRef>
              <c:f>'Corn or Soybean'!$B$167:$B$284</c:f>
            </c:multiLvlStrRef>
          </c:cat>
          <c:val>
            <c:numRef>
              <c:f>'Corn or Soybean'!$E$167:$E$284</c:f>
            </c:numRef>
          </c:val>
          <c:smooth val="0"/>
          <c:extLst>
            <c:ext xmlns:c16="http://schemas.microsoft.com/office/drawing/2014/chart" uri="{C3380CC4-5D6E-409C-BE32-E72D297353CC}">
              <c16:uniqueId val="{00000001-28A3-4A6A-93A2-93A3FF55C39F}"/>
            </c:ext>
          </c:extLst>
        </c:ser>
        <c:ser>
          <c:idx val="5"/>
          <c:order val="4"/>
          <c:tx>
            <c:strRef>
              <c:f>'Corn or Soybean'!$G$86:$G$87</c:f>
              <c:strCache>
                <c:ptCount val="2"/>
                <c:pt idx="0">
                  <c:v>Southwest</c:v>
                </c:pt>
                <c:pt idx="1">
                  <c:v>Corn</c:v>
                </c:pt>
              </c:strCache>
            </c:strRef>
          </c:tx>
          <c:spPr>
            <a:ln w="28575" cap="rnd">
              <a:solidFill>
                <a:srgbClr val="FF0000"/>
              </a:solidFill>
              <a:prstDash val="sysDot"/>
              <a:round/>
            </a:ln>
            <a:effectLst/>
          </c:spPr>
          <c:marker>
            <c:symbol val="none"/>
          </c:marker>
          <c:cat>
            <c:multiLvlStrRef>
              <c:f>'Corn or Soybean'!$B$167:$B$284</c:f>
            </c:multiLvlStrRef>
          </c:cat>
          <c:val>
            <c:numRef>
              <c:f>'Corn or Soybean'!$G$167:$G$284</c:f>
            </c:numRef>
          </c:val>
          <c:smooth val="0"/>
          <c:extLst>
            <c:ext xmlns:c16="http://schemas.microsoft.com/office/drawing/2014/chart" uri="{C3380CC4-5D6E-409C-BE32-E72D297353CC}">
              <c16:uniqueId val="{00000002-28A3-4A6A-93A2-93A3FF55C39F}"/>
            </c:ext>
          </c:extLst>
        </c:ser>
        <c:dLbls>
          <c:showLegendKey val="0"/>
          <c:showVal val="0"/>
          <c:showCatName val="0"/>
          <c:showSerName val="0"/>
          <c:showPercent val="0"/>
          <c:showBubbleSize val="0"/>
        </c:dLbls>
        <c:marker val="1"/>
        <c:smooth val="0"/>
        <c:axId val="2009712095"/>
        <c:axId val="2009706815"/>
      </c:lineChart>
      <c:lineChart>
        <c:grouping val="standard"/>
        <c:varyColors val="0"/>
        <c:ser>
          <c:idx val="2"/>
          <c:order val="1"/>
          <c:tx>
            <c:strRef>
              <c:f>'Corn or Soybean'!$D$86:$D$87</c:f>
              <c:strCache>
                <c:ptCount val="2"/>
                <c:pt idx="0">
                  <c:v>North central</c:v>
                </c:pt>
                <c:pt idx="1">
                  <c:v>Soybean</c:v>
                </c:pt>
              </c:strCache>
            </c:strRef>
          </c:tx>
          <c:spPr>
            <a:ln w="28575" cap="rnd">
              <a:solidFill>
                <a:schemeClr val="accent3"/>
              </a:solidFill>
              <a:prstDash val="dash"/>
              <a:round/>
            </a:ln>
            <a:effectLst/>
          </c:spPr>
          <c:marker>
            <c:symbol val="none"/>
          </c:marker>
          <c:cat>
            <c:multiLvlStrRef>
              <c:f>'Corn or Soybean'!$B$167:$B$284</c:f>
            </c:multiLvlStrRef>
          </c:cat>
          <c:val>
            <c:numRef>
              <c:f>'Corn or Soybean'!$D$167:$D$284</c:f>
            </c:numRef>
          </c:val>
          <c:smooth val="0"/>
          <c:extLst>
            <c:ext xmlns:c16="http://schemas.microsoft.com/office/drawing/2014/chart" uri="{C3380CC4-5D6E-409C-BE32-E72D297353CC}">
              <c16:uniqueId val="{00000003-28A3-4A6A-93A2-93A3FF55C39F}"/>
            </c:ext>
          </c:extLst>
        </c:ser>
        <c:ser>
          <c:idx val="4"/>
          <c:order val="3"/>
          <c:tx>
            <c:strRef>
              <c:f>'Corn or Soybean'!$F$86:$F$87</c:f>
              <c:strCache>
                <c:ptCount val="2"/>
                <c:pt idx="0">
                  <c:v>Southeast</c:v>
                </c:pt>
                <c:pt idx="1">
                  <c:v>Soybean</c:v>
                </c:pt>
              </c:strCache>
            </c:strRef>
          </c:tx>
          <c:spPr>
            <a:ln w="28575" cap="rnd">
              <a:solidFill>
                <a:schemeClr val="accent3"/>
              </a:solidFill>
              <a:round/>
            </a:ln>
            <a:effectLst/>
          </c:spPr>
          <c:marker>
            <c:symbol val="none"/>
          </c:marker>
          <c:cat>
            <c:multiLvlStrRef>
              <c:f>'Corn or Soybean'!$B$167:$B$284</c:f>
            </c:multiLvlStrRef>
          </c:cat>
          <c:val>
            <c:numRef>
              <c:f>'Corn or Soybean'!$F$167:$F$284</c:f>
            </c:numRef>
          </c:val>
          <c:smooth val="0"/>
          <c:extLst>
            <c:ext xmlns:c16="http://schemas.microsoft.com/office/drawing/2014/chart" uri="{C3380CC4-5D6E-409C-BE32-E72D297353CC}">
              <c16:uniqueId val="{00000004-28A3-4A6A-93A2-93A3FF55C39F}"/>
            </c:ext>
          </c:extLst>
        </c:ser>
        <c:ser>
          <c:idx val="6"/>
          <c:order val="5"/>
          <c:tx>
            <c:strRef>
              <c:f>'Corn or Soybean'!$H$86:$H$87</c:f>
              <c:strCache>
                <c:ptCount val="2"/>
                <c:pt idx="0">
                  <c:v>Southwest</c:v>
                </c:pt>
                <c:pt idx="1">
                  <c:v>Soybean</c:v>
                </c:pt>
              </c:strCache>
            </c:strRef>
          </c:tx>
          <c:spPr>
            <a:ln w="28575" cap="rnd">
              <a:solidFill>
                <a:schemeClr val="accent3"/>
              </a:solidFill>
              <a:prstDash val="sysDot"/>
              <a:round/>
            </a:ln>
            <a:effectLst/>
          </c:spPr>
          <c:marker>
            <c:symbol val="none"/>
          </c:marker>
          <c:cat>
            <c:multiLvlStrRef>
              <c:f>'Corn or Soybean'!$B$167:$B$284</c:f>
            </c:multiLvlStrRef>
          </c:cat>
          <c:val>
            <c:numRef>
              <c:f>'Corn or Soybean'!$H$167:$H$284</c:f>
            </c:numRef>
          </c:val>
          <c:smooth val="0"/>
          <c:extLst>
            <c:ext xmlns:c16="http://schemas.microsoft.com/office/drawing/2014/chart" uri="{C3380CC4-5D6E-409C-BE32-E72D297353CC}">
              <c16:uniqueId val="{00000005-28A3-4A6A-93A2-93A3FF55C39F}"/>
            </c:ext>
          </c:extLst>
        </c:ser>
        <c:dLbls>
          <c:showLegendKey val="0"/>
          <c:showVal val="0"/>
          <c:showCatName val="0"/>
          <c:showSerName val="0"/>
          <c:showPercent val="0"/>
          <c:showBubbleSize val="0"/>
        </c:dLbls>
        <c:marker val="1"/>
        <c:smooth val="0"/>
        <c:axId val="724765440"/>
        <c:axId val="1236577120"/>
      </c:lineChart>
      <c:catAx>
        <c:axId val="20097120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09706815"/>
        <c:crosses val="autoZero"/>
        <c:auto val="1"/>
        <c:lblAlgn val="ctr"/>
        <c:lblOffset val="100"/>
        <c:tickLblSkip val="30"/>
        <c:noMultiLvlLbl val="0"/>
      </c:catAx>
      <c:valAx>
        <c:axId val="2009706815"/>
        <c:scaling>
          <c:orientation val="minMax"/>
          <c:min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09712095"/>
        <c:crosses val="autoZero"/>
        <c:crossBetween val="between"/>
        <c:majorUnit val="25"/>
      </c:valAx>
      <c:valAx>
        <c:axId val="1236577120"/>
        <c:scaling>
          <c:orientation val="minMax"/>
          <c:min val="0"/>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4765440"/>
        <c:crosses val="max"/>
        <c:crossBetween val="between"/>
      </c:valAx>
      <c:catAx>
        <c:axId val="724765440"/>
        <c:scaling>
          <c:orientation val="minMax"/>
        </c:scaling>
        <c:delete val="1"/>
        <c:axPos val="b"/>
        <c:numFmt formatCode="General" sourceLinked="1"/>
        <c:majorTickMark val="out"/>
        <c:minorTickMark val="none"/>
        <c:tickLblPos val="nextTo"/>
        <c:crossAx val="123657712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3848100</xdr:colOff>
      <xdr:row>4</xdr:row>
      <xdr:rowOff>28576</xdr:rowOff>
    </xdr:from>
    <xdr:to>
      <xdr:col>4</xdr:col>
      <xdr:colOff>1186</xdr:colOff>
      <xdr:row>6</xdr:row>
      <xdr:rowOff>152401</xdr:rowOff>
    </xdr:to>
    <xdr:pic>
      <xdr:nvPicPr>
        <xdr:cNvPr id="4" name="Picture 3">
          <a:extLst>
            <a:ext uri="{FF2B5EF4-FFF2-40B4-BE49-F238E27FC236}">
              <a16:creationId xmlns:a16="http://schemas.microsoft.com/office/drawing/2014/main" id="{D2EFA36B-CDD4-4FE5-82CC-5E429F56E0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3375" y="733426"/>
          <a:ext cx="1772836" cy="4857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447033</xdr:colOff>
      <xdr:row>109</xdr:row>
      <xdr:rowOff>28035</xdr:rowOff>
    </xdr:from>
    <xdr:to>
      <xdr:col>14</xdr:col>
      <xdr:colOff>381000</xdr:colOff>
      <xdr:row>132</xdr:row>
      <xdr:rowOff>158749</xdr:rowOff>
    </xdr:to>
    <xdr:graphicFrame macro="">
      <xdr:nvGraphicFramePr>
        <xdr:cNvPr id="2" name="Chart 1">
          <a:extLst>
            <a:ext uri="{FF2B5EF4-FFF2-40B4-BE49-F238E27FC236}">
              <a16:creationId xmlns:a16="http://schemas.microsoft.com/office/drawing/2014/main" id="{1BB18E17-1A6E-D58C-12A1-6CC3896218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xdr:col>
      <xdr:colOff>793749</xdr:colOff>
      <xdr:row>64</xdr:row>
      <xdr:rowOff>100807</xdr:rowOff>
    </xdr:from>
    <xdr:to>
      <xdr:col>33</xdr:col>
      <xdr:colOff>507999</xdr:colOff>
      <xdr:row>78</xdr:row>
      <xdr:rowOff>113507</xdr:rowOff>
    </xdr:to>
    <xdr:graphicFrame macro="">
      <xdr:nvGraphicFramePr>
        <xdr:cNvPr id="3" name="Chart 2">
          <a:extLst>
            <a:ext uri="{FF2B5EF4-FFF2-40B4-BE49-F238E27FC236}">
              <a16:creationId xmlns:a16="http://schemas.microsoft.com/office/drawing/2014/main" id="{F32745B9-25C3-19BA-1925-FE81C3D8FB8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420688</xdr:colOff>
      <xdr:row>85</xdr:row>
      <xdr:rowOff>0</xdr:rowOff>
    </xdr:from>
    <xdr:to>
      <xdr:col>14</xdr:col>
      <xdr:colOff>561030</xdr:colOff>
      <xdr:row>107</xdr:row>
      <xdr:rowOff>91027</xdr:rowOff>
    </xdr:to>
    <xdr:graphicFrame macro="">
      <xdr:nvGraphicFramePr>
        <xdr:cNvPr id="4" name="Chart 3">
          <a:extLst>
            <a:ext uri="{FF2B5EF4-FFF2-40B4-BE49-F238E27FC236}">
              <a16:creationId xmlns:a16="http://schemas.microsoft.com/office/drawing/2014/main" id="{86CDA621-22E8-426E-ABE0-C21AFD4DEE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605F781-7BC3-4C9B-830D-CEB50B105448}" name="Table2" displayName="Table2" ref="V81:AF92" totalsRowShown="0" headerRowDxfId="81" dataDxfId="80" dataCellStyle="Percent">
  <autoFilter ref="V81:AF92" xr:uid="{0605F781-7BC3-4C9B-830D-CEB50B105448}"/>
  <tableColumns count="11">
    <tableColumn id="1" xr3:uid="{BAF06ED4-1694-4DEC-811C-73FCBD88BE47}" name="Stand count" dataDxfId="79"/>
    <tableColumn id="2" xr3:uid="{7B4CC9CB-885B-47AA-BB62-B38198458C45}" name="9000" dataDxfId="78" dataCellStyle="Percent">
      <calculatedColumnFormula>MIN(1,($Q$57+$U82*$Q$58+($U82^2*$Q$59))/$Y$58*($X$72+W$81*$X$73+(W$81^2*$X$74))/100)</calculatedColumnFormula>
    </tableColumn>
    <tableColumn id="3" xr3:uid="{AED72307-7FD4-4D77-A9A9-57744250C7C5}" name="12000" dataDxfId="77" dataCellStyle="Percent">
      <calculatedColumnFormula>MIN(1,($Q$57+$U82*$Q$58+($U82^2*$Q$59))/$Y$58*($X$72+X$81*$X$73+(X$81^2*$X$74))/100)</calculatedColumnFormula>
    </tableColumn>
    <tableColumn id="4" xr3:uid="{262E0676-898C-4B3B-B0D5-3AD141F90793}" name="15000" dataDxfId="76" dataCellStyle="Percent">
      <calculatedColumnFormula>MIN(1,($Q$57+$U82*$Q$58+($U82^2*$Q$59))/$Y$58*($X$72+Y$81*$X$73+(Y$81^2*$X$74))/100)</calculatedColumnFormula>
    </tableColumn>
    <tableColumn id="5" xr3:uid="{9093043A-E664-4821-9345-4669882913D4}" name="18000" dataDxfId="75" dataCellStyle="Percent">
      <calculatedColumnFormula>MIN(1,($Q$57+$U82*$Q$58+($U82^2*$Q$59))/$Y$58*($X$72+Z$81*$X$73+(Z$81^2*$X$74))/100)</calculatedColumnFormula>
    </tableColumn>
    <tableColumn id="6" xr3:uid="{936A18DC-5AAC-4E5A-B7B3-376B6BC7C76F}" name="21000" dataDxfId="74" dataCellStyle="Percent">
      <calculatedColumnFormula>MIN(1,($Q$57+$U82*$Q$58+($U82^2*$Q$59))/$Y$58*($X$72+AA$81*$X$73+(AA$81^2*$X$74))/100)</calculatedColumnFormula>
    </tableColumn>
    <tableColumn id="7" xr3:uid="{48EA255F-7C90-4D4B-82A2-6E29FA24EB5E}" name="24000" dataDxfId="73" dataCellStyle="Percent">
      <calculatedColumnFormula>MIN(1,($Q$57+$U82*$Q$58+($U82^2*$Q$59))/$Y$58*($X$72+AB$81*$X$73+(AB$81^2*$X$74))/100)</calculatedColumnFormula>
    </tableColumn>
    <tableColumn id="8" xr3:uid="{4B7589F4-0A4A-4260-AF02-7F2BAB9E013F}" name="27000" dataDxfId="72" dataCellStyle="Percent">
      <calculatedColumnFormula>MIN(1,($Q$57+$U82*$Q$58+($U82^2*$Q$59))/$Y$58*($X$72+AC$81*$X$73+(AC$81^2*$X$74))/100)</calculatedColumnFormula>
    </tableColumn>
    <tableColumn id="9" xr3:uid="{D85052F5-A2A2-4028-8F98-00FE3FC6BB6C}" name="30000" dataDxfId="71" dataCellStyle="Percent">
      <calculatedColumnFormula>MIN(1,($Q$57+$U82*$Q$58+($U82^2*$Q$59))/$Y$58*($X$72+AD$81*$X$73+(AD$81^2*$X$74))/100)</calculatedColumnFormula>
    </tableColumn>
    <tableColumn id="10" xr3:uid="{512839A0-E988-44CC-BF87-A0B915CD88CE}" name="33000" dataDxfId="70" dataCellStyle="Percent">
      <calculatedColumnFormula>MIN(1,($Q$57+$U82*$Q$58+($U82^2*$Q$59))/$Y$58*($X$72+AE$81*$X$73+(AE$81^2*$X$74))/100)</calculatedColumnFormula>
    </tableColumn>
    <tableColumn id="11" xr3:uid="{3489306C-8950-4B8C-AF2B-E12CF6CCD733}" name="36000" dataDxfId="69" dataCellStyle="Percent">
      <calculatedColumnFormula>MIN(1,($Q$57+$U82*$Q$58+($U82^2*$Q$59))/$Y$58*($X$72+AF$81*$X$73+(AF$81^2*$X$74))/100)</calculatedColumnFormula>
    </tableColumn>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0D175F5-4865-4C25-8AD2-EF4469CD0000}" name="Table3" displayName="Table3" ref="V96:AF108" totalsRowShown="0" headerRowDxfId="68" dataDxfId="67" dataCellStyle="Percent">
  <autoFilter ref="V96:AF108" xr:uid="{60D175F5-4865-4C25-8AD2-EF4469CD0000}"/>
  <tableColumns count="11">
    <tableColumn id="1" xr3:uid="{4EBAB124-7D24-4599-A086-BE2A2EA2A1A1}" name="Stand count" dataDxfId="66"/>
    <tableColumn id="2" xr3:uid="{711F0961-86B7-4902-B39F-02CC4E75172C}" name="20000" dataDxfId="65" dataCellStyle="Percent">
      <calculatedColumnFormula>MIN(1,($R$57+$U97*$R$58+($U97^2*$R$59))/$Z$58*($Z$72+W$96*$Z$73+W$96^2*$Z$74+W$96^3*$Z$75))</calculatedColumnFormula>
    </tableColumn>
    <tableColumn id="3" xr3:uid="{48608049-9D09-4470-A814-903B08F2AC9F}" name="35000" dataDxfId="64" dataCellStyle="Percent">
      <calculatedColumnFormula>MIN(1,($R$57+$U97*$R$58+($U97^2*$R$59))/$Z$58*($Z$72+X$96*$Z$73+X$96^2*$Z$74+X$96^3*$Z$75))</calculatedColumnFormula>
    </tableColumn>
    <tableColumn id="4" xr3:uid="{63483268-85D8-4F18-9888-C4B9239D5989}" name="50000" dataDxfId="63" dataCellStyle="Percent">
      <calculatedColumnFormula>MIN(1,($R$57+$U97*$R$58+($U97^2*$R$59))/$Z$58*($Z$72+Y$96*$Z$73+Y$96^2*$Z$74+Y$96^3*$Z$75))</calculatedColumnFormula>
    </tableColumn>
    <tableColumn id="5" xr3:uid="{01B5EB21-8D7D-4CD4-9AF2-0D5F9476CE53}" name="65000" dataDxfId="62" dataCellStyle="Percent">
      <calculatedColumnFormula>MIN(1,($R$57+$U97*$R$58+($U97^2*$R$59))/$Z$58*($Z$72+Z$96*$Z$73+Z$96^2*$Z$74+Z$96^3*$Z$75))</calculatedColumnFormula>
    </tableColumn>
    <tableColumn id="6" xr3:uid="{33AEA369-72F7-4132-B740-EC57CBA1C24A}" name="80000" dataDxfId="61" dataCellStyle="Percent">
      <calculatedColumnFormula>MIN(1,($R$57+$U97*$R$58+($U97^2*$R$59))/$Z$58*($Z$72+AA$96*$Z$73+AA$96^2*$Z$74+AA$96^3*$Z$75))</calculatedColumnFormula>
    </tableColumn>
    <tableColumn id="7" xr3:uid="{20E340C0-A97F-4684-A17D-9CDAA9DB1041}" name="95000" dataDxfId="60" dataCellStyle="Percent">
      <calculatedColumnFormula>MIN(1,($R$57+$U97*$R$58+($U97^2*$R$59))/$Z$58*($Z$72+AB$96*$Z$73+AB$96^2*$Z$74+AB$96^3*$Z$75))</calculatedColumnFormula>
    </tableColumn>
    <tableColumn id="8" xr3:uid="{83E6DF45-EB15-4ECC-ACD6-059795EAF78A}" name="110000" dataDxfId="59" dataCellStyle="Percent">
      <calculatedColumnFormula>MIN(1,($R$57+$U97*$R$58+($U97^2*$R$59))/$Z$58*($Z$72+AC$96*$Z$73+AC$96^2*$Z$74+AC$96^3*$Z$75))</calculatedColumnFormula>
    </tableColumn>
    <tableColumn id="9" xr3:uid="{29B15F93-0EB1-4BAE-AEB0-B0B946110EDF}" name="125000" dataDxfId="58" dataCellStyle="Percent">
      <calculatedColumnFormula>MIN(1,($R$57+$U97*$R$58+($U97^2*$R$59))/$Z$58*($Z$72+AD$96*$Z$73+AD$96^2*$Z$74+AD$96^3*$Z$75))</calculatedColumnFormula>
    </tableColumn>
    <tableColumn id="10" xr3:uid="{1C40AEDE-A116-4F21-A3AC-788CA7A7078B}" name="140000" dataDxfId="57" dataCellStyle="Percent">
      <calculatedColumnFormula>MIN(1,($R$57+$U97*$R$58+($U97^2*$R$59))/$Z$58*($Z$72+AE$96*$Z$73+AE$96^2*$Z$74+AE$96^3*$Z$75))</calculatedColumnFormula>
    </tableColumn>
    <tableColumn id="11" xr3:uid="{02F6CE5D-7EBF-4731-817B-A455760EBD39}" name="155000" dataDxfId="56" dataCellStyle="Percent">
      <calculatedColumnFormula>MIN(1,($R$57+$U97*$R$58+($U97^2*$R$59))/$Z$58*($Z$72+AF$96*$Z$73+AF$96^2*$Z$74+AF$96^3*$Z$75))</calculatedColumnFormula>
    </tableColumn>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375A781-A395-4E4D-B601-522A3F797FBD}" name="Table25" displayName="Table25" ref="V113:AF122" totalsRowShown="0" headerRowDxfId="55" dataDxfId="54" dataCellStyle="Percent">
  <autoFilter ref="V113:AF122" xr:uid="{5375A781-A395-4E4D-B601-522A3F797FBD}"/>
  <tableColumns count="11">
    <tableColumn id="1" xr3:uid="{FAA0CDF2-DCEA-4A93-A571-C55EECDFFE26}" name="Stand count" dataDxfId="53"/>
    <tableColumn id="2" xr3:uid="{2DC181A8-A245-421B-A7CF-C6DB5DBD4B4F}" name="9000" dataDxfId="52" dataCellStyle="Percent">
      <calculatedColumnFormula>MIN(1,($S$57+$U114*$S$58+($U114^2*$S$59))/$Y$60*(($X$72+W$113*$X$73+(W$113^2*$X$74))/100))</calculatedColumnFormula>
    </tableColumn>
    <tableColumn id="3" xr3:uid="{2E1E4A63-7DB7-47E1-91A6-36783B165F39}" name="12000" dataDxfId="51" dataCellStyle="Percent">
      <calculatedColumnFormula>MIN(1,($S$57+$U114*$S$58+($U114^2*$S$59))/$Y$60*(($X$72+X$113*$X$73+(X$113^2*$X$74))/100))</calculatedColumnFormula>
    </tableColumn>
    <tableColumn id="4" xr3:uid="{D1CA461A-351F-4D75-9245-8F1DE3319510}" name="15000" dataDxfId="50" dataCellStyle="Percent">
      <calculatedColumnFormula>MIN(1,($S$57+$U114*$S$58+($U114^2*$S$59))/$Y$60*(($X$72+Y$113*$X$73+(Y$113^2*$X$74))/100))</calculatedColumnFormula>
    </tableColumn>
    <tableColumn id="5" xr3:uid="{529BF8D7-A8E9-41C4-8775-289A03B6BEA0}" name="18000" dataDxfId="49" dataCellStyle="Percent">
      <calculatedColumnFormula>MIN(1,($S$57+$U114*$S$58+($U114^2*$S$59))/$Y$60*(($X$72+Z$113*$X$73+(Z$113^2*$X$74))/100))</calculatedColumnFormula>
    </tableColumn>
    <tableColumn id="6" xr3:uid="{BB7BAE7C-E3E6-44C5-9213-11389AF5782D}" name="21000" dataDxfId="48" dataCellStyle="Percent">
      <calculatedColumnFormula>MIN(1,($S$57+$U114*$S$58+($U114^2*$S$59))/$Y$60*(($X$72+AA$113*$X$73+(AA$113^2*$X$74))/100))</calculatedColumnFormula>
    </tableColumn>
    <tableColumn id="7" xr3:uid="{F16583C4-DAB0-4336-8ED9-F50F23A8EA62}" name="24000" dataDxfId="47" dataCellStyle="Percent">
      <calculatedColumnFormula>MIN(1,($S$57+$U114*$S$58+($U114^2*$S$59))/$Y$60*(($X$72+AB$113*$X$73+(AB$113^2*$X$74))/100))</calculatedColumnFormula>
    </tableColumn>
    <tableColumn id="8" xr3:uid="{2D823E13-2E1A-4493-96D4-58CB09CC3CBE}" name="27000" dataDxfId="46" dataCellStyle="Percent">
      <calculatedColumnFormula>MIN(1,($S$57+$U114*$S$58+($U114^2*$S$59))/$Y$60*(($X$72+AC$113*$X$73+(AC$113^2*$X$74))/100))</calculatedColumnFormula>
    </tableColumn>
    <tableColumn id="9" xr3:uid="{4B02A25B-2F04-474B-8FFA-4F0CCB2D2583}" name="30000" dataDxfId="45" dataCellStyle="Percent">
      <calculatedColumnFormula>MIN(1,($S$57+$U114*$S$58+($U114^2*$S$59))/$Y$60*(($X$72+AD$113*$X$73+(AD$113^2*$X$74))/100))</calculatedColumnFormula>
    </tableColumn>
    <tableColumn id="10" xr3:uid="{35DDDA2B-B955-44DE-AF35-FB115AB6F519}" name="33000" dataDxfId="44" dataCellStyle="Percent">
      <calculatedColumnFormula>MIN(1,($S$57+$U114*$S$58+($U114^2*$S$59))/$Y$60*(($X$72+AE$113*$X$73+(AE$113^2*$X$74))/100))</calculatedColumnFormula>
    </tableColumn>
    <tableColumn id="11" xr3:uid="{344B7EEB-2DF9-40D5-93EE-66313A52F874}" name="36000" dataDxfId="43" dataCellStyle="Percent">
      <calculatedColumnFormula>MIN(1,($S$57+$U114*$S$58+($U114^2*$S$59))/$Y$60*(($X$72+AF$113*$X$73+(AF$113^2*$X$74))/100))</calculatedColumnFormula>
    </tableColumn>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D392902-3A22-4943-B737-5506811D5555}" name="Table32" displayName="Table32" ref="V125:AF137" totalsRowShown="0" headerRowDxfId="42" dataDxfId="41" dataCellStyle="Percent">
  <autoFilter ref="V125:AF137" xr:uid="{2D392902-3A22-4943-B737-5506811D5555}"/>
  <tableColumns count="11">
    <tableColumn id="1" xr3:uid="{A3C9DB03-F9CA-4BA4-A807-DEAAE374BD4D}" name="Stand count" dataDxfId="40"/>
    <tableColumn id="2" xr3:uid="{53AFDF27-54DB-4066-820F-46EE5568049C}" name="20000" dataDxfId="39" dataCellStyle="Percent">
      <calculatedColumnFormula>MIN(1,($R$57+$U126*$R$58+($U126^2*$R$59))/$Z$60*($Z$72+W$125*$Z$73+W$125^2*$Z$74+W$125^3*$Z$75))</calculatedColumnFormula>
    </tableColumn>
    <tableColumn id="3" xr3:uid="{D0AFFD7E-2F2A-4312-B7DE-A14BF1744C8E}" name="35000" dataDxfId="38" dataCellStyle="Percent">
      <calculatedColumnFormula>MIN(1,($R$57+$U126*$R$58+($U126^2*$R$59))/$Z$60*($Z$72+X$125*$Z$73+X$125^2*$Z$74+X$125^3*$Z$75))</calculatedColumnFormula>
    </tableColumn>
    <tableColumn id="4" xr3:uid="{0087B96C-5159-45D9-B9DE-B696CF716126}" name="50000" dataDxfId="37" dataCellStyle="Percent">
      <calculatedColumnFormula>MIN(1,($R$57+$U126*$R$58+($U126^2*$R$59))/$Z$60*($Z$72+Y$125*$Z$73+Y$125^2*$Z$74+Y$125^3*$Z$75))</calculatedColumnFormula>
    </tableColumn>
    <tableColumn id="5" xr3:uid="{9AF6311E-5D86-4F8E-8F45-7481B0948C5C}" name="65000" dataDxfId="36" dataCellStyle="Percent">
      <calculatedColumnFormula>MIN(1,($R$57+$U126*$R$58+($U126^2*$R$59))/$Z$60*($Z$72+Z$125*$Z$73+Z$125^2*$Z$74+Z$125^3*$Z$75))</calculatedColumnFormula>
    </tableColumn>
    <tableColumn id="6" xr3:uid="{53C6D25E-FD14-422A-9939-D9FD987F05E3}" name="80000" dataDxfId="35" dataCellStyle="Percent">
      <calculatedColumnFormula>MIN(1,($R$57+$U126*$R$58+($U126^2*$R$59))/$Z$60*($Z$72+AA$125*$Z$73+AA$125^2*$Z$74+AA$125^3*$Z$75))</calculatedColumnFormula>
    </tableColumn>
    <tableColumn id="7" xr3:uid="{CAF66689-E776-4D07-98A6-534BCE3724D1}" name="95000" dataDxfId="34" dataCellStyle="Percent">
      <calculatedColumnFormula>MIN(1,($R$57+$U126*$R$58+($U126^2*$R$59))/$Z$60*($Z$72+AB$125*$Z$73+AB$125^2*$Z$74+AB$125^3*$Z$75))</calculatedColumnFormula>
    </tableColumn>
    <tableColumn id="8" xr3:uid="{E231AED1-F355-476D-BC81-1076EAFD1F23}" name="110000" dataDxfId="33" dataCellStyle="Percent">
      <calculatedColumnFormula>MIN(1,($R$57+$U126*$R$58+($U126^2*$R$59))/$Z$60*($Z$72+AC$125*$Z$73+AC$125^2*$Z$74+AC$125^3*$Z$75))</calculatedColumnFormula>
    </tableColumn>
    <tableColumn id="9" xr3:uid="{04EFD0AD-2AF6-4B17-84D2-71DEB5307A71}" name="125000" dataDxfId="32" dataCellStyle="Percent">
      <calculatedColumnFormula>MIN(1,($R$57+$U126*$R$58+($U126^2*$R$59))/$Z$60*($Z$72+AD$125*$Z$73+AD$125^2*$Z$74+AD$125^3*$Z$75))</calculatedColumnFormula>
    </tableColumn>
    <tableColumn id="10" xr3:uid="{ED664D52-3AD3-48B2-B4CC-03AA75F976CC}" name="140000" dataDxfId="31" dataCellStyle="Percent">
      <calculatedColumnFormula>MIN(1,($R$57+$U126*$R$58+($U126^2*$R$59))/$Z$60*($Z$72+AE$125*$Z$73+AE$125^2*$Z$74+AE$125^3*$Z$75))</calculatedColumnFormula>
    </tableColumn>
    <tableColumn id="11" xr3:uid="{92028184-6ABA-43FF-B357-C9057CA2E437}" name="155000" dataDxfId="30" dataCellStyle="Percent">
      <calculatedColumnFormula>MIN(1,($R$57+$U126*$R$58+($U126^2*$R$59))/$Z$60*($Z$72+AF$125*$Z$73+AF$125^2*$Z$74+AF$125^3*$Z$75))</calculatedColumnFormula>
    </tableColumn>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CCB3B6-68ED-4181-A14E-8A32D3FCDBAF}" name="Table256" displayName="Table256" ref="V140:AF152" totalsRowShown="0" headerRowDxfId="29" dataDxfId="28" dataCellStyle="Percent">
  <autoFilter ref="V140:AF152" xr:uid="{00CCB3B6-68ED-4181-A14E-8A32D3FCDBAF}"/>
  <tableColumns count="11">
    <tableColumn id="1" xr3:uid="{CCB14AE8-E5B2-4F79-A5C3-7AFFF7889187}" name="Stand count" dataDxfId="27"/>
    <tableColumn id="2" xr3:uid="{18ADCA7D-30DA-4C82-8B39-07465F655157}" name="9000" dataDxfId="26" dataCellStyle="Percent">
      <calculatedColumnFormula>MIN(1,($U$57+$U141*$U$58+($U141^2*$U$59))/$Y$62*(($X$72+W$140*$X$73+(W$140^2*$X$74))/100))</calculatedColumnFormula>
    </tableColumn>
    <tableColumn id="3" xr3:uid="{3F336316-13CC-469E-966D-860454813ED3}" name="12000" dataDxfId="25" dataCellStyle="Percent">
      <calculatedColumnFormula>MIN(1,($U$57+$U141*$U$58+($U141^2*$U$59))/$Y$62*(($X$72+X$140*$X$73+(X$140^2*$X$74))/100))</calculatedColumnFormula>
    </tableColumn>
    <tableColumn id="4" xr3:uid="{7B95A7A3-6645-411D-BF00-2275262B74A1}" name="15000" dataDxfId="24" dataCellStyle="Percent">
      <calculatedColumnFormula>MIN(1,($U$57+$U141*$U$58+($U141^2*$U$59))/$Y$62*(($X$72+Y$140*$X$73+(Y$140^2*$X$74))/100))</calculatedColumnFormula>
    </tableColumn>
    <tableColumn id="5" xr3:uid="{2524E5D3-B662-4B4B-9E00-C65D570A630D}" name="18000" dataDxfId="23" dataCellStyle="Percent">
      <calculatedColumnFormula>MIN(1,($U$57+$U141*$U$58+($U141^2*$U$59))/$Y$62*(($X$72+Z$140*$X$73+(Z$140^2*$X$74))/100))</calculatedColumnFormula>
    </tableColumn>
    <tableColumn id="6" xr3:uid="{899D89D1-B9F2-487F-BBEB-12DE4B473ECC}" name="21000" dataDxfId="22" dataCellStyle="Percent">
      <calculatedColumnFormula>MIN(1,($U$57+$U141*$U$58+($U141^2*$U$59))/$Y$62*(($X$72+AA$140*$X$73+(AA$140^2*$X$74))/100))</calculatedColumnFormula>
    </tableColumn>
    <tableColumn id="7" xr3:uid="{DFA51D82-34A2-4963-81B8-B0DC7053B07F}" name="24000" dataDxfId="21" dataCellStyle="Percent">
      <calculatedColumnFormula>MIN(1,($U$57+$U141*$U$58+($U141^2*$U$59))/$Y$62*(($X$72+AB$140*$X$73+(AB$140^2*$X$74))/100))</calculatedColumnFormula>
    </tableColumn>
    <tableColumn id="8" xr3:uid="{4D6535FD-FBDD-49F5-977E-B3E1873CAFE3}" name="27000" dataDxfId="20" dataCellStyle="Percent">
      <calculatedColumnFormula>MIN(1,($U$57+$U141*$U$58+($U141^2*$U$59))/$Y$62*(($X$72+AC$140*$X$73+(AC$140^2*$X$74))/100))</calculatedColumnFormula>
    </tableColumn>
    <tableColumn id="9" xr3:uid="{DE5077A9-7BEB-47E7-AD7C-89206F6E78A2}" name="30000" dataDxfId="19" dataCellStyle="Percent">
      <calculatedColumnFormula>MIN(1,($U$57+$U141*$U$58+($U141^2*$U$59))/$Y$62*(($X$72+AD$140*$X$73+(AD$140^2*$X$74))/100))</calculatedColumnFormula>
    </tableColumn>
    <tableColumn id="10" xr3:uid="{0001A023-B73A-4562-A88A-8C3B9582381E}" name="33000" dataDxfId="18" dataCellStyle="Percent">
      <calculatedColumnFormula>MIN(1,($U$57+$U141*$U$58+($U141^2*$U$59))/$Y$62*(($X$72+AE$140*$X$73+(AE$140^2*$X$74))/100))</calculatedColumnFormula>
    </tableColumn>
    <tableColumn id="11" xr3:uid="{9E439E55-2C27-4950-A159-0ABAE8CB7997}" name="36000" dataDxfId="17" dataCellStyle="Percent">
      <calculatedColumnFormula>MIN(1,($U$57+$U141*$U$58+($U141^2*$U$59))/$Y$62*(($X$72+AF$140*$X$73+(AF$140^2*$X$74))/100))</calculatedColumnFormula>
    </tableColumn>
  </tableColumns>
  <tableStyleInfo name="TableStyleMedium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6E0F30F-DFDE-4CBE-8098-527E68487A4D}" name="Table327" displayName="Table327" ref="V155:AF169" totalsRowShown="0" headerRowDxfId="16" dataDxfId="15" dataCellStyle="Percent">
  <autoFilter ref="V155:AF169" xr:uid="{C6E0F30F-DFDE-4CBE-8098-527E68487A4D}"/>
  <tableColumns count="11">
    <tableColumn id="1" xr3:uid="{9581B72B-FE91-45A9-ABAC-882C09543DEE}" name="Stand count" dataDxfId="14"/>
    <tableColumn id="2" xr3:uid="{BEF4F387-61C0-45CF-B051-85CF6534277A}" name="20000" dataDxfId="13" dataCellStyle="Percent">
      <calculatedColumnFormula>MIN(1,($V$57+$U156*$V$58+($U156^2*$V$59))/$Z$62*($Z$72+W$155*$Z$73+W$155^2*$Z$74+W$155^3*$Z$75))</calculatedColumnFormula>
    </tableColumn>
    <tableColumn id="3" xr3:uid="{57985100-F760-4CE8-9838-22A0E764FC72}" name="35000" dataDxfId="12" dataCellStyle="Percent">
      <calculatedColumnFormula>MIN(1,($V$57+$U156*$V$58+($U156^2*$V$59))/$Z$62*($Z$72+X$155*$Z$73+X$155^2*$Z$74+X$155^3*$Z$75))</calculatedColumnFormula>
    </tableColumn>
    <tableColumn id="4" xr3:uid="{12989D31-644D-472B-8148-6C577EDAEEC7}" name="50000" dataDxfId="11" dataCellStyle="Percent">
      <calculatedColumnFormula>MIN(1,($V$57+$U156*$V$58+($U156^2*$V$59))/$Z$62*($Z$72+Y$155*$Z$73+Y$155^2*$Z$74+Y$155^3*$Z$75))</calculatedColumnFormula>
    </tableColumn>
    <tableColumn id="5" xr3:uid="{007B9D43-82F7-4756-8A22-274B55C7C547}" name="65000" dataDxfId="10" dataCellStyle="Percent">
      <calculatedColumnFormula>MIN(1,($V$57+$U156*$V$58+($U156^2*$V$59))/$Z$62*($Z$72+Z$155*$Z$73+Z$155^2*$Z$74+Z$155^3*$Z$75))</calculatedColumnFormula>
    </tableColumn>
    <tableColumn id="6" xr3:uid="{8F494005-A3C0-40B4-8DE7-E148685B4F6A}" name="80000" dataDxfId="9" dataCellStyle="Percent">
      <calculatedColumnFormula>MIN(1,($V$57+$U156*$V$58+($U156^2*$V$59))/$Z$62*($Z$72+AA$155*$Z$73+AA$155^2*$Z$74+AA$155^3*$Z$75))</calculatedColumnFormula>
    </tableColumn>
    <tableColumn id="7" xr3:uid="{A47E6D87-1FB3-4418-8241-0786CF0D24E5}" name="95000" dataDxfId="8" dataCellStyle="Percent">
      <calculatedColumnFormula>MIN(1,($V$57+$U156*$V$58+($U156^2*$V$59))/$Z$62*($Z$72+AB$155*$Z$73+AB$155^2*$Z$74+AB$155^3*$Z$75))</calculatedColumnFormula>
    </tableColumn>
    <tableColumn id="8" xr3:uid="{F194AF36-BCC9-4849-900F-A494EB4C4544}" name="110000" dataDxfId="7" dataCellStyle="Percent">
      <calculatedColumnFormula>MIN(1,($V$57+$U156*$V$58+($U156^2*$V$59))/$Z$62*($Z$72+AC$155*$Z$73+AC$155^2*$Z$74+AC$155^3*$Z$75))</calculatedColumnFormula>
    </tableColumn>
    <tableColumn id="9" xr3:uid="{F1D720AA-1CB5-4AA5-9C03-C1D226BED195}" name="125000" dataDxfId="6" dataCellStyle="Percent">
      <calculatedColumnFormula>MIN(1,($V$57+$U156*$V$58+($U156^2*$V$59))/$Z$62*($Z$72+AD$155*$Z$73+AD$155^2*$Z$74+AD$155^3*$Z$75))</calculatedColumnFormula>
    </tableColumn>
    <tableColumn id="10" xr3:uid="{E51CD6B9-146A-4EF1-9266-6D15CEEBD571}" name="140000" dataDxfId="5" dataCellStyle="Percent">
      <calculatedColumnFormula>MIN(1,($V$57+$U156*$V$58+($U156^2*$V$59))/$Z$62*($Z$72+AE$155*$Z$73+AE$155^2*$Z$74+AE$155^3*$Z$75))</calculatedColumnFormula>
    </tableColumn>
    <tableColumn id="11" xr3:uid="{008B0E78-723A-4BA6-976F-C96D0B7465BD}" name="155000" dataDxfId="4" dataCellStyle="Percent">
      <calculatedColumnFormula>MIN(1,($V$57+$U156*$V$58+($U156^2*$V$59))/$Z$62*($Z$72+AF$155*$Z$73+AF$155^2*$Z$74+AF$155^3*$Z$75))</calculatedColumnFormula>
    </tableColumn>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xtension.missouri.edu/publications/g4091" TargetMode="External"/></Relationships>
</file>

<file path=xl/worksheets/_rels/sheet2.xml.rels><?xml version="1.0" encoding="UTF-8" standalone="yes"?>
<Relationships xmlns="http://schemas.openxmlformats.org/package/2006/relationships"><Relationship Id="rId8" Type="http://schemas.openxmlformats.org/officeDocument/2006/relationships/table" Target="../tables/table5.xml"/><Relationship Id="rId3" Type="http://schemas.openxmlformats.org/officeDocument/2006/relationships/vmlDrawing" Target="../drawings/vmlDrawing1.vml"/><Relationship Id="rId7" Type="http://schemas.openxmlformats.org/officeDocument/2006/relationships/table" Target="../tables/table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3.xml"/><Relationship Id="rId5" Type="http://schemas.openxmlformats.org/officeDocument/2006/relationships/table" Target="../tables/table2.xml"/><Relationship Id="rId10" Type="http://schemas.openxmlformats.org/officeDocument/2006/relationships/comments" Target="../comments1.xml"/><Relationship Id="rId4" Type="http://schemas.openxmlformats.org/officeDocument/2006/relationships/table" Target="../tables/table1.xml"/><Relationship Id="rId9" Type="http://schemas.openxmlformats.org/officeDocument/2006/relationships/table" Target="../tables/table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B1:D24"/>
  <sheetViews>
    <sheetView showGridLines="0" tabSelected="1" zoomScaleNormal="100" workbookViewId="0">
      <selection activeCell="I11" sqref="I11"/>
    </sheetView>
  </sheetViews>
  <sheetFormatPr defaultColWidth="8.85546875" defaultRowHeight="14.25" x14ac:dyDescent="0.25"/>
  <cols>
    <col min="1" max="1" width="2" style="47" customWidth="1"/>
    <col min="2" max="2" width="2.42578125" style="47" customWidth="1"/>
    <col min="3" max="3" width="81.85546875" style="47" customWidth="1"/>
    <col min="4" max="4" width="2.42578125" style="47" customWidth="1"/>
    <col min="5" max="16384" width="8.85546875" style="47"/>
  </cols>
  <sheetData>
    <row r="1" spans="2:4" ht="9.75" customHeight="1" x14ac:dyDescent="0.25"/>
    <row r="2" spans="2:4" ht="25.5" x14ac:dyDescent="0.5">
      <c r="B2" s="184" t="s">
        <v>167</v>
      </c>
      <c r="C2" s="184"/>
      <c r="D2" s="184"/>
    </row>
    <row r="3" spans="2:4" x14ac:dyDescent="0.25">
      <c r="C3" s="48" t="s">
        <v>166</v>
      </c>
      <c r="D3" s="48"/>
    </row>
    <row r="4" spans="2:4" ht="6" customHeight="1" x14ac:dyDescent="0.25">
      <c r="C4" s="49"/>
      <c r="D4" s="49"/>
    </row>
    <row r="5" spans="2:4" x14ac:dyDescent="0.25">
      <c r="C5" s="133" t="s">
        <v>102</v>
      </c>
      <c r="D5" s="50"/>
    </row>
    <row r="6" spans="2:4" x14ac:dyDescent="0.25">
      <c r="C6" s="134" t="s">
        <v>168</v>
      </c>
      <c r="D6" s="51"/>
    </row>
    <row r="7" spans="2:4" x14ac:dyDescent="0.25">
      <c r="C7" s="133" t="s">
        <v>111</v>
      </c>
      <c r="D7" s="52"/>
    </row>
    <row r="8" spans="2:4" x14ac:dyDescent="0.25">
      <c r="C8" s="133" t="s">
        <v>169</v>
      </c>
      <c r="D8" s="52"/>
    </row>
    <row r="9" spans="2:4" x14ac:dyDescent="0.25">
      <c r="C9" s="134"/>
      <c r="D9" s="53"/>
    </row>
    <row r="10" spans="2:4" x14ac:dyDescent="0.25">
      <c r="C10" s="49"/>
      <c r="D10" s="49"/>
    </row>
    <row r="11" spans="2:4" ht="71.25" x14ac:dyDescent="0.25">
      <c r="C11" s="54" t="s">
        <v>106</v>
      </c>
      <c r="D11" s="54"/>
    </row>
    <row r="12" spans="2:4" ht="6.75" customHeight="1" x14ac:dyDescent="0.25">
      <c r="C12" s="54"/>
      <c r="D12" s="54"/>
    </row>
    <row r="13" spans="2:4" ht="42.75" x14ac:dyDescent="0.25">
      <c r="C13" s="54" t="s">
        <v>107</v>
      </c>
      <c r="D13" s="54"/>
    </row>
    <row r="14" spans="2:4" ht="6.75" customHeight="1" x14ac:dyDescent="0.25">
      <c r="C14" s="54"/>
      <c r="D14" s="54"/>
    </row>
    <row r="15" spans="2:4" ht="42.75" x14ac:dyDescent="0.25">
      <c r="C15" s="54" t="s">
        <v>109</v>
      </c>
      <c r="D15" s="54"/>
    </row>
    <row r="16" spans="2:4" ht="6.75" customHeight="1" x14ac:dyDescent="0.25">
      <c r="C16" s="54"/>
      <c r="D16" s="54"/>
    </row>
    <row r="17" spans="2:4" ht="39" x14ac:dyDescent="0.25">
      <c r="C17" s="226" t="s">
        <v>170</v>
      </c>
      <c r="D17" s="54"/>
    </row>
    <row r="18" spans="2:4" ht="6.75" customHeight="1" x14ac:dyDescent="0.25">
      <c r="C18" s="54"/>
      <c r="D18" s="54"/>
    </row>
    <row r="19" spans="2:4" ht="28.5" x14ac:dyDescent="0.25">
      <c r="C19" s="56" t="s">
        <v>108</v>
      </c>
      <c r="D19" s="55"/>
    </row>
    <row r="20" spans="2:4" ht="6.75" customHeight="1" x14ac:dyDescent="0.25"/>
    <row r="21" spans="2:4" x14ac:dyDescent="0.25">
      <c r="B21" s="185"/>
      <c r="C21" s="185"/>
      <c r="D21" s="185"/>
    </row>
    <row r="24" spans="2:4" x14ac:dyDescent="0.25">
      <c r="C24" s="47" t="s">
        <v>110</v>
      </c>
    </row>
  </sheetData>
  <sheetProtection sheet="1" objects="1" scenarios="1"/>
  <mergeCells count="2">
    <mergeCell ref="B2:D2"/>
    <mergeCell ref="B21:D21"/>
  </mergeCells>
  <phoneticPr fontId="0" type="noConversion"/>
  <hyperlinks>
    <hyperlink ref="C17" r:id="rId1" display="For more information about the factors affecting a replanting decision, refer to MU Extension Publication G4091, Corn and Soybean Replant Decisions (https://extension.missouri.edu/publications/g4091)" xr:uid="{601C2DE6-228D-413C-9C07-3C51D2433D0C}"/>
  </hyperlinks>
  <pageMargins left="1.25" right="0.75" top="1" bottom="1" header="0.5" footer="0.5"/>
  <pageSetup orientation="portrait" r:id="rId2"/>
  <headerFooter alignWithMargins="0">
    <oddFooter>&amp;C&amp;F:&amp;A</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K452"/>
  <sheetViews>
    <sheetView showGridLines="0" zoomScale="120" zoomScaleNormal="120" workbookViewId="0">
      <selection activeCell="E23" sqref="E23"/>
    </sheetView>
  </sheetViews>
  <sheetFormatPr defaultColWidth="0" defaultRowHeight="13.5" zeroHeight="1" x14ac:dyDescent="0.25"/>
  <cols>
    <col min="1" max="1" width="1.42578125" style="2" customWidth="1"/>
    <col min="2" max="2" width="43.42578125" style="2" bestFit="1" customWidth="1"/>
    <col min="3" max="4" width="12" style="2" bestFit="1" customWidth="1"/>
    <col min="5" max="5" width="13.42578125" style="2" bestFit="1" customWidth="1"/>
    <col min="6" max="6" width="11.42578125" style="2" customWidth="1"/>
    <col min="7" max="7" width="8.42578125" style="2" customWidth="1"/>
    <col min="8" max="8" width="9.140625" style="2" hidden="1" customWidth="1"/>
    <col min="9" max="9" width="9.42578125" style="2" hidden="1" customWidth="1"/>
    <col min="10" max="10" width="9.5703125" style="2" hidden="1" customWidth="1"/>
    <col min="11" max="11" width="9.42578125" style="2" hidden="1" customWidth="1"/>
    <col min="12" max="12" width="35.85546875" style="2" hidden="1" customWidth="1"/>
    <col min="13" max="13" width="9.140625" style="2" hidden="1" customWidth="1"/>
    <col min="14" max="14" width="12.5703125" style="2" hidden="1" customWidth="1"/>
    <col min="15" max="15" width="9.42578125" style="2" hidden="1" customWidth="1"/>
    <col min="16" max="16" width="29.28515625" style="2" hidden="1" customWidth="1"/>
    <col min="17" max="17" width="10.42578125" style="2" hidden="1" customWidth="1"/>
    <col min="18" max="19" width="9.85546875" style="2" hidden="1" customWidth="1"/>
    <col min="20" max="21" width="10.85546875" style="2" hidden="1" customWidth="1"/>
    <col min="22" max="22" width="13.85546875" style="2" hidden="1" customWidth="1"/>
    <col min="23" max="32" width="9.7109375" style="2" hidden="1" customWidth="1"/>
    <col min="33" max="37" width="0" style="2" hidden="1" customWidth="1"/>
    <col min="38" max="16384" width="9.140625" style="2" hidden="1"/>
  </cols>
  <sheetData>
    <row r="1" spans="2:14" ht="18.75" x14ac:dyDescent="0.3">
      <c r="B1" s="186" t="s">
        <v>41</v>
      </c>
      <c r="C1" s="187"/>
      <c r="D1" s="187"/>
      <c r="E1" s="187"/>
      <c r="F1" s="188"/>
      <c r="G1" s="1"/>
      <c r="H1" s="1"/>
    </row>
    <row r="2" spans="2:14" ht="5.25" customHeight="1" x14ac:dyDescent="0.25">
      <c r="B2" s="60"/>
      <c r="C2" s="61"/>
      <c r="D2" s="61"/>
      <c r="E2" s="61"/>
      <c r="F2" s="62"/>
      <c r="G2" s="1"/>
      <c r="H2" s="1"/>
    </row>
    <row r="3" spans="2:14" x14ac:dyDescent="0.25">
      <c r="B3" s="63" t="s">
        <v>42</v>
      </c>
      <c r="C3" s="64" t="s">
        <v>4</v>
      </c>
      <c r="D3" s="65"/>
      <c r="E3" s="65"/>
      <c r="F3" s="62"/>
      <c r="G3" s="1"/>
      <c r="H3" s="1"/>
    </row>
    <row r="4" spans="2:14" ht="5.25" customHeight="1" x14ac:dyDescent="0.25">
      <c r="B4" s="66"/>
      <c r="F4" s="27"/>
    </row>
    <row r="5" spans="2:14" x14ac:dyDescent="0.25">
      <c r="B5" s="67" t="str">
        <f>IF(C3="soybean","Choose row width:","Choose a yield environment:")</f>
        <v>Choose a yield environment:</v>
      </c>
      <c r="C5" s="64" t="s">
        <v>44</v>
      </c>
      <c r="D5" s="4"/>
      <c r="E5" s="4"/>
      <c r="F5" s="62"/>
      <c r="K5" s="5"/>
    </row>
    <row r="6" spans="2:14" ht="5.25" customHeight="1" x14ac:dyDescent="0.25">
      <c r="B6" s="66"/>
      <c r="F6" s="27"/>
    </row>
    <row r="7" spans="2:14" x14ac:dyDescent="0.25">
      <c r="B7" s="67" t="s">
        <v>19</v>
      </c>
      <c r="C7" s="189" t="s">
        <v>94</v>
      </c>
      <c r="D7" s="189"/>
      <c r="E7" s="189"/>
      <c r="F7" s="190"/>
    </row>
    <row r="8" spans="2:14" ht="6" customHeight="1" x14ac:dyDescent="0.25">
      <c r="B8" s="67"/>
      <c r="C8" s="169"/>
      <c r="D8" s="169"/>
      <c r="E8" s="169"/>
      <c r="F8" s="170"/>
    </row>
    <row r="9" spans="2:14" x14ac:dyDescent="0.25">
      <c r="B9" s="67" t="s">
        <v>112</v>
      </c>
      <c r="C9" s="64" t="s">
        <v>114</v>
      </c>
      <c r="D9" s="169"/>
      <c r="E9" s="169" t="s">
        <v>118</v>
      </c>
      <c r="F9" s="171">
        <f>VLOOKUP((C3&amp;"_"&amp;C9),AG58:AH64,2,FALSE)</f>
        <v>0</v>
      </c>
    </row>
    <row r="10" spans="2:14" ht="4.5" customHeight="1" x14ac:dyDescent="0.25">
      <c r="B10" s="202"/>
      <c r="C10" s="203"/>
      <c r="D10" s="203"/>
      <c r="E10" s="203"/>
      <c r="F10" s="204"/>
    </row>
    <row r="11" spans="2:14" ht="4.5" customHeight="1" x14ac:dyDescent="0.25">
      <c r="B11" s="66"/>
      <c r="F11" s="27"/>
    </row>
    <row r="12" spans="2:14" x14ac:dyDescent="0.25">
      <c r="B12" s="69" t="s">
        <v>0</v>
      </c>
      <c r="C12" s="57">
        <v>14000</v>
      </c>
      <c r="D12" s="6"/>
      <c r="E12" s="7" t="s">
        <v>1</v>
      </c>
      <c r="F12" s="27"/>
      <c r="G12" s="8" t="str">
        <f>IF(C3="soybean",IF(OR(C12&lt;Z67,C12&gt;Z68),"This stand density is outside of range of data.  Estimate of yields may not be reliable.",""),IF(OR(C12&lt;Y67,C12&gt;Y68),"This stand density is outside of range of data.  Estimate of yield may not be reliable.",""))</f>
        <v/>
      </c>
      <c r="H12" s="8"/>
      <c r="I12" s="8"/>
      <c r="J12" s="8"/>
      <c r="K12" s="8"/>
      <c r="L12" s="8"/>
      <c r="M12" s="8"/>
      <c r="N12" s="4"/>
    </row>
    <row r="13" spans="2:14" x14ac:dyDescent="0.25">
      <c r="B13" s="69" t="s">
        <v>2</v>
      </c>
      <c r="C13" s="58">
        <v>170</v>
      </c>
      <c r="E13" s="7" t="s">
        <v>3</v>
      </c>
      <c r="F13" s="27"/>
    </row>
    <row r="14" spans="2:14" x14ac:dyDescent="0.25">
      <c r="B14" s="69" t="s">
        <v>5</v>
      </c>
      <c r="C14" s="59">
        <v>4.5</v>
      </c>
      <c r="E14" s="7" t="s">
        <v>17</v>
      </c>
      <c r="F14" s="27"/>
    </row>
    <row r="15" spans="2:14" x14ac:dyDescent="0.25">
      <c r="B15" s="69" t="s">
        <v>40</v>
      </c>
      <c r="C15" s="59">
        <v>20</v>
      </c>
      <c r="E15" s="7" t="s">
        <v>20</v>
      </c>
      <c r="F15" s="27"/>
    </row>
    <row r="16" spans="2:14" ht="4.5" customHeight="1" x14ac:dyDescent="0.25">
      <c r="B16" s="205"/>
      <c r="C16" s="206"/>
      <c r="D16" s="206"/>
      <c r="E16" s="206"/>
      <c r="F16" s="207"/>
    </row>
    <row r="17" spans="2:14" ht="3.75" customHeight="1" x14ac:dyDescent="0.25">
      <c r="B17" s="69"/>
      <c r="C17" s="70"/>
      <c r="F17" s="71"/>
    </row>
    <row r="18" spans="2:14" x14ac:dyDescent="0.25">
      <c r="B18" s="193" t="s">
        <v>12</v>
      </c>
      <c r="C18" s="194"/>
      <c r="D18" s="194"/>
      <c r="E18" s="194"/>
      <c r="F18" s="195"/>
    </row>
    <row r="19" spans="2:14" s="4" customFormat="1" ht="5.25" customHeight="1" x14ac:dyDescent="0.25">
      <c r="B19" s="72"/>
      <c r="C19" s="73"/>
      <c r="D19" s="73"/>
      <c r="E19" s="73"/>
      <c r="F19" s="74"/>
    </row>
    <row r="20" spans="2:14" x14ac:dyDescent="0.25">
      <c r="B20" s="69" t="s">
        <v>7</v>
      </c>
      <c r="C20" s="88">
        <v>50</v>
      </c>
      <c r="E20" s="7" t="s">
        <v>20</v>
      </c>
      <c r="F20" s="27"/>
    </row>
    <row r="21" spans="2:14" x14ac:dyDescent="0.25">
      <c r="B21" s="69" t="s">
        <v>8</v>
      </c>
      <c r="C21" s="59">
        <v>36</v>
      </c>
      <c r="E21" s="7" t="s">
        <v>20</v>
      </c>
      <c r="F21" s="27"/>
    </row>
    <row r="22" spans="2:14" x14ac:dyDescent="0.25">
      <c r="B22" s="69" t="s">
        <v>9</v>
      </c>
      <c r="C22" s="59">
        <v>0</v>
      </c>
      <c r="E22" s="7" t="s">
        <v>20</v>
      </c>
      <c r="F22" s="27"/>
    </row>
    <row r="23" spans="2:14" x14ac:dyDescent="0.25">
      <c r="B23" s="69" t="s">
        <v>10</v>
      </c>
      <c r="C23" s="59">
        <v>5</v>
      </c>
      <c r="E23" s="7" t="s">
        <v>20</v>
      </c>
      <c r="F23" s="27"/>
    </row>
    <row r="24" spans="2:14" x14ac:dyDescent="0.25">
      <c r="B24" s="69" t="s">
        <v>46</v>
      </c>
      <c r="C24" s="89">
        <v>45797</v>
      </c>
      <c r="D24" s="9"/>
      <c r="E24" s="9"/>
      <c r="F24" s="27"/>
      <c r="G24" s="8" t="str">
        <f ca="1">IF(AND(C3="soybean",M77=TRUE),O77,IF(AND(C3="corn",M76=TRUE),O76,""))</f>
        <v/>
      </c>
      <c r="H24" s="8"/>
      <c r="I24" s="8"/>
      <c r="J24" s="8"/>
      <c r="K24" s="8"/>
      <c r="L24" s="8"/>
      <c r="M24" s="8"/>
      <c r="N24" s="8"/>
    </row>
    <row r="25" spans="2:14" ht="5.25" customHeight="1" x14ac:dyDescent="0.25">
      <c r="B25" s="75"/>
      <c r="C25" s="10"/>
      <c r="D25" s="11"/>
      <c r="E25" s="11"/>
      <c r="F25" s="76"/>
    </row>
    <row r="26" spans="2:14" ht="7.5" customHeight="1" x14ac:dyDescent="0.25">
      <c r="B26" s="66"/>
      <c r="F26" s="27"/>
    </row>
    <row r="27" spans="2:14" x14ac:dyDescent="0.25">
      <c r="B27" s="67" t="s">
        <v>39</v>
      </c>
      <c r="C27" s="64"/>
      <c r="D27" s="4"/>
      <c r="E27" s="19" t="s">
        <v>105</v>
      </c>
      <c r="F27" s="68"/>
      <c r="G27" s="12"/>
    </row>
    <row r="28" spans="2:14" x14ac:dyDescent="0.25">
      <c r="B28" s="77"/>
      <c r="C28" s="78" t="s">
        <v>13</v>
      </c>
      <c r="D28" s="78"/>
      <c r="E28" s="78"/>
      <c r="F28" s="79" t="s">
        <v>21</v>
      </c>
      <c r="G28" s="12"/>
      <c r="H28" s="13"/>
    </row>
    <row r="29" spans="2:14" x14ac:dyDescent="0.25">
      <c r="B29" s="80" t="s">
        <v>14</v>
      </c>
      <c r="C29" s="14">
        <f>IF(C27&gt;0,C27,MIN(C13,IF(C3="soybean",IF(C5="7 inch row",Z66,Z65),IF(C5="normal",Y65,Y66))*C13))</f>
        <v>124.567032967033</v>
      </c>
      <c r="D29" s="15"/>
      <c r="E29" s="7" t="s">
        <v>3</v>
      </c>
      <c r="F29" s="81">
        <f ca="1">IF(F27&gt;0,F27,MIN(C13,IF(C7=AB57,HLOOKUP(C3,Y56:Z62,2,FALSE)*C13,IF(AB58=C7,HLOOKUP(C3,Y56:Z62,4,FALSE)*C13,HLOOKUP(C3,Y56:Z62,6,FALSE)*C13))))</f>
        <v>136.49635036496352</v>
      </c>
      <c r="G29" s="12"/>
    </row>
    <row r="30" spans="2:14" x14ac:dyDescent="0.25">
      <c r="B30" s="80" t="s">
        <v>15</v>
      </c>
      <c r="C30" s="16">
        <f>C29*C14</f>
        <v>560.55164835164851</v>
      </c>
      <c r="D30" s="16"/>
      <c r="E30" s="7" t="s">
        <v>20</v>
      </c>
      <c r="F30" s="82">
        <f ca="1">F29*C14</f>
        <v>614.23357664233583</v>
      </c>
    </row>
    <row r="31" spans="2:14" x14ac:dyDescent="0.25">
      <c r="B31" s="80" t="s">
        <v>6</v>
      </c>
      <c r="C31" s="83"/>
      <c r="D31" s="83"/>
      <c r="E31" s="7" t="s">
        <v>20</v>
      </c>
      <c r="F31" s="82">
        <f>SUM(C20:C23)</f>
        <v>91</v>
      </c>
    </row>
    <row r="32" spans="2:14" x14ac:dyDescent="0.25">
      <c r="B32" s="80" t="s">
        <v>136</v>
      </c>
      <c r="C32" s="83">
        <f>C30-C15</f>
        <v>540.55164835164851</v>
      </c>
      <c r="D32" s="83"/>
      <c r="E32" s="7" t="s">
        <v>20</v>
      </c>
      <c r="F32" s="84">
        <f ca="1">F30+F9-F31</f>
        <v>523.23357664233583</v>
      </c>
      <c r="G32" s="17"/>
    </row>
    <row r="33" spans="2:32" ht="6" customHeight="1" x14ac:dyDescent="0.25">
      <c r="B33" s="196"/>
      <c r="C33" s="197"/>
      <c r="D33" s="197"/>
      <c r="E33" s="197"/>
      <c r="F33" s="198"/>
    </row>
    <row r="34" spans="2:32" ht="9" customHeight="1" thickBot="1" x14ac:dyDescent="0.3">
      <c r="B34" s="199"/>
      <c r="C34" s="200"/>
      <c r="D34" s="200"/>
      <c r="E34" s="200"/>
      <c r="F34" s="201"/>
    </row>
    <row r="35" spans="2:32" ht="18" customHeight="1" thickTop="1" x14ac:dyDescent="0.25">
      <c r="B35" s="67" t="str">
        <f ca="1">IF(L73&gt;0,"Estimated Profit from Replanting is $"&amp;L73&amp;"/acre","Estimated Loss from Replanting is $" &amp;-L73&amp;"/acre")</f>
        <v>Estimated Loss from Replanting is $17.32/acre</v>
      </c>
      <c r="F35" s="27"/>
    </row>
    <row r="36" spans="2:32" ht="6" customHeight="1" thickBot="1" x14ac:dyDescent="0.3">
      <c r="B36" s="85"/>
      <c r="C36" s="86"/>
      <c r="D36" s="86"/>
      <c r="E36" s="86"/>
      <c r="F36" s="87"/>
    </row>
    <row r="37" spans="2:32" x14ac:dyDescent="0.25">
      <c r="B37" s="3"/>
      <c r="C37" s="3"/>
      <c r="D37" s="3"/>
      <c r="E37" s="3"/>
      <c r="F37" s="3"/>
    </row>
    <row r="38" spans="2:32" ht="3.75" customHeight="1" x14ac:dyDescent="0.25"/>
    <row r="40" spans="2:32" hidden="1" x14ac:dyDescent="0.25">
      <c r="X40" s="2" t="s">
        <v>75</v>
      </c>
      <c r="Y40" s="2" t="s">
        <v>85</v>
      </c>
      <c r="AC40" s="2" t="s">
        <v>87</v>
      </c>
      <c r="AF40" s="2">
        <v>15.95</v>
      </c>
    </row>
    <row r="41" spans="2:32" hidden="1" x14ac:dyDescent="0.25">
      <c r="X41" s="2" t="s">
        <v>76</v>
      </c>
      <c r="Y41" s="2" t="s">
        <v>77</v>
      </c>
      <c r="Z41" s="2" t="s">
        <v>78</v>
      </c>
      <c r="AA41" s="2" t="s">
        <v>79</v>
      </c>
      <c r="AB41" s="2" t="s">
        <v>80</v>
      </c>
      <c r="AC41" s="2" t="s">
        <v>81</v>
      </c>
    </row>
    <row r="42" spans="2:32" hidden="1" x14ac:dyDescent="0.25">
      <c r="W42" s="2" t="s">
        <v>82</v>
      </c>
      <c r="X42" s="174">
        <v>19.399999999999999</v>
      </c>
      <c r="Y42" s="174">
        <v>-116</v>
      </c>
      <c r="Z42" s="174">
        <v>10.3</v>
      </c>
      <c r="AA42" s="174">
        <v>95.131425828581101</v>
      </c>
      <c r="AB42" s="174">
        <v>-79.127524903526293</v>
      </c>
      <c r="AC42" s="174">
        <v>132.196656156655</v>
      </c>
    </row>
    <row r="43" spans="2:32" hidden="1" x14ac:dyDescent="0.25">
      <c r="W43" s="2" t="s">
        <v>83</v>
      </c>
      <c r="X43" s="174">
        <v>-0.06</v>
      </c>
      <c r="Y43" s="174">
        <v>2.2999999999999998</v>
      </c>
      <c r="Z43" s="174">
        <v>-0.01</v>
      </c>
      <c r="AA43" s="174">
        <v>-0.10049088002391</v>
      </c>
      <c r="AB43" s="174">
        <v>1.6377402045250999</v>
      </c>
      <c r="AC43" s="174">
        <v>-0.423279919724735</v>
      </c>
    </row>
    <row r="44" spans="2:32" hidden="1" x14ac:dyDescent="0.25">
      <c r="W44" s="2" t="s">
        <v>84</v>
      </c>
      <c r="X44" s="174"/>
      <c r="Y44" s="174">
        <v>-0.01</v>
      </c>
      <c r="Z44" s="174"/>
      <c r="AA44" s="174">
        <v>-3.3100000000000002E-4</v>
      </c>
      <c r="AB44" s="174">
        <v>-4.6600000000000001E-3</v>
      </c>
      <c r="AC44" s="174">
        <v>1.92E-4</v>
      </c>
    </row>
    <row r="45" spans="2:32" hidden="1" x14ac:dyDescent="0.25">
      <c r="P45" s="2" t="s">
        <v>61</v>
      </c>
      <c r="Q45" s="2">
        <v>2024</v>
      </c>
      <c r="W45" s="2" t="s">
        <v>86</v>
      </c>
      <c r="X45" s="2">
        <v>0.15</v>
      </c>
      <c r="Y45" s="2">
        <v>0.08</v>
      </c>
      <c r="Z45" s="2">
        <v>0.87</v>
      </c>
    </row>
    <row r="46" spans="2:32" hidden="1" x14ac:dyDescent="0.25">
      <c r="P46" s="2" t="s">
        <v>62</v>
      </c>
      <c r="Q46" s="2">
        <f ca="1">YEAR(NOW())</f>
        <v>2025</v>
      </c>
    </row>
    <row r="47" spans="2:32" hidden="1" x14ac:dyDescent="0.25">
      <c r="P47" s="2" t="s">
        <v>63</v>
      </c>
      <c r="Q47" s="2">
        <f ca="1">Q46-Q45</f>
        <v>1</v>
      </c>
      <c r="W47" s="2" t="s">
        <v>100</v>
      </c>
      <c r="X47" s="2" t="s">
        <v>4</v>
      </c>
      <c r="Y47" s="2" t="s">
        <v>99</v>
      </c>
    </row>
    <row r="48" spans="2:32" hidden="1" x14ac:dyDescent="0.25">
      <c r="P48" s="2" t="s">
        <v>51</v>
      </c>
      <c r="Q48" s="18"/>
      <c r="R48" s="18"/>
      <c r="S48" s="18">
        <f ca="1">DATE(YEAR(C24)-Q47,MONTH(C24),DAY(C24))</f>
        <v>45432</v>
      </c>
      <c r="W48" s="2" t="s">
        <v>96</v>
      </c>
      <c r="X48" s="183">
        <v>95</v>
      </c>
      <c r="Y48" s="183">
        <v>105</v>
      </c>
    </row>
    <row r="49" spans="8:36" hidden="1" x14ac:dyDescent="0.25">
      <c r="P49" s="2" t="s">
        <v>89</v>
      </c>
      <c r="Q49" s="18">
        <v>45292</v>
      </c>
      <c r="S49" s="9">
        <f ca="1">DATE(YEAR(C24)-Q47,MONTH(Q49),DAY(Q49))</f>
        <v>45292</v>
      </c>
      <c r="T49" s="9">
        <f ca="1">DATE(YEAR(C24)-Q47,MONTH(Q49),DAY(Q49))</f>
        <v>45292</v>
      </c>
      <c r="U49" s="9"/>
      <c r="V49" s="9"/>
      <c r="W49" s="2" t="s">
        <v>97</v>
      </c>
      <c r="X49" s="183">
        <v>115</v>
      </c>
      <c r="Y49" s="183">
        <v>105</v>
      </c>
    </row>
    <row r="50" spans="8:36" hidden="1" x14ac:dyDescent="0.25">
      <c r="H50" s="19"/>
      <c r="Q50" s="18"/>
      <c r="S50" s="2">
        <f ca="1">S48-S49</f>
        <v>140</v>
      </c>
      <c r="T50" s="2">
        <f ca="1">S48-T49</f>
        <v>140</v>
      </c>
      <c r="W50" s="2" t="s">
        <v>98</v>
      </c>
      <c r="X50" s="183">
        <v>91</v>
      </c>
      <c r="Y50" s="183">
        <v>171</v>
      </c>
    </row>
    <row r="52" spans="8:36" hidden="1" x14ac:dyDescent="0.25">
      <c r="H52" s="12"/>
    </row>
    <row r="53" spans="8:36" hidden="1" x14ac:dyDescent="0.25">
      <c r="P53" s="2" t="s">
        <v>71</v>
      </c>
      <c r="AG53" s="2" t="s">
        <v>115</v>
      </c>
      <c r="AI53" s="2" t="s">
        <v>4</v>
      </c>
      <c r="AJ53" s="2" t="s">
        <v>116</v>
      </c>
    </row>
    <row r="54" spans="8:36" ht="14.25" hidden="1" thickBot="1" x14ac:dyDescent="0.3">
      <c r="P54" s="2" t="s">
        <v>65</v>
      </c>
      <c r="AG54" s="2" t="s">
        <v>113</v>
      </c>
    </row>
    <row r="55" spans="8:36" ht="14.25" hidden="1" thickBot="1" x14ac:dyDescent="0.3">
      <c r="M55" s="20"/>
      <c r="Q55" s="21" t="s">
        <v>18</v>
      </c>
      <c r="R55" s="22"/>
      <c r="S55" s="21" t="s">
        <v>92</v>
      </c>
      <c r="T55" s="22"/>
      <c r="U55" s="21" t="s">
        <v>93</v>
      </c>
      <c r="V55" s="22"/>
      <c r="X55" s="2" t="s">
        <v>56</v>
      </c>
      <c r="AB55" s="2" t="s">
        <v>90</v>
      </c>
      <c r="AG55" s="2" t="s">
        <v>114</v>
      </c>
    </row>
    <row r="56" spans="8:36" hidden="1" x14ac:dyDescent="0.25">
      <c r="M56" s="20"/>
      <c r="P56" s="2" t="s">
        <v>52</v>
      </c>
      <c r="Q56" s="23" t="s">
        <v>4</v>
      </c>
      <c r="R56" s="24" t="s">
        <v>24</v>
      </c>
      <c r="S56" s="23" t="s">
        <v>4</v>
      </c>
      <c r="T56" s="24" t="s">
        <v>24</v>
      </c>
      <c r="U56" s="23" t="s">
        <v>4</v>
      </c>
      <c r="V56" s="24" t="s">
        <v>24</v>
      </c>
      <c r="X56" s="19" t="s">
        <v>47</v>
      </c>
      <c r="Y56" s="25" t="s">
        <v>4</v>
      </c>
      <c r="Z56" s="2" t="s">
        <v>24</v>
      </c>
      <c r="AG56" s="2" t="s">
        <v>117</v>
      </c>
    </row>
    <row r="57" spans="8:36" hidden="1" x14ac:dyDescent="0.25">
      <c r="M57" s="20"/>
      <c r="O57" s="2" t="s">
        <v>55</v>
      </c>
      <c r="P57" s="2" t="s">
        <v>72</v>
      </c>
      <c r="Q57" s="172">
        <f>X42*AF40</f>
        <v>309.42999999999995</v>
      </c>
      <c r="R57" s="173">
        <f>AA42</f>
        <v>95.131425828581101</v>
      </c>
      <c r="S57" s="172">
        <f>Y42*AF40</f>
        <v>-1850.1999999999998</v>
      </c>
      <c r="T57" s="173">
        <f>AC42</f>
        <v>132.196656156655</v>
      </c>
      <c r="U57" s="172">
        <f>Z42*AF40</f>
        <v>164.285</v>
      </c>
      <c r="V57" s="173">
        <f>AB42</f>
        <v>-79.127524903526293</v>
      </c>
      <c r="X57" s="12" t="s">
        <v>18</v>
      </c>
      <c r="Y57" s="175">
        <f ca="1">(Q57+$S$50*Q58+$S$50^2*Q59)/Y58</f>
        <v>0.8029197080291971</v>
      </c>
      <c r="Z57" s="28">
        <f ca="1">(R57+$S$50*R58+$S$50^2*R59)/Z58</f>
        <v>0.92146968959658127</v>
      </c>
      <c r="AB57" s="2" t="s">
        <v>94</v>
      </c>
    </row>
    <row r="58" spans="8:36" hidden="1" x14ac:dyDescent="0.25">
      <c r="O58" s="2" t="s">
        <v>54</v>
      </c>
      <c r="P58" s="2" t="s">
        <v>73</v>
      </c>
      <c r="Q58" s="172">
        <f>X43*AF40</f>
        <v>-0.95699999999999996</v>
      </c>
      <c r="R58" s="173">
        <f t="shared" ref="R58:R59" si="0">AA43</f>
        <v>-0.10049088002391</v>
      </c>
      <c r="S58" s="172">
        <f>Y43*AF40</f>
        <v>36.684999999999995</v>
      </c>
      <c r="T58" s="173">
        <f>AC43</f>
        <v>-0.423279919724735</v>
      </c>
      <c r="U58" s="172">
        <f>Z43*AF40</f>
        <v>-0.1595</v>
      </c>
      <c r="V58" s="173">
        <f>AB43</f>
        <v>1.6377402045250999</v>
      </c>
      <c r="X58" s="2" t="s">
        <v>91</v>
      </c>
      <c r="Y58" s="176">
        <f>(Q57+X48*Q58+X49^2*Q59)</f>
        <v>218.51499999999996</v>
      </c>
      <c r="Z58" s="29">
        <f>(R57+Y48*R58+Y48^2*R59)</f>
        <v>80.930608426070549</v>
      </c>
      <c r="AB58" s="2" t="s">
        <v>88</v>
      </c>
      <c r="AG58" s="2" t="s">
        <v>122</v>
      </c>
      <c r="AH58" s="2">
        <v>37.6</v>
      </c>
    </row>
    <row r="59" spans="8:36" ht="15.75" hidden="1" x14ac:dyDescent="0.25">
      <c r="N59" s="30"/>
      <c r="O59" s="31" t="s">
        <v>53</v>
      </c>
      <c r="P59" s="2" t="s">
        <v>74</v>
      </c>
      <c r="Q59" s="172">
        <v>0</v>
      </c>
      <c r="R59" s="173">
        <f t="shared" si="0"/>
        <v>-3.3100000000000002E-4</v>
      </c>
      <c r="S59" s="172">
        <f>Y44*AF40</f>
        <v>-0.1595</v>
      </c>
      <c r="T59" s="173">
        <f>AC44</f>
        <v>1.92E-4</v>
      </c>
      <c r="U59" s="172">
        <f>AA44*AH40</f>
        <v>0</v>
      </c>
      <c r="V59" s="173">
        <f>AB44</f>
        <v>-4.6600000000000001E-3</v>
      </c>
      <c r="X59" s="2" t="s">
        <v>88</v>
      </c>
      <c r="Y59" s="175">
        <f ca="1">(S57+$S$50*S58+($S$50^2*S59))/Y60</f>
        <v>0.61538461538461364</v>
      </c>
      <c r="Z59" s="28">
        <f ca="1">(T57+$T$50*T58+$T$50^2*T59)/Z60</f>
        <v>0.85347130015102102</v>
      </c>
      <c r="AB59" s="2" t="s">
        <v>95</v>
      </c>
      <c r="AG59" s="2" t="s">
        <v>121</v>
      </c>
      <c r="AH59" s="2">
        <v>0</v>
      </c>
    </row>
    <row r="60" spans="8:36" ht="15.75" hidden="1" x14ac:dyDescent="0.25">
      <c r="N60" s="30"/>
      <c r="O60" s="31"/>
      <c r="P60" s="2" t="s">
        <v>57</v>
      </c>
      <c r="Q60" s="32">
        <v>45383</v>
      </c>
      <c r="R60" s="33">
        <v>45392</v>
      </c>
      <c r="S60" s="32">
        <v>45371</v>
      </c>
      <c r="T60" s="33">
        <v>45392</v>
      </c>
      <c r="U60" s="32">
        <v>45392</v>
      </c>
      <c r="V60" s="33">
        <v>45392</v>
      </c>
      <c r="X60" s="2" t="s">
        <v>91</v>
      </c>
      <c r="Y60" s="176">
        <f>(S57+X49*S58+(X49^2*S59))</f>
        <v>259.1875</v>
      </c>
      <c r="Z60" s="29">
        <f>(T57+Y49*T58+(Y49^2*T59))</f>
        <v>89.869064585557808</v>
      </c>
      <c r="AG60" s="2" t="s">
        <v>119</v>
      </c>
      <c r="AH60" s="2">
        <v>31.62</v>
      </c>
    </row>
    <row r="61" spans="8:36" ht="15.75" hidden="1" x14ac:dyDescent="0.25">
      <c r="N61" s="30"/>
      <c r="O61" s="31"/>
      <c r="P61" s="2" t="s">
        <v>58</v>
      </c>
      <c r="Q61" s="32">
        <v>45458</v>
      </c>
      <c r="R61" s="33">
        <v>45478</v>
      </c>
      <c r="S61" s="32">
        <v>45422</v>
      </c>
      <c r="T61" s="33">
        <v>45474</v>
      </c>
      <c r="U61" s="32">
        <v>45458</v>
      </c>
      <c r="V61" s="33">
        <v>45488</v>
      </c>
      <c r="X61" s="2" t="s">
        <v>95</v>
      </c>
      <c r="Y61" s="175">
        <f ca="1">(U57+$S$50*U58+($S$50^2*U59))/Y62</f>
        <v>0.94781682641107556</v>
      </c>
      <c r="Z61" s="28">
        <f ca="1">(V57+$T$50*V58+($T$50^2*V59))/Z62</f>
        <v>0.90964095019532931</v>
      </c>
      <c r="AB61" s="2" t="s">
        <v>101</v>
      </c>
      <c r="AG61" s="2" t="s">
        <v>120</v>
      </c>
      <c r="AH61" s="2">
        <v>0</v>
      </c>
    </row>
    <row r="62" spans="8:36" ht="15.75" hidden="1" x14ac:dyDescent="0.25">
      <c r="N62" s="30"/>
      <c r="O62" s="31"/>
      <c r="P62" s="2" t="s">
        <v>59</v>
      </c>
      <c r="Q62" s="32">
        <f ca="1">DATE(YEAR(Q60)+$Q$47,MONTH(Q60),DAY(Q60))</f>
        <v>45748</v>
      </c>
      <c r="R62" s="33">
        <f t="shared" ref="R62:T62" ca="1" si="1">DATE(YEAR(R60)+$Q$47,MONTH(R60),DAY(R60))</f>
        <v>45757</v>
      </c>
      <c r="S62" s="32">
        <f t="shared" ca="1" si="1"/>
        <v>45736</v>
      </c>
      <c r="T62" s="33">
        <f t="shared" ca="1" si="1"/>
        <v>45757</v>
      </c>
      <c r="U62" s="32">
        <f t="shared" ref="U62" ca="1" si="2">DATE(YEAR(U60)+$Q$47,MONTH(U60),DAY(U60))</f>
        <v>45757</v>
      </c>
      <c r="V62" s="33">
        <f t="shared" ref="V62" ca="1" si="3">DATE(YEAR(V60)+$Q$47,MONTH(V60),DAY(V60))</f>
        <v>45757</v>
      </c>
      <c r="X62" s="2" t="s">
        <v>91</v>
      </c>
      <c r="Y62" s="176">
        <f>(U57+X50*U58+(X50^2*U59))</f>
        <v>149.7705</v>
      </c>
      <c r="Z62" s="29">
        <f>(V57+Y50*V58+(Y50^2*V59))</f>
        <v>64.662990070265778</v>
      </c>
      <c r="AG62" s="2" t="s">
        <v>117</v>
      </c>
      <c r="AH62" s="5">
        <v>0</v>
      </c>
    </row>
    <row r="63" spans="8:36" ht="15.75" hidden="1" x14ac:dyDescent="0.25">
      <c r="N63" s="30"/>
      <c r="O63" s="31"/>
      <c r="P63" s="2" t="s">
        <v>60</v>
      </c>
      <c r="Q63" s="32">
        <f ca="1">DATE(YEAR(Q61)+$Q$47,MONTH(Q61),DAY(Q61))</f>
        <v>45823</v>
      </c>
      <c r="R63" s="33">
        <f t="shared" ref="R63:T63" ca="1" si="4">DATE(YEAR(R61)+$Q$47,MONTH(R61),DAY(R61))</f>
        <v>45843</v>
      </c>
      <c r="S63" s="32">
        <f t="shared" ca="1" si="4"/>
        <v>45787</v>
      </c>
      <c r="T63" s="33">
        <f t="shared" ca="1" si="4"/>
        <v>45839</v>
      </c>
      <c r="U63" s="32">
        <f t="shared" ref="U63" ca="1" si="5">DATE(YEAR(U61)+$Q$47,MONTH(U61),DAY(U61))</f>
        <v>45823</v>
      </c>
      <c r="V63" s="33">
        <f t="shared" ref="V63" ca="1" si="6">DATE(YEAR(V61)+$Q$47,MONTH(V61),DAY(V61))</f>
        <v>45853</v>
      </c>
      <c r="AG63" s="2" t="s">
        <v>123</v>
      </c>
      <c r="AH63" s="2">
        <v>0</v>
      </c>
    </row>
    <row r="64" spans="8:36" ht="16.5" hidden="1" thickBot="1" x14ac:dyDescent="0.3">
      <c r="N64" s="30"/>
      <c r="O64" s="31"/>
      <c r="Q64" s="34"/>
      <c r="R64" s="35"/>
      <c r="S64" s="34"/>
      <c r="T64" s="35"/>
      <c r="U64" s="34"/>
      <c r="V64" s="35"/>
      <c r="Y64" s="25" t="s">
        <v>4</v>
      </c>
      <c r="Z64" s="2" t="s">
        <v>24</v>
      </c>
      <c r="AG64" s="2" t="s">
        <v>124</v>
      </c>
      <c r="AH64" s="2">
        <v>0</v>
      </c>
    </row>
    <row r="65" spans="10:32" ht="15.75" hidden="1" x14ac:dyDescent="0.25">
      <c r="N65" s="30"/>
      <c r="O65" s="31"/>
      <c r="X65" s="2" t="s">
        <v>44</v>
      </c>
      <c r="Y65" s="20">
        <f>(X72+X73*$C$12+X74*$C$12^2)/100</f>
        <v>0.73274725274725294</v>
      </c>
      <c r="Z65" s="20">
        <f>Z72+Z73*$C$12+Z74*$C$12^2+Z75*$C$12^3</f>
        <v>0.35314107226107261</v>
      </c>
      <c r="AA65" s="2" t="s">
        <v>67</v>
      </c>
    </row>
    <row r="66" spans="10:32" ht="15.75" hidden="1" x14ac:dyDescent="0.25">
      <c r="N66" s="30"/>
      <c r="O66" s="31"/>
      <c r="X66" s="2" t="s">
        <v>45</v>
      </c>
      <c r="Y66" s="20">
        <f>(Y72+Y73*$C$12+Y74*$C$12^2)/100</f>
        <v>0.62010989010988993</v>
      </c>
      <c r="Z66" s="20">
        <f>AA72+AA73*$C$12+AA74*$C$12^2+AA75*$C$12^3</f>
        <v>0.31769006993007021</v>
      </c>
      <c r="AA66" s="2" t="s">
        <v>68</v>
      </c>
    </row>
    <row r="67" spans="10:32" ht="15.75" hidden="1" x14ac:dyDescent="0.25">
      <c r="N67" s="30"/>
      <c r="O67" s="31"/>
      <c r="X67" s="2" t="s">
        <v>69</v>
      </c>
      <c r="Y67" s="36">
        <v>12000</v>
      </c>
      <c r="Z67" s="36">
        <v>20000</v>
      </c>
    </row>
    <row r="68" spans="10:32" ht="15.75" hidden="1" x14ac:dyDescent="0.25">
      <c r="N68" s="30"/>
      <c r="O68" s="31"/>
      <c r="W68" s="5"/>
      <c r="X68" s="2" t="s">
        <v>70</v>
      </c>
      <c r="Y68" s="36">
        <v>36000</v>
      </c>
      <c r="Z68" s="36">
        <v>160000</v>
      </c>
    </row>
    <row r="69" spans="10:32" ht="15.75" hidden="1" customHeight="1" x14ac:dyDescent="0.25">
      <c r="N69" s="30"/>
      <c r="O69" s="31"/>
    </row>
    <row r="70" spans="10:32" hidden="1" x14ac:dyDescent="0.25">
      <c r="W70" s="2" t="s">
        <v>66</v>
      </c>
    </row>
    <row r="71" spans="10:32" hidden="1" x14ac:dyDescent="0.25">
      <c r="X71" s="26" t="s">
        <v>44</v>
      </c>
      <c r="Y71" s="27" t="s">
        <v>45</v>
      </c>
      <c r="Z71" s="26" t="s">
        <v>67</v>
      </c>
      <c r="AA71" s="27" t="s">
        <v>68</v>
      </c>
    </row>
    <row r="72" spans="10:32" ht="15.75" hidden="1" customHeight="1" x14ac:dyDescent="0.25">
      <c r="L72" s="2" t="s">
        <v>50</v>
      </c>
      <c r="X72" s="26">
        <v>16.827172827172799</v>
      </c>
      <c r="Y72" s="27">
        <v>9.8011988011987299</v>
      </c>
      <c r="Z72" s="26">
        <v>5.1515151515152097E-2</v>
      </c>
      <c r="AA72" s="27">
        <v>-9.9999999999995648E-3</v>
      </c>
      <c r="AD72" s="192"/>
      <c r="AE72" s="192"/>
    </row>
    <row r="73" spans="10:32" ht="15.75" hidden="1" x14ac:dyDescent="0.25">
      <c r="L73" s="37">
        <f ca="1">ROUND(F32-C32,2)</f>
        <v>-17.32</v>
      </c>
      <c r="X73" s="26">
        <v>5.1333666333666372E-3</v>
      </c>
      <c r="Y73" s="27">
        <v>4.4967532467532515E-3</v>
      </c>
      <c r="Z73" s="26">
        <v>2.450777000776999E-5</v>
      </c>
      <c r="AA73" s="27">
        <v>2.6939393939393927E-5</v>
      </c>
      <c r="AD73" s="31"/>
      <c r="AE73" s="31"/>
    </row>
    <row r="74" spans="10:32" ht="15.75" hidden="1" x14ac:dyDescent="0.25">
      <c r="X74" s="26">
        <v>-7.867132867132871E-8</v>
      </c>
      <c r="Y74" s="27">
        <v>-5.4820179820179877E-8</v>
      </c>
      <c r="Z74" s="26">
        <v>-2.2132867132867108E-10</v>
      </c>
      <c r="AA74" s="27">
        <v>-2.6532634032634011E-10</v>
      </c>
      <c r="AD74" s="38"/>
      <c r="AE74" s="31"/>
      <c r="AF74" s="18"/>
    </row>
    <row r="75" spans="10:32" ht="15.75" hidden="1" x14ac:dyDescent="0.25">
      <c r="J75" s="39"/>
      <c r="L75" s="19" t="s">
        <v>43</v>
      </c>
      <c r="X75" s="26"/>
      <c r="Y75" s="27"/>
      <c r="Z75" s="26">
        <v>6.9153069153069021E-16</v>
      </c>
      <c r="AA75" s="27">
        <v>9.2657342657342504E-16</v>
      </c>
      <c r="AD75" s="38"/>
      <c r="AE75" s="31"/>
      <c r="AF75" s="18"/>
    </row>
    <row r="76" spans="10:32" ht="15.75" hidden="1" x14ac:dyDescent="0.25">
      <c r="J76" s="39"/>
      <c r="L76" s="40" t="s">
        <v>4</v>
      </c>
      <c r="M76" s="40" t="b">
        <f ca="1">IF(C7="Southeast and Southwest MO",(OR(C24&lt;S62,C24&gt;S63)),(OR(C24&lt;Q62,C24&gt;Q63)))</f>
        <v>0</v>
      </c>
      <c r="O76" s="2" t="str">
        <f ca="1">IF(C7=AB58,"No data available for planting before "&amp;TEXT(S62,"mmm-dd")&amp;" and after "&amp;TEXT(S63,"mmm-dd")&amp;".  Estimate of yields may not be reliable.",IF(C7=AB57,"No data available for planting before "&amp;TEXT(Q62,"mmm-dd")&amp;" and after "&amp;TEXT(Q63,"mmm-dd")&amp;".  Estimate of yields may not be reliable.","No data available for planting before "&amp;TEXT(U62,"mmm-dd")&amp;" and after "&amp;TEXT(U63,"mmm-dd")&amp;".  Estimate of yields may not be reliable."))</f>
        <v>No data available for planting before Apr-01 and after Jun-15.  Estimate of yields may not be reliable.</v>
      </c>
      <c r="AD76" s="38"/>
      <c r="AE76" s="31"/>
      <c r="AF76" s="18"/>
    </row>
    <row r="77" spans="10:32" ht="15.75" hidden="1" x14ac:dyDescent="0.25">
      <c r="J77" s="39"/>
      <c r="L77" s="40" t="s">
        <v>24</v>
      </c>
      <c r="M77" s="40" t="b">
        <f ca="1">IF(C7="Southeast and Southwest MO",(OR(C24&lt;T62,C24&gt;T63)),(OR(C24&lt;R62,C24&gt;R63)))</f>
        <v>0</v>
      </c>
      <c r="O77" s="2" t="str">
        <f ca="1">IF(C7=AB58,"No data available for planting before "&amp;TEXT(T62,"mmm-dd")&amp;" and after "&amp;TEXT(T63,"mmm-dd")&amp;".  Estimate of yields may not be reliable.",IF(C7=AB57,"No data available for planting before "&amp;TEXT(R62,"mmm-dd")&amp;" and after "&amp;TEXT(R63,"mmm-dd")&amp;".  Estimate of yields may not be reliable.","No data available for planting before "&amp;TEXT(V62,"mmm-dd")&amp;" and after "&amp;TEXT(V63,"mmm-dd")&amp;".  Estimate of yields may not be reliable."))</f>
        <v>No data available for planting before Apr-10 and after Jul-05.  Estimate of yields may not be reliable.</v>
      </c>
      <c r="T77" s="31"/>
      <c r="U77" s="31"/>
      <c r="V77" s="31"/>
      <c r="AD77" s="38"/>
      <c r="AE77" s="31"/>
      <c r="AF77" s="18"/>
    </row>
    <row r="78" spans="10:32" ht="15.75" hidden="1" customHeight="1" x14ac:dyDescent="0.25">
      <c r="J78" s="39"/>
      <c r="L78" s="2" t="s">
        <v>4</v>
      </c>
      <c r="T78" s="9"/>
      <c r="U78" s="9"/>
      <c r="V78" s="9">
        <v>45658</v>
      </c>
      <c r="AD78" s="38"/>
      <c r="AE78" s="31"/>
      <c r="AF78" s="30"/>
    </row>
    <row r="79" spans="10:32" ht="15.75" hidden="1" x14ac:dyDescent="0.25">
      <c r="J79" s="39"/>
      <c r="AD79" s="38"/>
      <c r="AE79" s="31"/>
      <c r="AF79" s="30"/>
    </row>
    <row r="80" spans="10:32" ht="15.75" hidden="1" customHeight="1" x14ac:dyDescent="0.25">
      <c r="J80" s="39"/>
      <c r="L80" s="19" t="s">
        <v>64</v>
      </c>
      <c r="V80" s="178" t="s">
        <v>139</v>
      </c>
      <c r="W80" s="179"/>
      <c r="X80" s="179"/>
      <c r="Y80" s="179"/>
      <c r="Z80" s="179"/>
      <c r="AA80" s="179"/>
      <c r="AB80" s="179"/>
      <c r="AC80" s="180"/>
      <c r="AD80" s="181"/>
      <c r="AE80" s="182"/>
      <c r="AF80" s="181"/>
    </row>
    <row r="81" spans="2:37" hidden="1" x14ac:dyDescent="0.25">
      <c r="J81" s="39"/>
      <c r="L81" s="2" t="str">
        <f>IF(C3="corn","Normal","30 inch row")</f>
        <v>Normal</v>
      </c>
      <c r="V81" s="40" t="s">
        <v>151</v>
      </c>
      <c r="W81" s="40" t="s">
        <v>141</v>
      </c>
      <c r="X81" s="40" t="s">
        <v>142</v>
      </c>
      <c r="Y81" s="40" t="s">
        <v>143</v>
      </c>
      <c r="Z81" s="40" t="s">
        <v>144</v>
      </c>
      <c r="AA81" s="40" t="s">
        <v>145</v>
      </c>
      <c r="AB81" s="40" t="s">
        <v>146</v>
      </c>
      <c r="AC81" s="40" t="s">
        <v>147</v>
      </c>
      <c r="AD81" s="40" t="s">
        <v>148</v>
      </c>
      <c r="AE81" s="40" t="s">
        <v>149</v>
      </c>
      <c r="AF81" s="40" t="s">
        <v>150</v>
      </c>
    </row>
    <row r="82" spans="2:37" hidden="1" x14ac:dyDescent="0.25">
      <c r="J82" s="39"/>
      <c r="L82" s="2" t="str">
        <f>IF(C3="corn","High","7 inch row")</f>
        <v>High</v>
      </c>
      <c r="P82" s="41"/>
      <c r="U82" s="2">
        <f t="shared" ref="U82:U92" si="7">DAYS360($V$78,V82,FALSE)</f>
        <v>94</v>
      </c>
      <c r="V82" s="9">
        <v>45752</v>
      </c>
      <c r="W82" s="177">
        <f t="shared" ref="W82:AF92" si="8">MIN(1,($Q$57+$U82*$Q$58+($U82^2*$Q$59))/$Y$58*($X$72+W$81*$X$73+(W$81^2*$X$74))/100)</f>
        <v>0.56903219408328909</v>
      </c>
      <c r="X82" s="177">
        <f t="shared" si="8"/>
        <v>0.67392764899334257</v>
      </c>
      <c r="Y82" s="177">
        <f t="shared" si="8"/>
        <v>0.76460024646885982</v>
      </c>
      <c r="Z82" s="177">
        <f t="shared" si="8"/>
        <v>0.84104998650984086</v>
      </c>
      <c r="AA82" s="177">
        <f t="shared" si="8"/>
        <v>0.90327686911628557</v>
      </c>
      <c r="AB82" s="177">
        <f t="shared" si="8"/>
        <v>0.95128089428819396</v>
      </c>
      <c r="AC82" s="177">
        <f t="shared" si="8"/>
        <v>0.98506206202556612</v>
      </c>
      <c r="AD82" s="177">
        <f t="shared" si="8"/>
        <v>1</v>
      </c>
      <c r="AE82" s="177">
        <f t="shared" si="8"/>
        <v>1</v>
      </c>
      <c r="AF82" s="177">
        <f t="shared" si="8"/>
        <v>1</v>
      </c>
    </row>
    <row r="83" spans="2:37" hidden="1" x14ac:dyDescent="0.25">
      <c r="J83" s="39"/>
      <c r="P83" s="20"/>
      <c r="U83" s="2">
        <f t="shared" si="7"/>
        <v>101</v>
      </c>
      <c r="V83" s="9">
        <v>45759</v>
      </c>
      <c r="W83" s="177">
        <f t="shared" si="8"/>
        <v>0.55166347885690958</v>
      </c>
      <c r="X83" s="177">
        <f t="shared" si="8"/>
        <v>0.65335718296302248</v>
      </c>
      <c r="Y83" s="177">
        <f t="shared" si="8"/>
        <v>0.74126215755047897</v>
      </c>
      <c r="Z83" s="177">
        <f t="shared" si="8"/>
        <v>0.81537840261927885</v>
      </c>
      <c r="AA83" s="177">
        <f t="shared" si="8"/>
        <v>0.87570591816942212</v>
      </c>
      <c r="AB83" s="177">
        <f t="shared" si="8"/>
        <v>0.92224470420090898</v>
      </c>
      <c r="AC83" s="177">
        <f t="shared" si="8"/>
        <v>0.95499476071373934</v>
      </c>
      <c r="AD83" s="177">
        <f t="shared" si="8"/>
        <v>0.97395608770791298</v>
      </c>
      <c r="AE83" s="177">
        <f t="shared" si="8"/>
        <v>0.97912868518343033</v>
      </c>
      <c r="AF83" s="177">
        <f t="shared" si="8"/>
        <v>0.97051255314029117</v>
      </c>
    </row>
    <row r="84" spans="2:37" hidden="1" x14ac:dyDescent="0.25">
      <c r="J84" s="39"/>
      <c r="U84" s="2">
        <f t="shared" si="7"/>
        <v>108</v>
      </c>
      <c r="V84" s="9">
        <v>45766</v>
      </c>
      <c r="W84" s="177">
        <f t="shared" si="8"/>
        <v>0.53429476363053008</v>
      </c>
      <c r="X84" s="177">
        <f t="shared" si="8"/>
        <v>0.63278671693270239</v>
      </c>
      <c r="Y84" s="177">
        <f t="shared" si="8"/>
        <v>0.71792406863209801</v>
      </c>
      <c r="Z84" s="177">
        <f t="shared" si="8"/>
        <v>0.78970681872871684</v>
      </c>
      <c r="AA84" s="177">
        <f t="shared" si="8"/>
        <v>0.84813496722255877</v>
      </c>
      <c r="AB84" s="177">
        <f t="shared" si="8"/>
        <v>0.89320851411362401</v>
      </c>
      <c r="AC84" s="177">
        <f t="shared" si="8"/>
        <v>0.92492745940191246</v>
      </c>
      <c r="AD84" s="177">
        <f t="shared" si="8"/>
        <v>0.94329180308742411</v>
      </c>
      <c r="AE84" s="177">
        <f t="shared" si="8"/>
        <v>0.94830154517015897</v>
      </c>
      <c r="AF84" s="177">
        <f t="shared" si="8"/>
        <v>0.93995668565011714</v>
      </c>
    </row>
    <row r="85" spans="2:37" hidden="1" x14ac:dyDescent="0.25">
      <c r="J85" s="39"/>
      <c r="U85" s="2">
        <f t="shared" si="7"/>
        <v>115</v>
      </c>
      <c r="V85" s="9">
        <v>45773</v>
      </c>
      <c r="W85" s="177">
        <f t="shared" si="8"/>
        <v>0.51692604840415057</v>
      </c>
      <c r="X85" s="177">
        <f t="shared" si="8"/>
        <v>0.6122162509023823</v>
      </c>
      <c r="Y85" s="177">
        <f t="shared" si="8"/>
        <v>0.69458597971371705</v>
      </c>
      <c r="Z85" s="177">
        <f t="shared" si="8"/>
        <v>0.76403523483815472</v>
      </c>
      <c r="AA85" s="177">
        <f t="shared" si="8"/>
        <v>0.82056401627569531</v>
      </c>
      <c r="AB85" s="177">
        <f t="shared" si="8"/>
        <v>0.86417232402633881</v>
      </c>
      <c r="AC85" s="177">
        <f t="shared" si="8"/>
        <v>0.89486015809008534</v>
      </c>
      <c r="AD85" s="177">
        <f t="shared" si="8"/>
        <v>0.91262751846693491</v>
      </c>
      <c r="AE85" s="177">
        <f t="shared" si="8"/>
        <v>0.91747440515688738</v>
      </c>
      <c r="AF85" s="177">
        <f t="shared" si="8"/>
        <v>0.90940081815994289</v>
      </c>
    </row>
    <row r="86" spans="2:37" hidden="1" x14ac:dyDescent="0.25">
      <c r="B86" s="2" t="s">
        <v>125</v>
      </c>
      <c r="C86" s="2" t="s">
        <v>96</v>
      </c>
      <c r="E86" s="2" t="s">
        <v>97</v>
      </c>
      <c r="G86" s="2" t="s">
        <v>126</v>
      </c>
      <c r="J86" s="19"/>
      <c r="U86" s="2">
        <f t="shared" si="7"/>
        <v>122</v>
      </c>
      <c r="V86" s="9">
        <v>45780</v>
      </c>
      <c r="W86" s="177">
        <f t="shared" si="8"/>
        <v>0.49955733317777118</v>
      </c>
      <c r="X86" s="177">
        <f t="shared" si="8"/>
        <v>0.59164578487206232</v>
      </c>
      <c r="Y86" s="177">
        <f t="shared" si="8"/>
        <v>0.67124789079533631</v>
      </c>
      <c r="Z86" s="177">
        <f t="shared" si="8"/>
        <v>0.73836365094759282</v>
      </c>
      <c r="AA86" s="177">
        <f t="shared" si="8"/>
        <v>0.79299306532883207</v>
      </c>
      <c r="AB86" s="177">
        <f t="shared" si="8"/>
        <v>0.83513613393905406</v>
      </c>
      <c r="AC86" s="177">
        <f t="shared" si="8"/>
        <v>0.86479285677825857</v>
      </c>
      <c r="AD86" s="177">
        <f t="shared" si="8"/>
        <v>0.88196323384644604</v>
      </c>
      <c r="AE86" s="177">
        <f t="shared" si="8"/>
        <v>0.88664726514361603</v>
      </c>
      <c r="AF86" s="177">
        <f t="shared" si="8"/>
        <v>0.87884495066976887</v>
      </c>
    </row>
    <row r="87" spans="2:37" ht="15.75" hidden="1" customHeight="1" x14ac:dyDescent="0.25">
      <c r="B87" s="2" t="s">
        <v>127</v>
      </c>
      <c r="C87" s="2" t="s">
        <v>4</v>
      </c>
      <c r="D87" s="2" t="s">
        <v>24</v>
      </c>
      <c r="E87" s="2" t="s">
        <v>4</v>
      </c>
      <c r="F87" s="2" t="s">
        <v>24</v>
      </c>
      <c r="G87" s="2" t="s">
        <v>4</v>
      </c>
      <c r="H87" s="2" t="s">
        <v>24</v>
      </c>
      <c r="N87" s="42"/>
      <c r="O87" s="41"/>
      <c r="U87" s="2">
        <f t="shared" si="7"/>
        <v>129</v>
      </c>
      <c r="V87" s="9">
        <v>45787</v>
      </c>
      <c r="W87" s="177">
        <f t="shared" si="8"/>
        <v>0.48218861795139178</v>
      </c>
      <c r="X87" s="177">
        <f t="shared" si="8"/>
        <v>0.57107531884174234</v>
      </c>
      <c r="Y87" s="177">
        <f t="shared" si="8"/>
        <v>0.64790980187695535</v>
      </c>
      <c r="Z87" s="177">
        <f t="shared" si="8"/>
        <v>0.71269206705703081</v>
      </c>
      <c r="AA87" s="177">
        <f t="shared" si="8"/>
        <v>0.76542211438196872</v>
      </c>
      <c r="AB87" s="177">
        <f t="shared" si="8"/>
        <v>0.80609994385176909</v>
      </c>
      <c r="AC87" s="177">
        <f t="shared" si="8"/>
        <v>0.8347255554664319</v>
      </c>
      <c r="AD87" s="177">
        <f t="shared" si="8"/>
        <v>0.85129894922595706</v>
      </c>
      <c r="AE87" s="177">
        <f t="shared" si="8"/>
        <v>0.85582012513034467</v>
      </c>
      <c r="AF87" s="177">
        <f t="shared" si="8"/>
        <v>0.84828908317959484</v>
      </c>
    </row>
    <row r="88" spans="2:37" hidden="1" x14ac:dyDescent="0.25">
      <c r="B88" s="2">
        <v>1</v>
      </c>
      <c r="C88" s="2">
        <f>Q$57+$B88*Q$58+Q$59*$B88^2</f>
        <v>308.47299999999996</v>
      </c>
      <c r="D88" s="2">
        <f>R$57+$B88*R$58+R$59*$B88^2</f>
        <v>95.030603948557186</v>
      </c>
      <c r="E88" s="2">
        <f t="shared" ref="E88:H88" si="9">S$57+$B88*S$58+S$59*$B88^2</f>
        <v>-1813.6744999999999</v>
      </c>
      <c r="F88" s="2">
        <f t="shared" si="9"/>
        <v>131.77356823693026</v>
      </c>
      <c r="G88" s="2">
        <f t="shared" si="9"/>
        <v>164.12549999999999</v>
      </c>
      <c r="H88" s="2">
        <f t="shared" si="9"/>
        <v>-77.494444699001193</v>
      </c>
      <c r="K88" s="20"/>
      <c r="L88" s="20"/>
      <c r="M88" s="20"/>
      <c r="N88" s="20"/>
      <c r="O88" s="20"/>
      <c r="U88" s="2">
        <f t="shared" si="7"/>
        <v>136</v>
      </c>
      <c r="V88" s="9">
        <v>45794</v>
      </c>
      <c r="W88" s="177">
        <f t="shared" si="8"/>
        <v>0.46481990272501228</v>
      </c>
      <c r="X88" s="177">
        <f t="shared" si="8"/>
        <v>0.55050485281142225</v>
      </c>
      <c r="Y88" s="177">
        <f t="shared" si="8"/>
        <v>0.62457171295857439</v>
      </c>
      <c r="Z88" s="177">
        <f t="shared" si="8"/>
        <v>0.6870204831664688</v>
      </c>
      <c r="AA88" s="177">
        <f t="shared" si="8"/>
        <v>0.73785116343510537</v>
      </c>
      <c r="AB88" s="177">
        <f t="shared" si="8"/>
        <v>0.77706375376448389</v>
      </c>
      <c r="AC88" s="177">
        <f t="shared" si="8"/>
        <v>0.8046582541546049</v>
      </c>
      <c r="AD88" s="177">
        <f t="shared" si="8"/>
        <v>0.82063466460546797</v>
      </c>
      <c r="AE88" s="177">
        <f t="shared" si="8"/>
        <v>0.8249929851170732</v>
      </c>
      <c r="AF88" s="177">
        <f t="shared" si="8"/>
        <v>0.8177332156894207</v>
      </c>
    </row>
    <row r="89" spans="2:37" ht="15.75" hidden="1" customHeight="1" x14ac:dyDescent="0.25">
      <c r="B89" s="2">
        <v>2</v>
      </c>
      <c r="C89" s="2">
        <f t="shared" ref="C89:C152" si="10">Q$57+$B89*Q$58+Q$59*$B89^2</f>
        <v>307.51599999999996</v>
      </c>
      <c r="D89" s="2">
        <f t="shared" ref="D89:D152" si="11">R$57+$B89*R$58+R$59*$B89^2</f>
        <v>94.92912006853328</v>
      </c>
      <c r="E89" s="2">
        <f t="shared" ref="E89:E152" si="12">S$57+$B89*S$58+S$59*$B89^2</f>
        <v>-1777.4679999999998</v>
      </c>
      <c r="F89" s="2">
        <f t="shared" ref="F89:F152" si="13">T$57+$B89*T$58+T$59*$B89^2</f>
        <v>131.35086431720552</v>
      </c>
      <c r="G89" s="2">
        <f t="shared" ref="G89:G152" si="14">U$57+$B89*U$58+U$59*$B89^2</f>
        <v>163.96600000000001</v>
      </c>
      <c r="H89" s="2">
        <f t="shared" ref="H89:H152" si="15">V$57+$B89*V$58+V$59*$B89^2</f>
        <v>-75.870684494476095</v>
      </c>
      <c r="U89" s="2">
        <f t="shared" si="7"/>
        <v>143</v>
      </c>
      <c r="V89" s="9">
        <v>45801</v>
      </c>
      <c r="W89" s="177">
        <f t="shared" si="8"/>
        <v>0.44745118749863283</v>
      </c>
      <c r="X89" s="177">
        <f t="shared" si="8"/>
        <v>0.52993438678110216</v>
      </c>
      <c r="Y89" s="177">
        <f t="shared" si="8"/>
        <v>0.60123362404019354</v>
      </c>
      <c r="Z89" s="177">
        <f t="shared" si="8"/>
        <v>0.66134889927590679</v>
      </c>
      <c r="AA89" s="177">
        <f t="shared" si="8"/>
        <v>0.71028021248824191</v>
      </c>
      <c r="AB89" s="177">
        <f t="shared" si="8"/>
        <v>0.74802756367719891</v>
      </c>
      <c r="AC89" s="177">
        <f t="shared" si="8"/>
        <v>0.7745909528427779</v>
      </c>
      <c r="AD89" s="177">
        <f t="shared" si="8"/>
        <v>0.78997037998497888</v>
      </c>
      <c r="AE89" s="177">
        <f t="shared" si="8"/>
        <v>0.79416584510380173</v>
      </c>
      <c r="AF89" s="177">
        <f t="shared" si="8"/>
        <v>0.78717734819924656</v>
      </c>
    </row>
    <row r="90" spans="2:37" hidden="1" x14ac:dyDescent="0.25">
      <c r="B90" s="2">
        <v>3</v>
      </c>
      <c r="C90" s="2">
        <f t="shared" si="10"/>
        <v>306.55899999999997</v>
      </c>
      <c r="D90" s="2">
        <f t="shared" si="11"/>
        <v>94.826974188509368</v>
      </c>
      <c r="E90" s="2">
        <f t="shared" si="12"/>
        <v>-1741.5804999999998</v>
      </c>
      <c r="F90" s="2">
        <f t="shared" si="13"/>
        <v>130.92854439748081</v>
      </c>
      <c r="G90" s="2">
        <f t="shared" si="14"/>
        <v>163.8065</v>
      </c>
      <c r="H90" s="2">
        <f t="shared" si="15"/>
        <v>-74.256244289950985</v>
      </c>
      <c r="U90" s="2">
        <f t="shared" si="7"/>
        <v>150</v>
      </c>
      <c r="V90" s="9">
        <v>45808</v>
      </c>
      <c r="W90" s="177">
        <f t="shared" si="8"/>
        <v>0.43008247227225332</v>
      </c>
      <c r="X90" s="177">
        <f t="shared" si="8"/>
        <v>0.50936392075078207</v>
      </c>
      <c r="Y90" s="177">
        <f t="shared" si="8"/>
        <v>0.57789553512181269</v>
      </c>
      <c r="Z90" s="177">
        <f t="shared" si="8"/>
        <v>0.63567731538534478</v>
      </c>
      <c r="AA90" s="177">
        <f t="shared" si="8"/>
        <v>0.68270926154137856</v>
      </c>
      <c r="AB90" s="177">
        <f t="shared" si="8"/>
        <v>0.71899137358991394</v>
      </c>
      <c r="AC90" s="177">
        <f t="shared" si="8"/>
        <v>0.74452365153095112</v>
      </c>
      <c r="AD90" s="177">
        <f t="shared" si="8"/>
        <v>0.75930609536448979</v>
      </c>
      <c r="AE90" s="177">
        <f t="shared" si="8"/>
        <v>0.76333870509053048</v>
      </c>
      <c r="AF90" s="177">
        <f t="shared" si="8"/>
        <v>0.75662148070907254</v>
      </c>
    </row>
    <row r="91" spans="2:37" hidden="1" x14ac:dyDescent="0.25">
      <c r="B91" s="2">
        <v>4</v>
      </c>
      <c r="C91" s="2">
        <f t="shared" si="10"/>
        <v>305.60199999999998</v>
      </c>
      <c r="D91" s="2">
        <f t="shared" si="11"/>
        <v>94.724166308485465</v>
      </c>
      <c r="E91" s="2">
        <f t="shared" si="12"/>
        <v>-1706.0119999999997</v>
      </c>
      <c r="F91" s="2">
        <f t="shared" si="13"/>
        <v>130.50660847775606</v>
      </c>
      <c r="G91" s="2">
        <f t="shared" si="14"/>
        <v>163.64699999999999</v>
      </c>
      <c r="H91" s="2">
        <f t="shared" si="15"/>
        <v>-72.651124085425906</v>
      </c>
      <c r="U91" s="2">
        <f t="shared" si="7"/>
        <v>156</v>
      </c>
      <c r="V91" s="9">
        <v>45815</v>
      </c>
      <c r="W91" s="177">
        <f t="shared" si="8"/>
        <v>0.41519500207821375</v>
      </c>
      <c r="X91" s="177">
        <f t="shared" si="8"/>
        <v>0.4917320927247934</v>
      </c>
      <c r="Y91" s="177">
        <f t="shared" si="8"/>
        <v>0.55789145890605751</v>
      </c>
      <c r="Z91" s="177">
        <f t="shared" si="8"/>
        <v>0.61367310062200586</v>
      </c>
      <c r="AA91" s="177">
        <f t="shared" si="8"/>
        <v>0.6590770178726385</v>
      </c>
      <c r="AB91" s="177">
        <f t="shared" si="8"/>
        <v>0.69410321065795533</v>
      </c>
      <c r="AC91" s="177">
        <f t="shared" si="8"/>
        <v>0.71875167897795644</v>
      </c>
      <c r="AD91" s="177">
        <f t="shared" si="8"/>
        <v>0.73302242283264207</v>
      </c>
      <c r="AE91" s="177">
        <f t="shared" si="8"/>
        <v>0.73691544222201188</v>
      </c>
      <c r="AF91" s="177">
        <f t="shared" si="8"/>
        <v>0.7304307371460661</v>
      </c>
      <c r="AG91" s="2" t="s">
        <v>137</v>
      </c>
    </row>
    <row r="92" spans="2:37" hidden="1" x14ac:dyDescent="0.25">
      <c r="B92" s="2">
        <v>5</v>
      </c>
      <c r="C92" s="2">
        <f t="shared" si="10"/>
        <v>304.64499999999992</v>
      </c>
      <c r="D92" s="2">
        <f t="shared" si="11"/>
        <v>94.620696428461557</v>
      </c>
      <c r="E92" s="2">
        <f t="shared" si="12"/>
        <v>-1670.7624999999998</v>
      </c>
      <c r="F92" s="2">
        <f t="shared" si="13"/>
        <v>130.08505655803131</v>
      </c>
      <c r="G92" s="2">
        <f t="shared" si="14"/>
        <v>163.48749999999998</v>
      </c>
      <c r="H92" s="2">
        <f t="shared" si="15"/>
        <v>-71.055323880900801</v>
      </c>
      <c r="U92" s="2">
        <f t="shared" si="7"/>
        <v>163</v>
      </c>
      <c r="V92" s="9">
        <v>45822</v>
      </c>
      <c r="W92" s="177">
        <f t="shared" si="8"/>
        <v>0.3978262868518343</v>
      </c>
      <c r="X92" s="177">
        <f t="shared" si="8"/>
        <v>0.47116162669447348</v>
      </c>
      <c r="Y92" s="177">
        <f t="shared" si="8"/>
        <v>0.53455336998767666</v>
      </c>
      <c r="Z92" s="177">
        <f t="shared" si="8"/>
        <v>0.58800151673144396</v>
      </c>
      <c r="AA92" s="177">
        <f t="shared" si="8"/>
        <v>0.63150606692577516</v>
      </c>
      <c r="AB92" s="177">
        <f t="shared" si="8"/>
        <v>0.66506702057067046</v>
      </c>
      <c r="AC92" s="177">
        <f t="shared" si="8"/>
        <v>0.68868437766612967</v>
      </c>
      <c r="AD92" s="177">
        <f t="shared" si="8"/>
        <v>0.7023581382121532</v>
      </c>
      <c r="AE92" s="177">
        <f t="shared" si="8"/>
        <v>0.70608830220874053</v>
      </c>
      <c r="AF92" s="177">
        <f t="shared" si="8"/>
        <v>0.69987486965589207</v>
      </c>
    </row>
    <row r="93" spans="2:37" ht="15.75" hidden="1" x14ac:dyDescent="0.25">
      <c r="B93" s="2">
        <v>6</v>
      </c>
      <c r="C93" s="2">
        <f t="shared" si="10"/>
        <v>303.68799999999993</v>
      </c>
      <c r="D93" s="2">
        <f t="shared" si="11"/>
        <v>94.516564548437643</v>
      </c>
      <c r="E93" s="2">
        <f t="shared" si="12"/>
        <v>-1635.8319999999999</v>
      </c>
      <c r="F93" s="2">
        <f t="shared" si="13"/>
        <v>129.66388863830659</v>
      </c>
      <c r="G93" s="2">
        <f t="shared" si="14"/>
        <v>163.328</v>
      </c>
      <c r="H93" s="2">
        <f t="shared" si="15"/>
        <v>-69.468843676375698</v>
      </c>
      <c r="V93" s="2" t="s">
        <v>138</v>
      </c>
      <c r="AC93" s="191"/>
      <c r="AD93" s="191"/>
      <c r="AE93" s="191"/>
      <c r="AF93" s="191"/>
    </row>
    <row r="94" spans="2:37" ht="15.75" hidden="1" x14ac:dyDescent="0.25">
      <c r="B94" s="2">
        <v>7</v>
      </c>
      <c r="C94" s="2">
        <f t="shared" si="10"/>
        <v>302.73099999999994</v>
      </c>
      <c r="D94" s="2">
        <f t="shared" si="11"/>
        <v>94.411770668413723</v>
      </c>
      <c r="E94" s="2">
        <f t="shared" si="12"/>
        <v>-1601.2204999999997</v>
      </c>
      <c r="F94" s="2">
        <f t="shared" si="13"/>
        <v>129.24310471858186</v>
      </c>
      <c r="G94" s="2">
        <f t="shared" si="14"/>
        <v>163.16849999999999</v>
      </c>
      <c r="H94" s="2">
        <f t="shared" si="15"/>
        <v>-67.891683471850598</v>
      </c>
      <c r="AD94" s="38"/>
      <c r="AE94" s="31"/>
      <c r="AF94" s="30"/>
    </row>
    <row r="95" spans="2:37" ht="15.75" hidden="1" x14ac:dyDescent="0.25">
      <c r="B95" s="2">
        <v>8</v>
      </c>
      <c r="C95" s="2">
        <f t="shared" si="10"/>
        <v>301.77399999999994</v>
      </c>
      <c r="D95" s="2">
        <f t="shared" si="11"/>
        <v>94.306314788389813</v>
      </c>
      <c r="E95" s="2">
        <f t="shared" si="12"/>
        <v>-1566.9279999999999</v>
      </c>
      <c r="F95" s="2">
        <f t="shared" si="13"/>
        <v>128.82270479885713</v>
      </c>
      <c r="G95" s="2">
        <f t="shared" si="14"/>
        <v>163.00899999999999</v>
      </c>
      <c r="H95" s="2">
        <f t="shared" si="15"/>
        <v>-66.323843267325501</v>
      </c>
      <c r="V95" s="178" t="s">
        <v>140</v>
      </c>
      <c r="W95" s="179"/>
      <c r="X95" s="179"/>
      <c r="Y95" s="179"/>
      <c r="Z95" s="179"/>
      <c r="AA95" s="179"/>
      <c r="AB95" s="179"/>
      <c r="AC95" s="180"/>
      <c r="AD95" s="181"/>
      <c r="AE95" s="182"/>
      <c r="AF95" s="181"/>
    </row>
    <row r="96" spans="2:37" ht="15.75" hidden="1" customHeight="1" x14ac:dyDescent="0.25">
      <c r="B96" s="2">
        <v>9</v>
      </c>
      <c r="C96" s="2">
        <f t="shared" si="10"/>
        <v>300.81699999999995</v>
      </c>
      <c r="D96" s="2">
        <f t="shared" si="11"/>
        <v>94.200196908365911</v>
      </c>
      <c r="E96" s="2">
        <f t="shared" si="12"/>
        <v>-1532.9544999999998</v>
      </c>
      <c r="F96" s="2">
        <f t="shared" si="13"/>
        <v>128.4026888791324</v>
      </c>
      <c r="G96" s="2">
        <f t="shared" si="14"/>
        <v>162.84950000000001</v>
      </c>
      <c r="H96" s="2">
        <f t="shared" si="15"/>
        <v>-64.765323062800391</v>
      </c>
      <c r="V96" s="40" t="s">
        <v>151</v>
      </c>
      <c r="W96" s="40" t="s">
        <v>152</v>
      </c>
      <c r="X96" s="40" t="s">
        <v>153</v>
      </c>
      <c r="Y96" s="40" t="s">
        <v>154</v>
      </c>
      <c r="Z96" s="40" t="s">
        <v>155</v>
      </c>
      <c r="AA96" s="40" t="s">
        <v>156</v>
      </c>
      <c r="AB96" s="40" t="s">
        <v>157</v>
      </c>
      <c r="AC96" s="40" t="s">
        <v>158</v>
      </c>
      <c r="AD96" s="40" t="s">
        <v>159</v>
      </c>
      <c r="AE96" s="40" t="s">
        <v>160</v>
      </c>
      <c r="AF96" s="40" t="s">
        <v>161</v>
      </c>
      <c r="AI96" s="43"/>
      <c r="AJ96" s="191"/>
      <c r="AK96" s="191"/>
    </row>
    <row r="97" spans="2:37" ht="15.75" hidden="1" x14ac:dyDescent="0.25">
      <c r="B97" s="2">
        <v>10</v>
      </c>
      <c r="C97" s="2">
        <f t="shared" si="10"/>
        <v>299.85999999999996</v>
      </c>
      <c r="D97" s="2">
        <f t="shared" si="11"/>
        <v>94.093417028342003</v>
      </c>
      <c r="E97" s="2">
        <f t="shared" si="12"/>
        <v>-1499.3</v>
      </c>
      <c r="F97" s="2">
        <f t="shared" si="13"/>
        <v>127.98305695940765</v>
      </c>
      <c r="G97" s="2">
        <f t="shared" si="14"/>
        <v>162.69</v>
      </c>
      <c r="H97" s="2">
        <f t="shared" si="15"/>
        <v>-63.216122858275291</v>
      </c>
      <c r="U97" s="2">
        <f t="shared" ref="U97:U108" si="16">DAYS360($V$78,V97,FALSE)</f>
        <v>104</v>
      </c>
      <c r="V97" s="9">
        <v>45762</v>
      </c>
      <c r="W97" s="177">
        <f t="shared" ref="W97:AF108" si="17">MIN(1,($R$57+$U97*$R$58+($U97^2*$R$59))/$Z$58*($Z$72+W$96*$Z$73+W$96^2*$Z$74+W$96^3*$Z$75))</f>
        <v>0.45963292664791111</v>
      </c>
      <c r="X97" s="177">
        <f t="shared" si="17"/>
        <v>0.66920890966793711</v>
      </c>
      <c r="Y97" s="177">
        <f t="shared" si="17"/>
        <v>0.81172151247725299</v>
      </c>
      <c r="Z97" s="177">
        <f t="shared" si="17"/>
        <v>0.90120358971242498</v>
      </c>
      <c r="AA97" s="177">
        <f t="shared" si="17"/>
        <v>0.95168799601002085</v>
      </c>
      <c r="AB97" s="177">
        <f t="shared" si="17"/>
        <v>0.97720758600660784</v>
      </c>
      <c r="AC97" s="177">
        <f t="shared" si="17"/>
        <v>0.99179521433875306</v>
      </c>
      <c r="AD97" s="177">
        <f t="shared" si="17"/>
        <v>1</v>
      </c>
      <c r="AE97" s="177">
        <f t="shared" si="17"/>
        <v>1</v>
      </c>
      <c r="AF97" s="177">
        <f t="shared" si="17"/>
        <v>1</v>
      </c>
      <c r="AI97" s="43"/>
      <c r="AJ97" s="43"/>
      <c r="AK97" s="43"/>
    </row>
    <row r="98" spans="2:37" ht="15.75" hidden="1" x14ac:dyDescent="0.25">
      <c r="B98" s="2">
        <v>11</v>
      </c>
      <c r="C98" s="2">
        <f t="shared" si="10"/>
        <v>298.90299999999996</v>
      </c>
      <c r="D98" s="2">
        <f t="shared" si="11"/>
        <v>93.98597514831809</v>
      </c>
      <c r="E98" s="2">
        <f t="shared" si="12"/>
        <v>-1465.9645</v>
      </c>
      <c r="F98" s="2">
        <f t="shared" si="13"/>
        <v>127.56380903968291</v>
      </c>
      <c r="G98" s="2">
        <f t="shared" si="14"/>
        <v>162.53049999999999</v>
      </c>
      <c r="H98" s="2">
        <f t="shared" si="15"/>
        <v>-61.676242653750194</v>
      </c>
      <c r="K98" s="44"/>
      <c r="O98" s="44"/>
      <c r="U98" s="2">
        <f t="shared" si="16"/>
        <v>111</v>
      </c>
      <c r="V98" s="9">
        <v>45769</v>
      </c>
      <c r="W98" s="177">
        <f t="shared" si="17"/>
        <v>0.45282295172405834</v>
      </c>
      <c r="X98" s="177">
        <f t="shared" si="17"/>
        <v>0.65929383259351226</v>
      </c>
      <c r="Y98" s="177">
        <f t="shared" si="17"/>
        <v>0.79969495209691632</v>
      </c>
      <c r="Z98" s="177">
        <f t="shared" si="17"/>
        <v>0.88785125246368624</v>
      </c>
      <c r="AA98" s="177">
        <f t="shared" si="17"/>
        <v>0.93758767592323888</v>
      </c>
      <c r="AB98" s="177">
        <f t="shared" si="17"/>
        <v>0.96272916470499081</v>
      </c>
      <c r="AC98" s="177">
        <f t="shared" si="17"/>
        <v>0.97710066103835846</v>
      </c>
      <c r="AD98" s="177">
        <f t="shared" si="17"/>
        <v>0.99452710715275783</v>
      </c>
      <c r="AE98" s="177">
        <f t="shared" si="17"/>
        <v>1</v>
      </c>
      <c r="AF98" s="177">
        <f t="shared" si="17"/>
        <v>1</v>
      </c>
      <c r="AG98" s="43"/>
      <c r="AH98" s="46"/>
      <c r="AI98" s="38"/>
      <c r="AJ98" s="31"/>
    </row>
    <row r="99" spans="2:37" ht="15.75" hidden="1" x14ac:dyDescent="0.25">
      <c r="B99" s="2">
        <v>12</v>
      </c>
      <c r="C99" s="2">
        <f t="shared" si="10"/>
        <v>297.94599999999997</v>
      </c>
      <c r="D99" s="2">
        <f t="shared" si="11"/>
        <v>93.877871268294186</v>
      </c>
      <c r="E99" s="2">
        <f t="shared" si="12"/>
        <v>-1432.9480000000001</v>
      </c>
      <c r="F99" s="2">
        <f t="shared" si="13"/>
        <v>127.14494511995818</v>
      </c>
      <c r="G99" s="2">
        <f t="shared" si="14"/>
        <v>162.37100000000001</v>
      </c>
      <c r="H99" s="2">
        <f t="shared" si="15"/>
        <v>-60.145682449225092</v>
      </c>
      <c r="O99" s="44"/>
      <c r="U99" s="2">
        <f t="shared" si="16"/>
        <v>118</v>
      </c>
      <c r="V99" s="9">
        <v>45776</v>
      </c>
      <c r="W99" s="177">
        <f t="shared" si="17"/>
        <v>0.44582913559539072</v>
      </c>
      <c r="X99" s="177">
        <f t="shared" si="17"/>
        <v>0.64911108937705653</v>
      </c>
      <c r="Y99" s="177">
        <f t="shared" si="17"/>
        <v>0.78734372424352406</v>
      </c>
      <c r="Z99" s="177">
        <f t="shared" si="17"/>
        <v>0.87413845724052752</v>
      </c>
      <c r="AA99" s="177">
        <f t="shared" si="17"/>
        <v>0.92310670541380269</v>
      </c>
      <c r="AB99" s="177">
        <f t="shared" si="17"/>
        <v>0.94785988580908465</v>
      </c>
      <c r="AC99" s="177">
        <f t="shared" si="17"/>
        <v>0.96200941547210861</v>
      </c>
      <c r="AD99" s="177">
        <f t="shared" si="17"/>
        <v>0.97916671144860912</v>
      </c>
      <c r="AE99" s="177">
        <f t="shared" si="17"/>
        <v>1</v>
      </c>
      <c r="AF99" s="177">
        <f t="shared" si="17"/>
        <v>1</v>
      </c>
      <c r="AG99" s="43"/>
      <c r="AH99" s="46"/>
      <c r="AI99" s="38"/>
      <c r="AJ99" s="31"/>
    </row>
    <row r="100" spans="2:37" ht="15.75" hidden="1" x14ac:dyDescent="0.25">
      <c r="B100" s="2">
        <v>13</v>
      </c>
      <c r="C100" s="2">
        <f t="shared" si="10"/>
        <v>296.98899999999998</v>
      </c>
      <c r="D100" s="2">
        <f t="shared" si="11"/>
        <v>93.769105388270276</v>
      </c>
      <c r="E100" s="2">
        <f t="shared" si="12"/>
        <v>-1400.2504999999999</v>
      </c>
      <c r="F100" s="2">
        <f t="shared" si="13"/>
        <v>126.72646520023345</v>
      </c>
      <c r="G100" s="2">
        <f t="shared" si="14"/>
        <v>162.2115</v>
      </c>
      <c r="H100" s="2">
        <f t="shared" si="15"/>
        <v>-58.624442244699992</v>
      </c>
      <c r="O100" s="44"/>
      <c r="U100" s="2">
        <f t="shared" si="16"/>
        <v>125</v>
      </c>
      <c r="V100" s="9">
        <v>45783</v>
      </c>
      <c r="W100" s="177">
        <f t="shared" si="17"/>
        <v>0.43865147826190848</v>
      </c>
      <c r="X100" s="177">
        <f t="shared" si="17"/>
        <v>0.63866068001857035</v>
      </c>
      <c r="Y100" s="177">
        <f t="shared" si="17"/>
        <v>0.77466782891707642</v>
      </c>
      <c r="Z100" s="177">
        <f t="shared" si="17"/>
        <v>0.86006520404294939</v>
      </c>
      <c r="AA100" s="177">
        <f t="shared" si="17"/>
        <v>0.90824508448171271</v>
      </c>
      <c r="AB100" s="177">
        <f t="shared" si="17"/>
        <v>0.93259974931888978</v>
      </c>
      <c r="AC100" s="177">
        <f t="shared" si="17"/>
        <v>0.94652147764000394</v>
      </c>
      <c r="AD100" s="177">
        <f t="shared" si="17"/>
        <v>0.96340254853057783</v>
      </c>
      <c r="AE100" s="177">
        <f t="shared" si="17"/>
        <v>0.99663524107613566</v>
      </c>
      <c r="AF100" s="177">
        <f t="shared" si="17"/>
        <v>1</v>
      </c>
      <c r="AG100" s="45"/>
      <c r="AH100" s="46"/>
      <c r="AI100" s="38"/>
      <c r="AJ100" s="31"/>
    </row>
    <row r="101" spans="2:37" ht="15.75" hidden="1" x14ac:dyDescent="0.25">
      <c r="B101" s="2">
        <v>14</v>
      </c>
      <c r="C101" s="2">
        <f t="shared" si="10"/>
        <v>296.03199999999993</v>
      </c>
      <c r="D101" s="2">
        <f t="shared" si="11"/>
        <v>93.659677508246361</v>
      </c>
      <c r="E101" s="2">
        <f t="shared" si="12"/>
        <v>-1367.8719999999998</v>
      </c>
      <c r="F101" s="2">
        <f t="shared" si="13"/>
        <v>126.30836928050871</v>
      </c>
      <c r="G101" s="2">
        <f t="shared" si="14"/>
        <v>162.05199999999999</v>
      </c>
      <c r="H101" s="2">
        <f t="shared" si="15"/>
        <v>-57.112522040174895</v>
      </c>
      <c r="O101" s="44"/>
      <c r="U101" s="2">
        <f t="shared" si="16"/>
        <v>132</v>
      </c>
      <c r="V101" s="9">
        <v>45790</v>
      </c>
      <c r="W101" s="177">
        <f t="shared" si="17"/>
        <v>0.43128997972361133</v>
      </c>
      <c r="X101" s="177">
        <f t="shared" si="17"/>
        <v>0.62794260451805328</v>
      </c>
      <c r="Y101" s="177">
        <f t="shared" si="17"/>
        <v>0.76166726611757329</v>
      </c>
      <c r="Z101" s="177">
        <f t="shared" si="17"/>
        <v>0.8456314928709513</v>
      </c>
      <c r="AA101" s="177">
        <f t="shared" si="17"/>
        <v>0.8930028131269685</v>
      </c>
      <c r="AB101" s="177">
        <f t="shared" si="17"/>
        <v>0.91694875523440589</v>
      </c>
      <c r="AC101" s="177">
        <f t="shared" si="17"/>
        <v>0.93063684754204401</v>
      </c>
      <c r="AD101" s="177">
        <f t="shared" si="17"/>
        <v>0.9472346183986633</v>
      </c>
      <c r="AE101" s="177">
        <f t="shared" si="17"/>
        <v>0.97990959615304529</v>
      </c>
      <c r="AF101" s="177">
        <f t="shared" si="17"/>
        <v>1</v>
      </c>
      <c r="AG101" s="45"/>
      <c r="AH101" s="46"/>
      <c r="AI101" s="38"/>
      <c r="AJ101" s="31"/>
    </row>
    <row r="102" spans="2:37" ht="15.75" hidden="1" x14ac:dyDescent="0.25">
      <c r="B102" s="2">
        <v>15</v>
      </c>
      <c r="C102" s="2">
        <f t="shared" si="10"/>
        <v>295.07499999999993</v>
      </c>
      <c r="D102" s="2">
        <f t="shared" si="11"/>
        <v>93.54958762822244</v>
      </c>
      <c r="E102" s="2">
        <f t="shared" si="12"/>
        <v>-1335.8124999999998</v>
      </c>
      <c r="F102" s="2">
        <f t="shared" si="13"/>
        <v>125.89065736078398</v>
      </c>
      <c r="G102" s="2">
        <f t="shared" si="14"/>
        <v>161.89249999999998</v>
      </c>
      <c r="H102" s="2">
        <f t="shared" si="15"/>
        <v>-55.609921835649793</v>
      </c>
      <c r="O102" s="44"/>
      <c r="U102" s="2">
        <f t="shared" si="16"/>
        <v>139</v>
      </c>
      <c r="V102" s="9">
        <v>45797</v>
      </c>
      <c r="W102" s="177">
        <f t="shared" si="17"/>
        <v>0.42374463998049944</v>
      </c>
      <c r="X102" s="177">
        <f t="shared" si="17"/>
        <v>0.61695686287550555</v>
      </c>
      <c r="Y102" s="177">
        <f t="shared" si="17"/>
        <v>0.74834203584501457</v>
      </c>
      <c r="Z102" s="177">
        <f t="shared" si="17"/>
        <v>0.83083732372453345</v>
      </c>
      <c r="AA102" s="177">
        <f t="shared" si="17"/>
        <v>0.87737989134957028</v>
      </c>
      <c r="AB102" s="177">
        <f t="shared" si="17"/>
        <v>0.90090690355563297</v>
      </c>
      <c r="AC102" s="177">
        <f t="shared" si="17"/>
        <v>0.91435552517822904</v>
      </c>
      <c r="AD102" s="177">
        <f t="shared" si="17"/>
        <v>0.93066292105286574</v>
      </c>
      <c r="AE102" s="177">
        <f t="shared" si="17"/>
        <v>0.96276625601505161</v>
      </c>
      <c r="AF102" s="177">
        <f t="shared" si="17"/>
        <v>1</v>
      </c>
      <c r="AG102" s="45"/>
      <c r="AH102" s="46"/>
      <c r="AI102" s="38"/>
      <c r="AJ102" s="31"/>
    </row>
    <row r="103" spans="2:37" ht="15.75" hidden="1" x14ac:dyDescent="0.25">
      <c r="B103" s="2">
        <v>16</v>
      </c>
      <c r="C103" s="2">
        <f t="shared" si="10"/>
        <v>294.11799999999994</v>
      </c>
      <c r="D103" s="2">
        <f t="shared" si="11"/>
        <v>93.438835748198528</v>
      </c>
      <c r="E103" s="2">
        <f t="shared" si="12"/>
        <v>-1304.0719999999999</v>
      </c>
      <c r="F103" s="2">
        <f t="shared" si="13"/>
        <v>125.47332944105925</v>
      </c>
      <c r="G103" s="2">
        <f t="shared" si="14"/>
        <v>161.733</v>
      </c>
      <c r="H103" s="2">
        <f t="shared" si="15"/>
        <v>-54.116641631124693</v>
      </c>
      <c r="O103" s="44"/>
      <c r="U103" s="2">
        <f t="shared" si="16"/>
        <v>146</v>
      </c>
      <c r="V103" s="9">
        <v>45804</v>
      </c>
      <c r="W103" s="177">
        <f t="shared" si="17"/>
        <v>0.41601545903257287</v>
      </c>
      <c r="X103" s="177">
        <f t="shared" si="17"/>
        <v>0.60570345509092716</v>
      </c>
      <c r="Y103" s="177">
        <f t="shared" si="17"/>
        <v>0.73469213809940048</v>
      </c>
      <c r="Z103" s="177">
        <f t="shared" si="17"/>
        <v>0.81568269660369608</v>
      </c>
      <c r="AA103" s="177">
        <f t="shared" si="17"/>
        <v>0.86137631914951829</v>
      </c>
      <c r="AB103" s="177">
        <f t="shared" si="17"/>
        <v>0.88447419428257135</v>
      </c>
      <c r="AC103" s="177">
        <f t="shared" si="17"/>
        <v>0.89767751054855915</v>
      </c>
      <c r="AD103" s="177">
        <f t="shared" si="17"/>
        <v>0.91368745649318528</v>
      </c>
      <c r="AE103" s="177">
        <f t="shared" si="17"/>
        <v>0.94520522066215462</v>
      </c>
      <c r="AF103" s="177">
        <f t="shared" si="17"/>
        <v>1</v>
      </c>
      <c r="AG103" s="45"/>
    </row>
    <row r="104" spans="2:37" ht="15.75" hidden="1" x14ac:dyDescent="0.25">
      <c r="B104" s="2">
        <v>17</v>
      </c>
      <c r="C104" s="2">
        <f t="shared" si="10"/>
        <v>293.16099999999994</v>
      </c>
      <c r="D104" s="2">
        <f t="shared" si="11"/>
        <v>93.327421868174639</v>
      </c>
      <c r="E104" s="2">
        <f t="shared" si="12"/>
        <v>-1272.6504999999997</v>
      </c>
      <c r="F104" s="2">
        <f t="shared" si="13"/>
        <v>125.05638552133451</v>
      </c>
      <c r="G104" s="2">
        <f t="shared" si="14"/>
        <v>161.5735</v>
      </c>
      <c r="H104" s="2">
        <f t="shared" si="15"/>
        <v>-52.632681426599589</v>
      </c>
      <c r="O104" s="44"/>
      <c r="U104" s="2">
        <f t="shared" si="16"/>
        <v>152</v>
      </c>
      <c r="V104" s="9">
        <v>45811</v>
      </c>
      <c r="W104" s="177">
        <f t="shared" si="17"/>
        <v>0.40924412419990563</v>
      </c>
      <c r="X104" s="177">
        <f t="shared" si="17"/>
        <v>0.59584463659110076</v>
      </c>
      <c r="Y104" s="177">
        <f t="shared" si="17"/>
        <v>0.72273381694093186</v>
      </c>
      <c r="Z104" s="177">
        <f t="shared" si="17"/>
        <v>0.80240612109190934</v>
      </c>
      <c r="AA104" s="177">
        <f t="shared" si="17"/>
        <v>0.84735600488654483</v>
      </c>
      <c r="AB104" s="177">
        <f t="shared" si="17"/>
        <v>0.87007792416734964</v>
      </c>
      <c r="AC104" s="177">
        <f t="shared" si="17"/>
        <v>0.88306633477683494</v>
      </c>
      <c r="AD104" s="177">
        <f t="shared" si="17"/>
        <v>0.89881569255751137</v>
      </c>
      <c r="AE104" s="177">
        <f t="shared" si="17"/>
        <v>0.92982045335189123</v>
      </c>
      <c r="AF104" s="177">
        <f t="shared" si="17"/>
        <v>0.98857507300248448</v>
      </c>
      <c r="AG104" s="45"/>
    </row>
    <row r="105" spans="2:37" hidden="1" x14ac:dyDescent="0.25">
      <c r="B105" s="2">
        <v>18</v>
      </c>
      <c r="C105" s="2">
        <f t="shared" si="10"/>
        <v>292.20399999999995</v>
      </c>
      <c r="D105" s="2">
        <f t="shared" si="11"/>
        <v>93.21534598815073</v>
      </c>
      <c r="E105" s="2">
        <f t="shared" si="12"/>
        <v>-1241.548</v>
      </c>
      <c r="F105" s="2">
        <f t="shared" si="13"/>
        <v>124.63982560160976</v>
      </c>
      <c r="G105" s="2">
        <f t="shared" si="14"/>
        <v>161.41399999999999</v>
      </c>
      <c r="H105" s="2">
        <f t="shared" si="15"/>
        <v>-51.158041222074488</v>
      </c>
      <c r="O105" s="44"/>
      <c r="U105" s="2">
        <f t="shared" si="16"/>
        <v>159</v>
      </c>
      <c r="V105" s="9">
        <v>45818</v>
      </c>
      <c r="W105" s="177">
        <f t="shared" si="17"/>
        <v>0.40117352387160876</v>
      </c>
      <c r="X105" s="177">
        <f t="shared" si="17"/>
        <v>0.58409413454275105</v>
      </c>
      <c r="Y105" s="177">
        <f t="shared" si="17"/>
        <v>0.70848096531678606</v>
      </c>
      <c r="Z105" s="177">
        <f t="shared" si="17"/>
        <v>0.7865820720185781</v>
      </c>
      <c r="AA105" s="177">
        <f t="shared" si="17"/>
        <v>0.8306455104729924</v>
      </c>
      <c r="AB105" s="177">
        <f t="shared" si="17"/>
        <v>0.85291933650489415</v>
      </c>
      <c r="AC105" s="177">
        <f t="shared" si="17"/>
        <v>0.86565160593914847</v>
      </c>
      <c r="AD105" s="177">
        <f t="shared" si="17"/>
        <v>0.88109037460061956</v>
      </c>
      <c r="AE105" s="177">
        <f t="shared" si="17"/>
        <v>0.91148369831417364</v>
      </c>
      <c r="AF105" s="177">
        <f t="shared" si="17"/>
        <v>0.96907963290467447</v>
      </c>
    </row>
    <row r="106" spans="2:37" hidden="1" x14ac:dyDescent="0.25">
      <c r="B106" s="2">
        <v>19</v>
      </c>
      <c r="C106" s="2">
        <f t="shared" si="10"/>
        <v>291.24699999999996</v>
      </c>
      <c r="D106" s="2">
        <f t="shared" si="11"/>
        <v>93.102608108126816</v>
      </c>
      <c r="E106" s="2">
        <f t="shared" si="12"/>
        <v>-1210.7645</v>
      </c>
      <c r="F106" s="2">
        <f t="shared" si="13"/>
        <v>124.22364968188502</v>
      </c>
      <c r="G106" s="2">
        <f t="shared" si="14"/>
        <v>161.25450000000001</v>
      </c>
      <c r="H106" s="2">
        <f t="shared" si="15"/>
        <v>-49.692721017549395</v>
      </c>
      <c r="O106" s="44"/>
      <c r="U106" s="2">
        <f t="shared" si="16"/>
        <v>166</v>
      </c>
      <c r="V106" s="9">
        <v>45825</v>
      </c>
      <c r="W106" s="177">
        <f t="shared" si="17"/>
        <v>0.39291908233849704</v>
      </c>
      <c r="X106" s="177">
        <f t="shared" si="17"/>
        <v>0.57207596635237057</v>
      </c>
      <c r="Y106" s="177">
        <f t="shared" si="17"/>
        <v>0.69390344621958466</v>
      </c>
      <c r="Z106" s="177">
        <f t="shared" si="17"/>
        <v>0.7703975649708269</v>
      </c>
      <c r="AA106" s="177">
        <f t="shared" si="17"/>
        <v>0.81355436563678574</v>
      </c>
      <c r="AB106" s="177">
        <f t="shared" si="17"/>
        <v>0.83536989124814964</v>
      </c>
      <c r="AC106" s="177">
        <f t="shared" si="17"/>
        <v>0.84784018483560675</v>
      </c>
      <c r="AD106" s="177">
        <f t="shared" si="17"/>
        <v>0.86296128942984462</v>
      </c>
      <c r="AE106" s="177">
        <f t="shared" si="17"/>
        <v>0.89272924806155252</v>
      </c>
      <c r="AF106" s="177">
        <f t="shared" si="17"/>
        <v>0.94914010376141755</v>
      </c>
    </row>
    <row r="107" spans="2:37" hidden="1" x14ac:dyDescent="0.25">
      <c r="B107" s="2">
        <v>20</v>
      </c>
      <c r="C107" s="2">
        <f t="shared" si="10"/>
        <v>290.28999999999996</v>
      </c>
      <c r="D107" s="2">
        <f t="shared" si="11"/>
        <v>92.989208228102896</v>
      </c>
      <c r="E107" s="2">
        <f t="shared" si="12"/>
        <v>-1180.3</v>
      </c>
      <c r="F107" s="2">
        <f t="shared" si="13"/>
        <v>123.8078577621603</v>
      </c>
      <c r="G107" s="2">
        <f t="shared" si="14"/>
        <v>161.095</v>
      </c>
      <c r="H107" s="2">
        <f t="shared" si="15"/>
        <v>-48.236720813024291</v>
      </c>
      <c r="O107" s="44"/>
      <c r="U107" s="2">
        <f t="shared" si="16"/>
        <v>173</v>
      </c>
      <c r="V107" s="9">
        <v>45832</v>
      </c>
      <c r="W107" s="177">
        <f t="shared" si="17"/>
        <v>0.38448079960057069</v>
      </c>
      <c r="X107" s="177">
        <f t="shared" si="17"/>
        <v>0.55979013201995953</v>
      </c>
      <c r="Y107" s="177">
        <f t="shared" si="17"/>
        <v>0.679001259649328</v>
      </c>
      <c r="Z107" s="177">
        <f t="shared" si="17"/>
        <v>0.75385259994865628</v>
      </c>
      <c r="AA107" s="177">
        <f t="shared" si="17"/>
        <v>0.7960825703779254</v>
      </c>
      <c r="AB107" s="177">
        <f t="shared" si="17"/>
        <v>0.81742958839711644</v>
      </c>
      <c r="AC107" s="177">
        <f t="shared" si="17"/>
        <v>0.82963207146621021</v>
      </c>
      <c r="AD107" s="177">
        <f t="shared" si="17"/>
        <v>0.844428437045187</v>
      </c>
      <c r="AE107" s="177">
        <f t="shared" si="17"/>
        <v>0.87355710259402841</v>
      </c>
      <c r="AF107" s="177">
        <f t="shared" si="17"/>
        <v>0.92875648557271429</v>
      </c>
    </row>
    <row r="108" spans="2:37" hidden="1" x14ac:dyDescent="0.25">
      <c r="B108" s="2">
        <v>21</v>
      </c>
      <c r="C108" s="2">
        <f t="shared" si="10"/>
        <v>289.33299999999997</v>
      </c>
      <c r="D108" s="2">
        <f t="shared" si="11"/>
        <v>92.875146348078985</v>
      </c>
      <c r="E108" s="2">
        <f t="shared" si="12"/>
        <v>-1150.1545000000001</v>
      </c>
      <c r="F108" s="2">
        <f t="shared" si="13"/>
        <v>123.39244984243555</v>
      </c>
      <c r="G108" s="2">
        <f t="shared" si="14"/>
        <v>160.93549999999999</v>
      </c>
      <c r="H108" s="2">
        <f t="shared" si="15"/>
        <v>-46.79004060849919</v>
      </c>
      <c r="U108" s="2">
        <f t="shared" si="16"/>
        <v>180</v>
      </c>
      <c r="V108" s="9">
        <v>45839</v>
      </c>
      <c r="W108" s="177">
        <f t="shared" si="17"/>
        <v>0.37585867565782943</v>
      </c>
      <c r="X108" s="177">
        <f t="shared" si="17"/>
        <v>0.5472366315455176</v>
      </c>
      <c r="Y108" s="177">
        <f t="shared" si="17"/>
        <v>0.66377440560601564</v>
      </c>
      <c r="Z108" s="177">
        <f t="shared" si="17"/>
        <v>0.73694717695206557</v>
      </c>
      <c r="AA108" s="177">
        <f t="shared" si="17"/>
        <v>0.77823012469641084</v>
      </c>
      <c r="AB108" s="177">
        <f t="shared" si="17"/>
        <v>0.79909842795179409</v>
      </c>
      <c r="AC108" s="177">
        <f t="shared" si="17"/>
        <v>0.81102726583095841</v>
      </c>
      <c r="AD108" s="177">
        <f t="shared" si="17"/>
        <v>0.82549181744664601</v>
      </c>
      <c r="AE108" s="177">
        <f t="shared" si="17"/>
        <v>0.85396726191160055</v>
      </c>
      <c r="AF108" s="177">
        <f t="shared" si="17"/>
        <v>0.907928778338564</v>
      </c>
    </row>
    <row r="109" spans="2:37" hidden="1" x14ac:dyDescent="0.25">
      <c r="B109" s="2">
        <v>22</v>
      </c>
      <c r="C109" s="2">
        <f t="shared" si="10"/>
        <v>288.37599999999998</v>
      </c>
      <c r="D109" s="2">
        <f t="shared" si="11"/>
        <v>92.760422468055083</v>
      </c>
      <c r="E109" s="2">
        <f t="shared" si="12"/>
        <v>-1120.328</v>
      </c>
      <c r="F109" s="2">
        <f t="shared" si="13"/>
        <v>122.97742592271082</v>
      </c>
      <c r="G109" s="2">
        <f t="shared" si="14"/>
        <v>160.77600000000001</v>
      </c>
      <c r="H109" s="2">
        <f t="shared" si="15"/>
        <v>-45.352680403974098</v>
      </c>
      <c r="AB109" s="44"/>
    </row>
    <row r="110" spans="2:37" hidden="1" x14ac:dyDescent="0.25">
      <c r="B110" s="2">
        <v>23</v>
      </c>
      <c r="C110" s="2">
        <f t="shared" si="10"/>
        <v>287.41899999999993</v>
      </c>
      <c r="D110" s="2">
        <f t="shared" si="11"/>
        <v>92.645036588031161</v>
      </c>
      <c r="E110" s="2">
        <f t="shared" si="12"/>
        <v>-1090.8205</v>
      </c>
      <c r="F110" s="2">
        <f t="shared" si="13"/>
        <v>122.56278600298609</v>
      </c>
      <c r="G110" s="2">
        <f t="shared" si="14"/>
        <v>160.6165</v>
      </c>
      <c r="H110" s="2">
        <f t="shared" si="15"/>
        <v>-43.924640199448994</v>
      </c>
      <c r="AG110" s="44"/>
    </row>
    <row r="111" spans="2:37" hidden="1" x14ac:dyDescent="0.25">
      <c r="B111" s="2">
        <v>24</v>
      </c>
      <c r="C111" s="2">
        <f t="shared" si="10"/>
        <v>286.46199999999993</v>
      </c>
      <c r="D111" s="2">
        <f t="shared" si="11"/>
        <v>92.528988708007262</v>
      </c>
      <c r="E111" s="2">
        <f t="shared" si="12"/>
        <v>-1061.6320000000001</v>
      </c>
      <c r="F111" s="2">
        <f t="shared" si="13"/>
        <v>122.14853008326135</v>
      </c>
      <c r="G111" s="2">
        <f t="shared" si="14"/>
        <v>160.45699999999999</v>
      </c>
      <c r="H111" s="2">
        <f t="shared" si="15"/>
        <v>-42.505919994923893</v>
      </c>
      <c r="W111" s="9"/>
      <c r="AG111" s="44"/>
    </row>
    <row r="112" spans="2:37" ht="15.75" hidden="1" x14ac:dyDescent="0.25">
      <c r="B112" s="2">
        <v>25</v>
      </c>
      <c r="C112" s="2">
        <f t="shared" si="10"/>
        <v>285.50499999999994</v>
      </c>
      <c r="D112" s="2">
        <f t="shared" si="11"/>
        <v>92.412278827983357</v>
      </c>
      <c r="E112" s="2">
        <f t="shared" si="12"/>
        <v>-1032.7624999999998</v>
      </c>
      <c r="F112" s="2">
        <f t="shared" si="13"/>
        <v>121.73465816353662</v>
      </c>
      <c r="G112" s="2">
        <f t="shared" si="14"/>
        <v>160.29749999999999</v>
      </c>
      <c r="H112" s="2">
        <f t="shared" si="15"/>
        <v>-41.096519790398794</v>
      </c>
      <c r="V112" s="178" t="s">
        <v>162</v>
      </c>
      <c r="W112" s="179"/>
      <c r="X112" s="179"/>
      <c r="Y112" s="179"/>
      <c r="Z112" s="179"/>
      <c r="AA112" s="179"/>
      <c r="AB112" s="179"/>
      <c r="AC112" s="180"/>
      <c r="AD112" s="181"/>
      <c r="AE112" s="182"/>
      <c r="AF112" s="181"/>
      <c r="AG112" s="44"/>
    </row>
    <row r="113" spans="2:34" hidden="1" x14ac:dyDescent="0.25">
      <c r="B113" s="2">
        <v>26</v>
      </c>
      <c r="C113" s="2">
        <f t="shared" si="10"/>
        <v>284.54799999999994</v>
      </c>
      <c r="D113" s="2">
        <f t="shared" si="11"/>
        <v>92.294906947959447</v>
      </c>
      <c r="E113" s="2">
        <f t="shared" si="12"/>
        <v>-1004.212</v>
      </c>
      <c r="F113" s="2">
        <f t="shared" si="13"/>
        <v>121.32117024381188</v>
      </c>
      <c r="G113" s="2">
        <f t="shared" si="14"/>
        <v>160.13800000000001</v>
      </c>
      <c r="H113" s="2">
        <f t="shared" si="15"/>
        <v>-39.696439585873691</v>
      </c>
      <c r="V113" s="40" t="s">
        <v>151</v>
      </c>
      <c r="W113" s="40" t="s">
        <v>141</v>
      </c>
      <c r="X113" s="40" t="s">
        <v>142</v>
      </c>
      <c r="Y113" s="40" t="s">
        <v>143</v>
      </c>
      <c r="Z113" s="40" t="s">
        <v>144</v>
      </c>
      <c r="AA113" s="40" t="s">
        <v>145</v>
      </c>
      <c r="AB113" s="40" t="s">
        <v>146</v>
      </c>
      <c r="AC113" s="40" t="s">
        <v>147</v>
      </c>
      <c r="AD113" s="40" t="s">
        <v>148</v>
      </c>
      <c r="AE113" s="40" t="s">
        <v>149</v>
      </c>
      <c r="AF113" s="40" t="s">
        <v>150</v>
      </c>
      <c r="AG113" s="44"/>
    </row>
    <row r="114" spans="2:34" hidden="1" x14ac:dyDescent="0.25">
      <c r="B114" s="2">
        <v>27</v>
      </c>
      <c r="C114" s="2">
        <f t="shared" si="10"/>
        <v>283.59099999999995</v>
      </c>
      <c r="D114" s="2">
        <f t="shared" si="11"/>
        <v>92.176873067935531</v>
      </c>
      <c r="E114" s="2">
        <f t="shared" si="12"/>
        <v>-975.98049999999989</v>
      </c>
      <c r="F114" s="2">
        <f t="shared" si="13"/>
        <v>120.90806632408714</v>
      </c>
      <c r="G114" s="2">
        <f t="shared" si="14"/>
        <v>159.9785</v>
      </c>
      <c r="H114" s="2">
        <f t="shared" si="15"/>
        <v>-38.305679381348597</v>
      </c>
      <c r="U114" s="2">
        <f t="shared" ref="U114:U122" si="18">DAYS360($V$78,V114,FALSE)</f>
        <v>79</v>
      </c>
      <c r="V114" s="9">
        <v>45736</v>
      </c>
      <c r="W114" s="177">
        <f t="shared" ref="W114:AF122" si="19">MIN(1,($S$57+$U114*$S$58+($U114^2*$S$59))/$Y$60*(($X$72+W$113*$X$73+(W$113^2*$X$74))/100))</f>
        <v>0.11470477676169963</v>
      </c>
      <c r="X114" s="177">
        <f t="shared" si="19"/>
        <v>0.13584946745562104</v>
      </c>
      <c r="Y114" s="177">
        <f t="shared" si="19"/>
        <v>0.15412713286713262</v>
      </c>
      <c r="Z114" s="177">
        <f t="shared" si="19"/>
        <v>0.16953777299623424</v>
      </c>
      <c r="AA114" s="177">
        <f t="shared" si="19"/>
        <v>0.18208138784292602</v>
      </c>
      <c r="AB114" s="177">
        <f t="shared" si="19"/>
        <v>0.19175797740720787</v>
      </c>
      <c r="AC114" s="177">
        <f t="shared" si="19"/>
        <v>0.19856754168907984</v>
      </c>
      <c r="AD114" s="177">
        <f t="shared" si="19"/>
        <v>0.20251008068854193</v>
      </c>
      <c r="AE114" s="177">
        <f t="shared" si="19"/>
        <v>0.20358559440559415</v>
      </c>
      <c r="AF114" s="177">
        <f t="shared" si="19"/>
        <v>0.20179408284023645</v>
      </c>
      <c r="AG114" s="44"/>
    </row>
    <row r="115" spans="2:34" hidden="1" x14ac:dyDescent="0.25">
      <c r="B115" s="2">
        <v>28</v>
      </c>
      <c r="C115" s="2">
        <f t="shared" si="10"/>
        <v>282.63399999999996</v>
      </c>
      <c r="D115" s="2">
        <f t="shared" si="11"/>
        <v>92.05817718791161</v>
      </c>
      <c r="E115" s="2">
        <f t="shared" si="12"/>
        <v>-948.06799999999998</v>
      </c>
      <c r="F115" s="2">
        <f t="shared" si="13"/>
        <v>120.49534640436241</v>
      </c>
      <c r="G115" s="2">
        <f t="shared" si="14"/>
        <v>159.81899999999999</v>
      </c>
      <c r="H115" s="2">
        <f t="shared" si="15"/>
        <v>-36.924239176823498</v>
      </c>
      <c r="U115" s="2">
        <f t="shared" si="18"/>
        <v>86</v>
      </c>
      <c r="V115" s="9">
        <v>45743</v>
      </c>
      <c r="W115" s="177">
        <f t="shared" si="19"/>
        <v>0.27333904249596463</v>
      </c>
      <c r="X115" s="177">
        <f t="shared" si="19"/>
        <v>0.32372639053254326</v>
      </c>
      <c r="Y115" s="177">
        <f t="shared" si="19"/>
        <v>0.36728167832167713</v>
      </c>
      <c r="Z115" s="177">
        <f t="shared" si="19"/>
        <v>0.40400490586336607</v>
      </c>
      <c r="AA115" s="177">
        <f t="shared" si="19"/>
        <v>0.4338960731576102</v>
      </c>
      <c r="AB115" s="177">
        <f t="shared" si="19"/>
        <v>0.45695518020440951</v>
      </c>
      <c r="AC115" s="177">
        <f t="shared" si="19"/>
        <v>0.47318222700376394</v>
      </c>
      <c r="AD115" s="177">
        <f t="shared" si="19"/>
        <v>0.48257721355567362</v>
      </c>
      <c r="AE115" s="177">
        <f t="shared" si="19"/>
        <v>0.48514013986013849</v>
      </c>
      <c r="AF115" s="177">
        <f t="shared" si="19"/>
        <v>0.48087100591715842</v>
      </c>
      <c r="AG115" s="44"/>
    </row>
    <row r="116" spans="2:34" hidden="1" x14ac:dyDescent="0.25">
      <c r="B116" s="2">
        <v>29</v>
      </c>
      <c r="C116" s="2">
        <f t="shared" si="10"/>
        <v>281.67699999999996</v>
      </c>
      <c r="D116" s="2">
        <f t="shared" si="11"/>
        <v>91.938819307887698</v>
      </c>
      <c r="E116" s="2">
        <f t="shared" si="12"/>
        <v>-920.47450000000003</v>
      </c>
      <c r="F116" s="2">
        <f t="shared" si="13"/>
        <v>120.08301048463768</v>
      </c>
      <c r="G116" s="2">
        <f t="shared" si="14"/>
        <v>159.65950000000001</v>
      </c>
      <c r="H116" s="2">
        <f t="shared" si="15"/>
        <v>-35.552118972298395</v>
      </c>
      <c r="U116" s="2">
        <f t="shared" si="18"/>
        <v>92</v>
      </c>
      <c r="V116" s="9">
        <v>45750</v>
      </c>
      <c r="W116" s="177">
        <f t="shared" si="19"/>
        <v>0.38211682471374714</v>
      </c>
      <c r="X116" s="177">
        <f t="shared" si="19"/>
        <v>0.45255628064243375</v>
      </c>
      <c r="Y116" s="177">
        <f t="shared" si="19"/>
        <v>0.51344479520479447</v>
      </c>
      <c r="Z116" s="177">
        <f t="shared" si="19"/>
        <v>0.56478236840082907</v>
      </c>
      <c r="AA116" s="177">
        <f t="shared" si="19"/>
        <v>0.60656900023053784</v>
      </c>
      <c r="AB116" s="177">
        <f t="shared" si="19"/>
        <v>0.63880469069392054</v>
      </c>
      <c r="AC116" s="177">
        <f t="shared" si="19"/>
        <v>0.6614894397909773</v>
      </c>
      <c r="AD116" s="177">
        <f t="shared" si="19"/>
        <v>0.67462324752170821</v>
      </c>
      <c r="AE116" s="177">
        <f t="shared" si="19"/>
        <v>0.67820611388611318</v>
      </c>
      <c r="AF116" s="177">
        <f t="shared" si="19"/>
        <v>0.67223803888419198</v>
      </c>
      <c r="AH116" s="44"/>
    </row>
    <row r="117" spans="2:34" hidden="1" x14ac:dyDescent="0.25">
      <c r="B117" s="2">
        <v>30</v>
      </c>
      <c r="C117" s="2">
        <f t="shared" si="10"/>
        <v>280.71999999999997</v>
      </c>
      <c r="D117" s="2">
        <f t="shared" si="11"/>
        <v>91.818799427863809</v>
      </c>
      <c r="E117" s="2">
        <f t="shared" si="12"/>
        <v>-893.19999999999982</v>
      </c>
      <c r="F117" s="2">
        <f t="shared" si="13"/>
        <v>119.67105856491294</v>
      </c>
      <c r="G117" s="2">
        <f t="shared" si="14"/>
        <v>159.5</v>
      </c>
      <c r="H117" s="2">
        <f t="shared" si="15"/>
        <v>-34.189318767773301</v>
      </c>
      <c r="U117" s="2">
        <f t="shared" si="18"/>
        <v>99</v>
      </c>
      <c r="V117" s="9">
        <v>45757</v>
      </c>
      <c r="W117" s="177">
        <f t="shared" si="19"/>
        <v>0.47729738415430656</v>
      </c>
      <c r="X117" s="177">
        <f t="shared" si="19"/>
        <v>0.5652824344885875</v>
      </c>
      <c r="Y117" s="177">
        <f t="shared" si="19"/>
        <v>0.64133752247752174</v>
      </c>
      <c r="Z117" s="177">
        <f t="shared" si="19"/>
        <v>0.70546264812110882</v>
      </c>
      <c r="AA117" s="177">
        <f t="shared" si="19"/>
        <v>0.75765781141934896</v>
      </c>
      <c r="AB117" s="177">
        <f t="shared" si="19"/>
        <v>0.79792301237224217</v>
      </c>
      <c r="AC117" s="177">
        <f t="shared" si="19"/>
        <v>0.82625825097978856</v>
      </c>
      <c r="AD117" s="177">
        <f t="shared" si="19"/>
        <v>0.8426635272419879</v>
      </c>
      <c r="AE117" s="177">
        <f t="shared" si="19"/>
        <v>0.84713884115884053</v>
      </c>
      <c r="AF117" s="177">
        <f t="shared" si="19"/>
        <v>0.83968419273034589</v>
      </c>
      <c r="AH117" s="44"/>
    </row>
    <row r="118" spans="2:34" hidden="1" x14ac:dyDescent="0.25">
      <c r="B118" s="2">
        <v>31</v>
      </c>
      <c r="C118" s="2">
        <f t="shared" si="10"/>
        <v>279.76299999999998</v>
      </c>
      <c r="D118" s="2">
        <f t="shared" si="11"/>
        <v>91.6981175478399</v>
      </c>
      <c r="E118" s="2">
        <f t="shared" si="12"/>
        <v>-866.2444999999999</v>
      </c>
      <c r="F118" s="2">
        <f t="shared" si="13"/>
        <v>119.25949064518821</v>
      </c>
      <c r="G118" s="2">
        <f t="shared" si="14"/>
        <v>159.34049999999999</v>
      </c>
      <c r="H118" s="2">
        <f t="shared" si="15"/>
        <v>-32.835838563248195</v>
      </c>
      <c r="U118" s="2">
        <f t="shared" si="18"/>
        <v>106</v>
      </c>
      <c r="V118" s="9">
        <v>45764</v>
      </c>
      <c r="W118" s="177">
        <f t="shared" si="19"/>
        <v>0.53831056328287064</v>
      </c>
      <c r="X118" s="177">
        <f t="shared" si="19"/>
        <v>0.63754278951817367</v>
      </c>
      <c r="Y118" s="177">
        <f t="shared" si="19"/>
        <v>0.72332003996003957</v>
      </c>
      <c r="Z118" s="177">
        <f t="shared" si="19"/>
        <v>0.79564231460846802</v>
      </c>
      <c r="AA118" s="177">
        <f t="shared" si="19"/>
        <v>0.85450961346345922</v>
      </c>
      <c r="AB118" s="177">
        <f t="shared" si="19"/>
        <v>0.89992193652501307</v>
      </c>
      <c r="AC118" s="177">
        <f t="shared" si="19"/>
        <v>0.93187928379312956</v>
      </c>
      <c r="AD118" s="177">
        <f t="shared" si="19"/>
        <v>0.95038165526780882</v>
      </c>
      <c r="AE118" s="177">
        <f t="shared" si="19"/>
        <v>0.95542905094905084</v>
      </c>
      <c r="AF118" s="177">
        <f t="shared" si="19"/>
        <v>0.94702147083685539</v>
      </c>
      <c r="AH118" s="44"/>
    </row>
    <row r="119" spans="2:34" hidden="1" x14ac:dyDescent="0.25">
      <c r="B119" s="2">
        <v>32</v>
      </c>
      <c r="C119" s="2">
        <f t="shared" si="10"/>
        <v>278.80599999999993</v>
      </c>
      <c r="D119" s="2">
        <f t="shared" si="11"/>
        <v>91.576773667815985</v>
      </c>
      <c r="E119" s="2">
        <f t="shared" si="12"/>
        <v>-839.60799999999995</v>
      </c>
      <c r="F119" s="2">
        <f t="shared" si="13"/>
        <v>118.84830672546347</v>
      </c>
      <c r="G119" s="2">
        <f t="shared" si="14"/>
        <v>159.18099999999998</v>
      </c>
      <c r="H119" s="2">
        <f t="shared" si="15"/>
        <v>-31.491678358723096</v>
      </c>
      <c r="U119" s="2">
        <f t="shared" si="18"/>
        <v>113</v>
      </c>
      <c r="V119" s="9">
        <v>45771</v>
      </c>
      <c r="W119" s="177">
        <f t="shared" si="19"/>
        <v>0.56515636209943876</v>
      </c>
      <c r="X119" s="177">
        <f t="shared" si="19"/>
        <v>0.66933734573119152</v>
      </c>
      <c r="Y119" s="177">
        <f t="shared" si="19"/>
        <v>0.75939234765234742</v>
      </c>
      <c r="Z119" s="177">
        <f t="shared" si="19"/>
        <v>0.83532136786290612</v>
      </c>
      <c r="AA119" s="177">
        <f t="shared" si="19"/>
        <v>0.89712440636286772</v>
      </c>
      <c r="AB119" s="177">
        <f t="shared" si="19"/>
        <v>0.94480146315223212</v>
      </c>
      <c r="AC119" s="177">
        <f t="shared" si="19"/>
        <v>0.97835253823099955</v>
      </c>
      <c r="AD119" s="177">
        <f t="shared" si="19"/>
        <v>0.99777763159916999</v>
      </c>
      <c r="AE119" s="177">
        <f t="shared" si="19"/>
        <v>1</v>
      </c>
      <c r="AF119" s="177">
        <f t="shared" si="19"/>
        <v>0.99424987320371949</v>
      </c>
      <c r="AH119" s="44"/>
    </row>
    <row r="120" spans="2:34" hidden="1" x14ac:dyDescent="0.25">
      <c r="B120" s="2">
        <v>33</v>
      </c>
      <c r="C120" s="2">
        <f t="shared" si="10"/>
        <v>277.84899999999993</v>
      </c>
      <c r="D120" s="2">
        <f t="shared" si="11"/>
        <v>91.454767787792065</v>
      </c>
      <c r="E120" s="2">
        <f t="shared" si="12"/>
        <v>-813.29050000000007</v>
      </c>
      <c r="F120" s="2">
        <f t="shared" si="13"/>
        <v>118.43750680573874</v>
      </c>
      <c r="G120" s="2">
        <f t="shared" si="14"/>
        <v>159.0215</v>
      </c>
      <c r="H120" s="2">
        <f t="shared" si="15"/>
        <v>-30.156838154197992</v>
      </c>
      <c r="U120" s="2">
        <f t="shared" si="18"/>
        <v>120</v>
      </c>
      <c r="V120" s="9">
        <v>45778</v>
      </c>
      <c r="W120" s="177">
        <f t="shared" si="19"/>
        <v>0.55783478060401104</v>
      </c>
      <c r="X120" s="177">
        <f t="shared" si="19"/>
        <v>0.66066610312764118</v>
      </c>
      <c r="Y120" s="177">
        <f t="shared" si="19"/>
        <v>0.74955444555444528</v>
      </c>
      <c r="Z120" s="177">
        <f t="shared" si="19"/>
        <v>0.8244998078844229</v>
      </c>
      <c r="AA120" s="177">
        <f t="shared" si="19"/>
        <v>0.88550219011757436</v>
      </c>
      <c r="AB120" s="177">
        <f t="shared" si="19"/>
        <v>0.93256159225389956</v>
      </c>
      <c r="AC120" s="177">
        <f t="shared" si="19"/>
        <v>0.96567801429339861</v>
      </c>
      <c r="AD120" s="177">
        <f t="shared" si="19"/>
        <v>0.9848514562360714</v>
      </c>
      <c r="AE120" s="177">
        <f t="shared" si="19"/>
        <v>0.99008191808191814</v>
      </c>
      <c r="AF120" s="177">
        <f t="shared" si="19"/>
        <v>0.98136939983093829</v>
      </c>
      <c r="AH120" s="44"/>
    </row>
    <row r="121" spans="2:34" hidden="1" x14ac:dyDescent="0.25">
      <c r="B121" s="2">
        <v>34</v>
      </c>
      <c r="C121" s="2">
        <f t="shared" si="10"/>
        <v>276.89199999999994</v>
      </c>
      <c r="D121" s="2">
        <f t="shared" si="11"/>
        <v>91.332099907768153</v>
      </c>
      <c r="E121" s="2">
        <f t="shared" si="12"/>
        <v>-787.29200000000014</v>
      </c>
      <c r="F121" s="2">
        <f t="shared" si="13"/>
        <v>118.02709088601401</v>
      </c>
      <c r="G121" s="2">
        <f t="shared" si="14"/>
        <v>158.86199999999999</v>
      </c>
      <c r="H121" s="2">
        <f t="shared" si="15"/>
        <v>-28.831317949672894</v>
      </c>
      <c r="U121" s="2">
        <f t="shared" si="18"/>
        <v>127</v>
      </c>
      <c r="V121" s="9">
        <v>45785</v>
      </c>
      <c r="W121" s="177">
        <f t="shared" si="19"/>
        <v>0.51634581879658648</v>
      </c>
      <c r="X121" s="177">
        <f t="shared" si="19"/>
        <v>0.61152906170752142</v>
      </c>
      <c r="Y121" s="177">
        <f t="shared" si="19"/>
        <v>0.69380633366633171</v>
      </c>
      <c r="Z121" s="177">
        <f t="shared" si="19"/>
        <v>0.76317763467301714</v>
      </c>
      <c r="AA121" s="177">
        <f t="shared" si="19"/>
        <v>0.81964296472757781</v>
      </c>
      <c r="AB121" s="177">
        <f t="shared" si="19"/>
        <v>0.86320232383001372</v>
      </c>
      <c r="AC121" s="177">
        <f t="shared" si="19"/>
        <v>0.89385571198032487</v>
      </c>
      <c r="AD121" s="177">
        <f t="shared" si="19"/>
        <v>0.91160312917851138</v>
      </c>
      <c r="AE121" s="177">
        <f t="shared" si="19"/>
        <v>0.91644457542457314</v>
      </c>
      <c r="AF121" s="177">
        <f t="shared" si="19"/>
        <v>0.90838005071851002</v>
      </c>
      <c r="AH121" s="44"/>
    </row>
    <row r="122" spans="2:34" hidden="1" x14ac:dyDescent="0.25">
      <c r="B122" s="2">
        <v>35</v>
      </c>
      <c r="C122" s="2">
        <f t="shared" si="10"/>
        <v>275.93499999999995</v>
      </c>
      <c r="D122" s="2">
        <f t="shared" si="11"/>
        <v>91.208770027744251</v>
      </c>
      <c r="E122" s="2">
        <f t="shared" si="12"/>
        <v>-761.61249999999995</v>
      </c>
      <c r="F122" s="2">
        <f t="shared" si="13"/>
        <v>117.61705896628928</v>
      </c>
      <c r="G122" s="2">
        <f t="shared" si="14"/>
        <v>158.70249999999999</v>
      </c>
      <c r="H122" s="2">
        <f t="shared" si="15"/>
        <v>-27.515117745147798</v>
      </c>
      <c r="U122" s="2">
        <f t="shared" si="18"/>
        <v>134</v>
      </c>
      <c r="V122" s="9">
        <v>45792</v>
      </c>
      <c r="W122" s="177">
        <f t="shared" si="19"/>
        <v>0.44068947667716746</v>
      </c>
      <c r="X122" s="177">
        <f t="shared" si="19"/>
        <v>0.52192622147083501</v>
      </c>
      <c r="Y122" s="177">
        <f t="shared" si="19"/>
        <v>0.59214801198801004</v>
      </c>
      <c r="Z122" s="177">
        <f t="shared" si="19"/>
        <v>0.65135484822869216</v>
      </c>
      <c r="AA122" s="177">
        <f t="shared" si="19"/>
        <v>0.69954673019288172</v>
      </c>
      <c r="AB122" s="177">
        <f t="shared" si="19"/>
        <v>0.73672365788057848</v>
      </c>
      <c r="AC122" s="177">
        <f t="shared" si="19"/>
        <v>0.76288563129178266</v>
      </c>
      <c r="AD122" s="177">
        <f t="shared" si="19"/>
        <v>0.77803265042649417</v>
      </c>
      <c r="AE122" s="177">
        <f t="shared" si="19"/>
        <v>0.78216471528471299</v>
      </c>
      <c r="AF122" s="177">
        <f t="shared" si="19"/>
        <v>0.77528182586643901</v>
      </c>
      <c r="AH122" s="44"/>
    </row>
    <row r="123" spans="2:34" hidden="1" x14ac:dyDescent="0.25">
      <c r="B123" s="2">
        <v>36</v>
      </c>
      <c r="C123" s="2">
        <f t="shared" si="10"/>
        <v>274.97799999999995</v>
      </c>
      <c r="D123" s="2">
        <f t="shared" si="11"/>
        <v>91.084778147720328</v>
      </c>
      <c r="E123" s="2">
        <f t="shared" si="12"/>
        <v>-736.25199999999995</v>
      </c>
      <c r="F123" s="2">
        <f t="shared" si="13"/>
        <v>117.20741104656453</v>
      </c>
      <c r="G123" s="2">
        <f t="shared" si="14"/>
        <v>158.54300000000001</v>
      </c>
      <c r="H123" s="2">
        <f t="shared" si="15"/>
        <v>-26.208237540622697</v>
      </c>
      <c r="W123" s="18"/>
      <c r="AH123" s="44"/>
    </row>
    <row r="124" spans="2:34" ht="15.75" hidden="1" x14ac:dyDescent="0.25">
      <c r="B124" s="2">
        <v>37</v>
      </c>
      <c r="C124" s="2">
        <f t="shared" si="10"/>
        <v>274.02099999999996</v>
      </c>
      <c r="D124" s="2">
        <f t="shared" si="11"/>
        <v>90.960124267696443</v>
      </c>
      <c r="E124" s="2">
        <f t="shared" si="12"/>
        <v>-711.21050000000002</v>
      </c>
      <c r="F124" s="2">
        <f t="shared" si="13"/>
        <v>116.79814712683981</v>
      </c>
      <c r="G124" s="2">
        <f t="shared" si="14"/>
        <v>158.3835</v>
      </c>
      <c r="H124" s="2">
        <f t="shared" si="15"/>
        <v>-24.910677336097592</v>
      </c>
      <c r="V124" s="178" t="s">
        <v>163</v>
      </c>
      <c r="W124" s="179"/>
      <c r="X124" s="179"/>
      <c r="Y124" s="179"/>
      <c r="Z124" s="179"/>
      <c r="AA124" s="179"/>
      <c r="AB124" s="179"/>
      <c r="AC124" s="180"/>
      <c r="AD124" s="181"/>
      <c r="AE124" s="182"/>
      <c r="AF124" s="181"/>
      <c r="AH124" s="44"/>
    </row>
    <row r="125" spans="2:34" hidden="1" x14ac:dyDescent="0.25">
      <c r="B125" s="2">
        <v>38</v>
      </c>
      <c r="C125" s="2">
        <f t="shared" si="10"/>
        <v>273.06399999999996</v>
      </c>
      <c r="D125" s="2">
        <f t="shared" si="11"/>
        <v>90.834808387672524</v>
      </c>
      <c r="E125" s="2">
        <f t="shared" si="12"/>
        <v>-686.48800000000006</v>
      </c>
      <c r="F125" s="2">
        <f t="shared" si="13"/>
        <v>116.38926720711507</v>
      </c>
      <c r="G125" s="2">
        <f t="shared" si="14"/>
        <v>158.22399999999999</v>
      </c>
      <c r="H125" s="2">
        <f t="shared" si="15"/>
        <v>-23.6224371315725</v>
      </c>
      <c r="V125" s="40" t="s">
        <v>151</v>
      </c>
      <c r="W125" s="40" t="s">
        <v>152</v>
      </c>
      <c r="X125" s="40" t="s">
        <v>153</v>
      </c>
      <c r="Y125" s="40" t="s">
        <v>154</v>
      </c>
      <c r="Z125" s="40" t="s">
        <v>155</v>
      </c>
      <c r="AA125" s="40" t="s">
        <v>156</v>
      </c>
      <c r="AB125" s="40" t="s">
        <v>157</v>
      </c>
      <c r="AC125" s="40" t="s">
        <v>158</v>
      </c>
      <c r="AD125" s="40" t="s">
        <v>159</v>
      </c>
      <c r="AE125" s="40" t="s">
        <v>160</v>
      </c>
      <c r="AF125" s="40" t="s">
        <v>161</v>
      </c>
      <c r="AH125" s="44"/>
    </row>
    <row r="126" spans="2:34" hidden="1" x14ac:dyDescent="0.25">
      <c r="B126" s="2">
        <v>39</v>
      </c>
      <c r="C126" s="2">
        <f t="shared" si="10"/>
        <v>272.10699999999997</v>
      </c>
      <c r="D126" s="2">
        <f t="shared" si="11"/>
        <v>90.708830507648614</v>
      </c>
      <c r="E126" s="2">
        <f t="shared" si="12"/>
        <v>-662.08449999999993</v>
      </c>
      <c r="F126" s="2">
        <f t="shared" si="13"/>
        <v>115.98077128739034</v>
      </c>
      <c r="G126" s="2">
        <f t="shared" si="14"/>
        <v>158.06450000000001</v>
      </c>
      <c r="H126" s="2">
        <f t="shared" si="15"/>
        <v>-22.343516927047396</v>
      </c>
      <c r="U126" s="2">
        <f t="shared" ref="U126:U137" si="20">DAYS360($V$78,V126,FALSE)</f>
        <v>104</v>
      </c>
      <c r="V126" s="9">
        <v>45762</v>
      </c>
      <c r="W126" s="177">
        <f t="shared" ref="W126:AF137" si="21">MIN(1,($R$57+$U126*$R$58+($U126^2*$R$59))/$Z$60*($Z$72+W$125*$Z$73+W$125^2*$Z$74+W$125^3*$Z$75))</f>
        <v>0.41391743174156487</v>
      </c>
      <c r="X126" s="177">
        <f t="shared" si="21"/>
        <v>0.60264880327103143</v>
      </c>
      <c r="Y126" s="177">
        <f t="shared" si="21"/>
        <v>0.73098697733492779</v>
      </c>
      <c r="Z126" s="177">
        <f t="shared" si="21"/>
        <v>0.81156908851264775</v>
      </c>
      <c r="AA126" s="177">
        <f t="shared" si="21"/>
        <v>0.85703227138358595</v>
      </c>
      <c r="AB126" s="177">
        <f t="shared" si="21"/>
        <v>0.88001366052713725</v>
      </c>
      <c r="AC126" s="177">
        <f t="shared" si="21"/>
        <v>0.89315039052269596</v>
      </c>
      <c r="AD126" s="177">
        <f t="shared" si="21"/>
        <v>0.90907959594965604</v>
      </c>
      <c r="AE126" s="177">
        <f t="shared" si="21"/>
        <v>0.9404384113874128</v>
      </c>
      <c r="AF126" s="177">
        <f t="shared" si="21"/>
        <v>0.99986397141535965</v>
      </c>
      <c r="AH126" s="44"/>
    </row>
    <row r="127" spans="2:34" hidden="1" x14ac:dyDescent="0.25">
      <c r="B127" s="2">
        <v>40</v>
      </c>
      <c r="C127" s="2">
        <f t="shared" si="10"/>
        <v>271.14999999999998</v>
      </c>
      <c r="D127" s="2">
        <f t="shared" si="11"/>
        <v>90.582190627624698</v>
      </c>
      <c r="E127" s="2">
        <f t="shared" si="12"/>
        <v>-638</v>
      </c>
      <c r="F127" s="2">
        <f t="shared" si="13"/>
        <v>115.57265936766559</v>
      </c>
      <c r="G127" s="2">
        <f t="shared" si="14"/>
        <v>157.905</v>
      </c>
      <c r="H127" s="2">
        <f t="shared" si="15"/>
        <v>-21.073916722522295</v>
      </c>
      <c r="U127" s="2">
        <f t="shared" si="20"/>
        <v>111</v>
      </c>
      <c r="V127" s="9">
        <v>45769</v>
      </c>
      <c r="W127" s="177">
        <f t="shared" si="21"/>
        <v>0.40778478290967457</v>
      </c>
      <c r="X127" s="177">
        <f t="shared" si="21"/>
        <v>0.59371988847788082</v>
      </c>
      <c r="Y127" s="177">
        <f t="shared" si="21"/>
        <v>0.72015658922148629</v>
      </c>
      <c r="Z127" s="177">
        <f t="shared" si="21"/>
        <v>0.79954478646350657</v>
      </c>
      <c r="AA127" s="177">
        <f t="shared" si="21"/>
        <v>0.84433438152695783</v>
      </c>
      <c r="AB127" s="177">
        <f t="shared" si="21"/>
        <v>0.86697527573485622</v>
      </c>
      <c r="AC127" s="177">
        <f t="shared" si="21"/>
        <v>0.879917370410218</v>
      </c>
      <c r="AD127" s="177">
        <f t="shared" si="21"/>
        <v>0.89561056687605856</v>
      </c>
      <c r="AE127" s="177">
        <f t="shared" si="21"/>
        <v>0.92650476645539481</v>
      </c>
      <c r="AF127" s="177">
        <f t="shared" si="21"/>
        <v>0.98504987047124171</v>
      </c>
      <c r="AH127" s="44"/>
    </row>
    <row r="128" spans="2:34" hidden="1" x14ac:dyDescent="0.25">
      <c r="B128" s="2">
        <v>41</v>
      </c>
      <c r="C128" s="2">
        <f t="shared" si="10"/>
        <v>270.19299999999993</v>
      </c>
      <c r="D128" s="2">
        <f t="shared" si="11"/>
        <v>90.454888747600791</v>
      </c>
      <c r="E128" s="2">
        <f t="shared" si="12"/>
        <v>-614.23450000000003</v>
      </c>
      <c r="F128" s="2">
        <f t="shared" si="13"/>
        <v>115.16493144794086</v>
      </c>
      <c r="G128" s="2">
        <f t="shared" si="14"/>
        <v>157.74549999999999</v>
      </c>
      <c r="H128" s="2">
        <f t="shared" si="15"/>
        <v>-19.813636517997196</v>
      </c>
      <c r="U128" s="2">
        <f t="shared" si="20"/>
        <v>118</v>
      </c>
      <c r="V128" s="9">
        <v>45776</v>
      </c>
      <c r="W128" s="177">
        <f t="shared" si="21"/>
        <v>0.40148657788079867</v>
      </c>
      <c r="X128" s="177">
        <f t="shared" si="21"/>
        <v>0.58454992985246712</v>
      </c>
      <c r="Y128" s="177">
        <f t="shared" si="21"/>
        <v>0.70903382534724546</v>
      </c>
      <c r="Z128" s="177">
        <f t="shared" si="21"/>
        <v>0.78719587790692758</v>
      </c>
      <c r="AA128" s="177">
        <f t="shared" si="21"/>
        <v>0.83129370107330824</v>
      </c>
      <c r="AB128" s="177">
        <f t="shared" si="21"/>
        <v>0.85358490838818202</v>
      </c>
      <c r="AC128" s="177">
        <f t="shared" si="21"/>
        <v>0.86632711339334345</v>
      </c>
      <c r="AD128" s="177">
        <f t="shared" si="21"/>
        <v>0.88177792963058632</v>
      </c>
      <c r="AE128" s="177">
        <f t="shared" si="21"/>
        <v>0.91219497064170596</v>
      </c>
      <c r="AF128" s="177">
        <f t="shared" si="21"/>
        <v>0.96983584996849592</v>
      </c>
    </row>
    <row r="129" spans="2:32" hidden="1" x14ac:dyDescent="0.25">
      <c r="B129" s="2">
        <v>42</v>
      </c>
      <c r="C129" s="2">
        <f t="shared" si="10"/>
        <v>269.23599999999993</v>
      </c>
      <c r="D129" s="2">
        <f t="shared" si="11"/>
        <v>90.326924867576878</v>
      </c>
      <c r="E129" s="2">
        <f t="shared" si="12"/>
        <v>-590.78800000000001</v>
      </c>
      <c r="F129" s="2">
        <f t="shared" si="13"/>
        <v>114.75758752821613</v>
      </c>
      <c r="G129" s="2">
        <f t="shared" si="14"/>
        <v>157.58599999999998</v>
      </c>
      <c r="H129" s="2">
        <f t="shared" si="15"/>
        <v>-18.562676313472092</v>
      </c>
      <c r="U129" s="2">
        <f t="shared" si="20"/>
        <v>125</v>
      </c>
      <c r="V129" s="9">
        <v>45783</v>
      </c>
      <c r="W129" s="177">
        <f t="shared" si="21"/>
        <v>0.39502281665493716</v>
      </c>
      <c r="X129" s="177">
        <f t="shared" si="21"/>
        <v>0.57513892739479033</v>
      </c>
      <c r="Y129" s="177">
        <f t="shared" si="21"/>
        <v>0.6976186857122052</v>
      </c>
      <c r="Z129" s="177">
        <f t="shared" si="21"/>
        <v>0.77452236284291087</v>
      </c>
      <c r="AA129" s="177">
        <f t="shared" si="21"/>
        <v>0.81791023002263741</v>
      </c>
      <c r="AB129" s="177">
        <f t="shared" si="21"/>
        <v>0.83984255848711464</v>
      </c>
      <c r="AC129" s="177">
        <f t="shared" si="21"/>
        <v>0.85237961947207219</v>
      </c>
      <c r="AD129" s="177">
        <f t="shared" si="21"/>
        <v>0.86758168421323922</v>
      </c>
      <c r="AE129" s="177">
        <f t="shared" si="21"/>
        <v>0.89750902394634635</v>
      </c>
      <c r="AF129" s="177">
        <f t="shared" si="21"/>
        <v>0.9542219099071223</v>
      </c>
    </row>
    <row r="130" spans="2:32" hidden="1" x14ac:dyDescent="0.25">
      <c r="B130" s="2">
        <v>43</v>
      </c>
      <c r="C130" s="2">
        <f t="shared" si="10"/>
        <v>268.27899999999994</v>
      </c>
      <c r="D130" s="2">
        <f t="shared" si="11"/>
        <v>90.19829898755296</v>
      </c>
      <c r="E130" s="2">
        <f t="shared" si="12"/>
        <v>-567.66050000000018</v>
      </c>
      <c r="F130" s="2">
        <f t="shared" si="13"/>
        <v>114.35062760849139</v>
      </c>
      <c r="G130" s="2">
        <f t="shared" si="14"/>
        <v>157.4265</v>
      </c>
      <c r="H130" s="2">
        <f t="shared" si="15"/>
        <v>-17.321036108946991</v>
      </c>
      <c r="U130" s="2">
        <f t="shared" si="20"/>
        <v>132</v>
      </c>
      <c r="V130" s="9">
        <v>45790</v>
      </c>
      <c r="W130" s="177">
        <f t="shared" si="21"/>
        <v>0.38839349923209004</v>
      </c>
      <c r="X130" s="177">
        <f t="shared" si="21"/>
        <v>0.56548688110485046</v>
      </c>
      <c r="Y130" s="177">
        <f t="shared" si="21"/>
        <v>0.6859111703163655</v>
      </c>
      <c r="Z130" s="177">
        <f t="shared" si="21"/>
        <v>0.76152424127145646</v>
      </c>
      <c r="AA130" s="177">
        <f t="shared" si="21"/>
        <v>0.80418396837494543</v>
      </c>
      <c r="AB130" s="177">
        <f t="shared" si="21"/>
        <v>0.8257482260316541</v>
      </c>
      <c r="AC130" s="177">
        <f t="shared" si="21"/>
        <v>0.83807488864640445</v>
      </c>
      <c r="AD130" s="177">
        <f t="shared" si="21"/>
        <v>0.85302183062401749</v>
      </c>
      <c r="AE130" s="177">
        <f t="shared" si="21"/>
        <v>0.8824469263693161</v>
      </c>
      <c r="AF130" s="177">
        <f t="shared" si="21"/>
        <v>0.93820805028712084</v>
      </c>
    </row>
    <row r="131" spans="2:32" hidden="1" x14ac:dyDescent="0.25">
      <c r="B131" s="2">
        <v>44</v>
      </c>
      <c r="C131" s="2">
        <f t="shared" si="10"/>
        <v>267.32199999999995</v>
      </c>
      <c r="D131" s="2">
        <f t="shared" si="11"/>
        <v>90.069011107529064</v>
      </c>
      <c r="E131" s="2">
        <f t="shared" si="12"/>
        <v>-544.85199999999998</v>
      </c>
      <c r="F131" s="2">
        <f t="shared" si="13"/>
        <v>113.94405168876665</v>
      </c>
      <c r="G131" s="2">
        <f t="shared" si="14"/>
        <v>157.267</v>
      </c>
      <c r="H131" s="2">
        <f t="shared" si="15"/>
        <v>-16.088715904421903</v>
      </c>
      <c r="U131" s="2">
        <f t="shared" si="20"/>
        <v>139</v>
      </c>
      <c r="V131" s="9">
        <v>45797</v>
      </c>
      <c r="W131" s="177">
        <f t="shared" si="21"/>
        <v>0.38159862561225721</v>
      </c>
      <c r="X131" s="177">
        <f t="shared" si="21"/>
        <v>0.55559379098264738</v>
      </c>
      <c r="Y131" s="177">
        <f t="shared" si="21"/>
        <v>0.67391127915972626</v>
      </c>
      <c r="Z131" s="177">
        <f t="shared" si="21"/>
        <v>0.74820151319256412</v>
      </c>
      <c r="AA131" s="177">
        <f t="shared" si="21"/>
        <v>0.79011491613023188</v>
      </c>
      <c r="AB131" s="177">
        <f t="shared" si="21"/>
        <v>0.81130191102180016</v>
      </c>
      <c r="AC131" s="177">
        <f t="shared" si="21"/>
        <v>0.82341292091633977</v>
      </c>
      <c r="AD131" s="177">
        <f t="shared" si="21"/>
        <v>0.83809836886292077</v>
      </c>
      <c r="AE131" s="177">
        <f t="shared" si="21"/>
        <v>0.86700867791061476</v>
      </c>
      <c r="AF131" s="177">
        <f t="shared" si="21"/>
        <v>0.92179427110849133</v>
      </c>
    </row>
    <row r="132" spans="2:32" hidden="1" x14ac:dyDescent="0.25">
      <c r="B132" s="2">
        <v>45</v>
      </c>
      <c r="C132" s="2">
        <f t="shared" si="10"/>
        <v>266.36499999999995</v>
      </c>
      <c r="D132" s="2">
        <f t="shared" si="11"/>
        <v>89.93906122750515</v>
      </c>
      <c r="E132" s="2">
        <f t="shared" si="12"/>
        <v>-522.36249999999995</v>
      </c>
      <c r="F132" s="2">
        <f t="shared" si="13"/>
        <v>113.53785976904192</v>
      </c>
      <c r="G132" s="2">
        <f t="shared" si="14"/>
        <v>157.10749999999999</v>
      </c>
      <c r="H132" s="2">
        <f t="shared" si="15"/>
        <v>-14.865715699896802</v>
      </c>
      <c r="U132" s="2">
        <f t="shared" si="20"/>
        <v>146</v>
      </c>
      <c r="V132" s="9">
        <v>45804</v>
      </c>
      <c r="W132" s="177">
        <f t="shared" si="21"/>
        <v>0.37463819579543889</v>
      </c>
      <c r="X132" s="177">
        <f t="shared" si="21"/>
        <v>0.54545965702818122</v>
      </c>
      <c r="Y132" s="177">
        <f t="shared" si="21"/>
        <v>0.66161901224228781</v>
      </c>
      <c r="Z132" s="177">
        <f t="shared" si="21"/>
        <v>0.73455417860623418</v>
      </c>
      <c r="AA132" s="177">
        <f t="shared" si="21"/>
        <v>0.77570307328849719</v>
      </c>
      <c r="AB132" s="177">
        <f t="shared" si="21"/>
        <v>0.79650361345755327</v>
      </c>
      <c r="AC132" s="177">
        <f t="shared" si="21"/>
        <v>0.80839371628187873</v>
      </c>
      <c r="AD132" s="177">
        <f t="shared" si="21"/>
        <v>0.82281129892994953</v>
      </c>
      <c r="AE132" s="177">
        <f t="shared" si="21"/>
        <v>0.85119427857024288</v>
      </c>
      <c r="AF132" s="177">
        <f t="shared" si="21"/>
        <v>0.90498057237123419</v>
      </c>
    </row>
    <row r="133" spans="2:32" hidden="1" x14ac:dyDescent="0.25">
      <c r="B133" s="2">
        <v>46</v>
      </c>
      <c r="C133" s="2">
        <f t="shared" si="10"/>
        <v>265.40799999999996</v>
      </c>
      <c r="D133" s="2">
        <f t="shared" si="11"/>
        <v>89.808449347481243</v>
      </c>
      <c r="E133" s="2">
        <f t="shared" si="12"/>
        <v>-500.19200000000006</v>
      </c>
      <c r="F133" s="2">
        <f t="shared" si="13"/>
        <v>113.13205184931718</v>
      </c>
      <c r="G133" s="2">
        <f t="shared" si="14"/>
        <v>156.94800000000001</v>
      </c>
      <c r="H133" s="2">
        <f t="shared" si="15"/>
        <v>-13.652035495371699</v>
      </c>
      <c r="U133" s="2">
        <f t="shared" si="20"/>
        <v>152</v>
      </c>
      <c r="V133" s="9">
        <v>45811</v>
      </c>
      <c r="W133" s="177">
        <f t="shared" si="21"/>
        <v>0.36854034387729984</v>
      </c>
      <c r="X133" s="177">
        <f t="shared" si="21"/>
        <v>0.53658140528234777</v>
      </c>
      <c r="Y133" s="177">
        <f t="shared" si="21"/>
        <v>0.6508500762177245</v>
      </c>
      <c r="Z133" s="177">
        <f t="shared" si="21"/>
        <v>0.72259810296509264</v>
      </c>
      <c r="AA133" s="177">
        <f t="shared" si="21"/>
        <v>0.76307723180611575</v>
      </c>
      <c r="AB133" s="177">
        <f t="shared" si="21"/>
        <v>0.78353920902245711</v>
      </c>
      <c r="AC133" s="177">
        <f t="shared" si="21"/>
        <v>0.79523578089577995</v>
      </c>
      <c r="AD133" s="177">
        <f t="shared" si="21"/>
        <v>0.80941869370774722</v>
      </c>
      <c r="AE133" s="177">
        <f t="shared" si="21"/>
        <v>0.83733969374002282</v>
      </c>
      <c r="AF133" s="177">
        <f t="shared" si="21"/>
        <v>0.89025052727426901</v>
      </c>
    </row>
    <row r="134" spans="2:32" hidden="1" x14ac:dyDescent="0.25">
      <c r="B134" s="2">
        <v>47</v>
      </c>
      <c r="C134" s="2">
        <f t="shared" si="10"/>
        <v>264.45099999999996</v>
      </c>
      <c r="D134" s="2">
        <f t="shared" si="11"/>
        <v>89.677175467457332</v>
      </c>
      <c r="E134" s="2">
        <f t="shared" si="12"/>
        <v>-478.34050000000013</v>
      </c>
      <c r="F134" s="2">
        <f t="shared" si="13"/>
        <v>112.72662792959244</v>
      </c>
      <c r="G134" s="2">
        <f t="shared" si="14"/>
        <v>156.7885</v>
      </c>
      <c r="H134" s="2">
        <f t="shared" si="15"/>
        <v>-12.447675290846599</v>
      </c>
      <c r="U134" s="2">
        <f t="shared" si="20"/>
        <v>159</v>
      </c>
      <c r="V134" s="9">
        <v>45818</v>
      </c>
      <c r="W134" s="177">
        <f t="shared" si="21"/>
        <v>0.36127245255179391</v>
      </c>
      <c r="X134" s="177">
        <f t="shared" si="21"/>
        <v>0.52599961849653598</v>
      </c>
      <c r="Y134" s="177">
        <f t="shared" si="21"/>
        <v>0.63801482574451562</v>
      </c>
      <c r="Z134" s="177">
        <f t="shared" si="21"/>
        <v>0.70834792772209254</v>
      </c>
      <c r="AA134" s="177">
        <f t="shared" si="21"/>
        <v>0.74802877785562716</v>
      </c>
      <c r="AB134" s="177">
        <f t="shared" si="21"/>
        <v>0.7680872295714799</v>
      </c>
      <c r="AC134" s="177">
        <f t="shared" si="21"/>
        <v>0.77955313629601086</v>
      </c>
      <c r="AD134" s="177">
        <f t="shared" si="21"/>
        <v>0.79345635145557991</v>
      </c>
      <c r="AE134" s="177">
        <f t="shared" si="21"/>
        <v>0.82082672847654792</v>
      </c>
      <c r="AF134" s="177">
        <f t="shared" si="21"/>
        <v>0.87269412078527431</v>
      </c>
    </row>
    <row r="135" spans="2:32" hidden="1" x14ac:dyDescent="0.25">
      <c r="B135" s="2">
        <v>48</v>
      </c>
      <c r="C135" s="2">
        <f t="shared" si="10"/>
        <v>263.49399999999997</v>
      </c>
      <c r="D135" s="2">
        <f t="shared" si="11"/>
        <v>89.545239587433414</v>
      </c>
      <c r="E135" s="2">
        <f t="shared" si="12"/>
        <v>-456.80800000000016</v>
      </c>
      <c r="F135" s="2">
        <f t="shared" si="13"/>
        <v>112.32158800986771</v>
      </c>
      <c r="G135" s="2">
        <f t="shared" si="14"/>
        <v>156.62899999999999</v>
      </c>
      <c r="H135" s="2">
        <f t="shared" si="15"/>
        <v>-11.252635086321495</v>
      </c>
      <c r="U135" s="2">
        <f t="shared" si="20"/>
        <v>166</v>
      </c>
      <c r="V135" s="9">
        <v>45825</v>
      </c>
      <c r="W135" s="177">
        <f t="shared" si="21"/>
        <v>0.35383900502930221</v>
      </c>
      <c r="X135" s="177">
        <f t="shared" si="21"/>
        <v>0.51517678787846088</v>
      </c>
      <c r="Y135" s="177">
        <f t="shared" si="21"/>
        <v>0.62488719951050709</v>
      </c>
      <c r="Z135" s="177">
        <f t="shared" si="21"/>
        <v>0.6937731459716544</v>
      </c>
      <c r="AA135" s="177">
        <f t="shared" si="21"/>
        <v>0.73263753330811709</v>
      </c>
      <c r="AB135" s="177">
        <f t="shared" si="21"/>
        <v>0.75228326756610919</v>
      </c>
      <c r="AC135" s="177">
        <f t="shared" si="21"/>
        <v>0.76351325479184484</v>
      </c>
      <c r="AD135" s="177">
        <f t="shared" si="21"/>
        <v>0.77713040103153752</v>
      </c>
      <c r="AE135" s="177">
        <f t="shared" si="21"/>
        <v>0.80393761233140204</v>
      </c>
      <c r="AF135" s="177">
        <f t="shared" si="21"/>
        <v>0.85473779473765155</v>
      </c>
    </row>
    <row r="136" spans="2:32" hidden="1" x14ac:dyDescent="0.25">
      <c r="B136" s="2">
        <v>49</v>
      </c>
      <c r="C136" s="2">
        <f t="shared" si="10"/>
        <v>262.53699999999992</v>
      </c>
      <c r="D136" s="2">
        <f t="shared" si="11"/>
        <v>89.412641707409506</v>
      </c>
      <c r="E136" s="2">
        <f t="shared" si="12"/>
        <v>-435.59449999999998</v>
      </c>
      <c r="F136" s="2">
        <f t="shared" si="13"/>
        <v>111.91693209014298</v>
      </c>
      <c r="G136" s="2">
        <f t="shared" si="14"/>
        <v>156.46949999999998</v>
      </c>
      <c r="H136" s="2">
        <f t="shared" si="15"/>
        <v>-10.066914881796395</v>
      </c>
      <c r="U136" s="2">
        <f t="shared" si="20"/>
        <v>173</v>
      </c>
      <c r="V136" s="9">
        <v>45832</v>
      </c>
      <c r="W136" s="177">
        <f t="shared" si="21"/>
        <v>0.34624000130982502</v>
      </c>
      <c r="X136" s="177">
        <f t="shared" si="21"/>
        <v>0.50411291342812281</v>
      </c>
      <c r="Y136" s="177">
        <f t="shared" si="21"/>
        <v>0.61146719751569933</v>
      </c>
      <c r="Z136" s="177">
        <f t="shared" si="21"/>
        <v>0.67887375771377867</v>
      </c>
      <c r="AA136" s="177">
        <f t="shared" si="21"/>
        <v>0.71690349816358589</v>
      </c>
      <c r="AB136" s="177">
        <f t="shared" si="21"/>
        <v>0.73612732300634565</v>
      </c>
      <c r="AC136" s="177">
        <f t="shared" si="21"/>
        <v>0.74711613638328245</v>
      </c>
      <c r="AD136" s="177">
        <f t="shared" si="21"/>
        <v>0.76044084243562071</v>
      </c>
      <c r="AE136" s="177">
        <f t="shared" si="21"/>
        <v>0.78667234530458563</v>
      </c>
      <c r="AF136" s="177">
        <f t="shared" si="21"/>
        <v>0.83638154913140106</v>
      </c>
    </row>
    <row r="137" spans="2:32" hidden="1" x14ac:dyDescent="0.25">
      <c r="B137" s="2">
        <v>50</v>
      </c>
      <c r="C137" s="2">
        <f t="shared" si="10"/>
        <v>261.57999999999993</v>
      </c>
      <c r="D137" s="2">
        <f t="shared" si="11"/>
        <v>89.279381827385606</v>
      </c>
      <c r="E137" s="2">
        <f t="shared" si="12"/>
        <v>-414.70000000000005</v>
      </c>
      <c r="F137" s="2">
        <f t="shared" si="13"/>
        <v>111.51266017041824</v>
      </c>
      <c r="G137" s="2">
        <f t="shared" si="14"/>
        <v>156.31</v>
      </c>
      <c r="H137" s="2">
        <f t="shared" si="15"/>
        <v>-8.8905146772712929</v>
      </c>
      <c r="U137" s="2">
        <f t="shared" si="20"/>
        <v>180</v>
      </c>
      <c r="V137" s="9">
        <v>45839</v>
      </c>
      <c r="W137" s="177">
        <f t="shared" si="21"/>
        <v>0.33847544139336211</v>
      </c>
      <c r="X137" s="177">
        <f t="shared" si="21"/>
        <v>0.49280799514552148</v>
      </c>
      <c r="Y137" s="177">
        <f t="shared" si="21"/>
        <v>0.59775481976009204</v>
      </c>
      <c r="Z137" s="177">
        <f t="shared" si="21"/>
        <v>0.66364976294846512</v>
      </c>
      <c r="AA137" s="177">
        <f t="shared" si="21"/>
        <v>0.70082667242203334</v>
      </c>
      <c r="AB137" s="177">
        <f t="shared" si="21"/>
        <v>0.71961939589218871</v>
      </c>
      <c r="AC137" s="177">
        <f t="shared" si="21"/>
        <v>0.73036178107032335</v>
      </c>
      <c r="AD137" s="177">
        <f t="shared" si="21"/>
        <v>0.74338767566782893</v>
      </c>
      <c r="AE137" s="177">
        <f t="shared" si="21"/>
        <v>0.76903092739609824</v>
      </c>
      <c r="AF137" s="177">
        <f t="shared" si="21"/>
        <v>0.81762538396652262</v>
      </c>
    </row>
    <row r="138" spans="2:32" hidden="1" x14ac:dyDescent="0.25">
      <c r="B138" s="2">
        <v>51</v>
      </c>
      <c r="C138" s="2">
        <f t="shared" si="10"/>
        <v>260.62299999999993</v>
      </c>
      <c r="D138" s="2">
        <f t="shared" si="11"/>
        <v>89.145459947361701</v>
      </c>
      <c r="E138" s="2">
        <f t="shared" si="12"/>
        <v>-394.12450000000013</v>
      </c>
      <c r="F138" s="2">
        <f t="shared" si="13"/>
        <v>111.10877225069351</v>
      </c>
      <c r="G138" s="2">
        <f t="shared" si="14"/>
        <v>156.15049999999999</v>
      </c>
      <c r="H138" s="2">
        <f t="shared" si="15"/>
        <v>-7.7234344727461917</v>
      </c>
      <c r="W138" s="18"/>
    </row>
    <row r="139" spans="2:32" ht="15.75" hidden="1" x14ac:dyDescent="0.25">
      <c r="B139" s="2">
        <v>52</v>
      </c>
      <c r="C139" s="2">
        <f t="shared" si="10"/>
        <v>259.66599999999994</v>
      </c>
      <c r="D139" s="2">
        <f t="shared" si="11"/>
        <v>89.010876067337776</v>
      </c>
      <c r="E139" s="2">
        <f t="shared" si="12"/>
        <v>-373.86800000000017</v>
      </c>
      <c r="F139" s="2">
        <f t="shared" si="13"/>
        <v>110.70526833096876</v>
      </c>
      <c r="G139" s="2">
        <f t="shared" si="14"/>
        <v>155.99099999999999</v>
      </c>
      <c r="H139" s="2">
        <f t="shared" si="15"/>
        <v>-6.5656742682210893</v>
      </c>
      <c r="V139" s="178" t="s">
        <v>164</v>
      </c>
      <c r="W139" s="179"/>
      <c r="X139" s="179"/>
      <c r="Y139" s="179"/>
      <c r="Z139" s="179"/>
      <c r="AA139" s="179"/>
      <c r="AB139" s="179"/>
      <c r="AC139" s="180"/>
      <c r="AD139" s="181"/>
      <c r="AE139" s="182"/>
      <c r="AF139" s="181"/>
    </row>
    <row r="140" spans="2:32" hidden="1" x14ac:dyDescent="0.25">
      <c r="B140" s="2">
        <v>53</v>
      </c>
      <c r="C140" s="2">
        <f t="shared" si="10"/>
        <v>258.70899999999995</v>
      </c>
      <c r="D140" s="2">
        <f t="shared" si="11"/>
        <v>88.875630187313874</v>
      </c>
      <c r="E140" s="2">
        <f t="shared" si="12"/>
        <v>-353.93049999999999</v>
      </c>
      <c r="F140" s="2">
        <f t="shared" si="13"/>
        <v>110.30214841124403</v>
      </c>
      <c r="G140" s="2">
        <f t="shared" si="14"/>
        <v>155.83150000000001</v>
      </c>
      <c r="H140" s="2">
        <f t="shared" si="15"/>
        <v>-5.4172340636960019</v>
      </c>
      <c r="V140" s="40" t="s">
        <v>151</v>
      </c>
      <c r="W140" s="40" t="s">
        <v>141</v>
      </c>
      <c r="X140" s="40" t="s">
        <v>142</v>
      </c>
      <c r="Y140" s="40" t="s">
        <v>143</v>
      </c>
      <c r="Z140" s="40" t="s">
        <v>144</v>
      </c>
      <c r="AA140" s="40" t="s">
        <v>145</v>
      </c>
      <c r="AB140" s="40" t="s">
        <v>146</v>
      </c>
      <c r="AC140" s="40" t="s">
        <v>147</v>
      </c>
      <c r="AD140" s="40" t="s">
        <v>148</v>
      </c>
      <c r="AE140" s="40" t="s">
        <v>149</v>
      </c>
      <c r="AF140" s="40" t="s">
        <v>150</v>
      </c>
    </row>
    <row r="141" spans="2:32" hidden="1" x14ac:dyDescent="0.25">
      <c r="B141" s="2">
        <v>54</v>
      </c>
      <c r="C141" s="2">
        <f t="shared" si="10"/>
        <v>257.75199999999995</v>
      </c>
      <c r="D141" s="2">
        <f t="shared" si="11"/>
        <v>88.739722307289952</v>
      </c>
      <c r="E141" s="2">
        <f t="shared" si="12"/>
        <v>-334.31200000000007</v>
      </c>
      <c r="F141" s="2">
        <f t="shared" si="13"/>
        <v>109.8994124915193</v>
      </c>
      <c r="G141" s="2">
        <f t="shared" si="14"/>
        <v>155.672</v>
      </c>
      <c r="H141" s="2">
        <f t="shared" si="15"/>
        <v>-4.2781138591709009</v>
      </c>
      <c r="U141" s="2">
        <f>DAYS360($V$78,V141,FALSE)</f>
        <v>90</v>
      </c>
      <c r="V141" s="9">
        <v>45748</v>
      </c>
      <c r="W141" s="177">
        <f t="shared" ref="W141:AF152" si="22">MIN(1,($U$57+$U141*$U$58+($U141^2*$U$59))/$Y$62*(($X$72+W$140*$X$73+(W$140^2*$X$74))/100))</f>
        <v>0.56715430469424088</v>
      </c>
      <c r="X141" s="177">
        <f t="shared" ref="X141:AF149" si="23">MIN(1,($U$57+$U141*$U$58+($U141^2*$U$59))/$Y$62*(($X$72+X$140*$X$73+(X$140^2*$X$74))/100))</f>
        <v>0.67170358927547436</v>
      </c>
      <c r="Y141" s="177">
        <f t="shared" si="23"/>
        <v>0.76207695392998942</v>
      </c>
      <c r="Z141" s="177">
        <f t="shared" si="23"/>
        <v>0.83827439865778552</v>
      </c>
      <c r="AA141" s="177">
        <f t="shared" si="23"/>
        <v>0.90029592345886311</v>
      </c>
      <c r="AB141" s="177">
        <f t="shared" si="23"/>
        <v>0.94814152833322207</v>
      </c>
      <c r="AC141" s="177">
        <f t="shared" si="23"/>
        <v>0.98181121328086229</v>
      </c>
      <c r="AD141" s="177">
        <f t="shared" si="23"/>
        <v>1</v>
      </c>
      <c r="AE141" s="177">
        <f t="shared" si="23"/>
        <v>1</v>
      </c>
      <c r="AF141" s="177">
        <f t="shared" si="23"/>
        <v>0.99776474856347142</v>
      </c>
    </row>
    <row r="142" spans="2:32" hidden="1" x14ac:dyDescent="0.25">
      <c r="B142" s="2">
        <v>55</v>
      </c>
      <c r="C142" s="2">
        <f t="shared" si="10"/>
        <v>256.79499999999996</v>
      </c>
      <c r="D142" s="2">
        <f t="shared" si="11"/>
        <v>88.603152427266039</v>
      </c>
      <c r="E142" s="2">
        <f t="shared" si="12"/>
        <v>-315.0125000000001</v>
      </c>
      <c r="F142" s="2">
        <f t="shared" si="13"/>
        <v>109.49706057179456</v>
      </c>
      <c r="G142" s="2">
        <f t="shared" si="14"/>
        <v>155.51249999999999</v>
      </c>
      <c r="H142" s="2">
        <f t="shared" si="15"/>
        <v>-3.1483136546457988</v>
      </c>
      <c r="U142" s="2">
        <f t="shared" ref="U142:U152" si="24">DAYS360($V$78,V142,FALSE)</f>
        <v>97</v>
      </c>
      <c r="V142" s="9">
        <v>45755</v>
      </c>
      <c r="W142" s="177">
        <f t="shared" si="22"/>
        <v>0.5629308151911987</v>
      </c>
      <c r="X142" s="177">
        <f t="shared" si="23"/>
        <v>0.66670154127023151</v>
      </c>
      <c r="Y142" s="177">
        <f t="shared" si="23"/>
        <v>0.75640191278370217</v>
      </c>
      <c r="Z142" s="177">
        <f t="shared" si="23"/>
        <v>0.83203192973161055</v>
      </c>
      <c r="AA142" s="177">
        <f t="shared" si="23"/>
        <v>0.89359159211395667</v>
      </c>
      <c r="AB142" s="177">
        <f t="shared" si="23"/>
        <v>0.94108089993074051</v>
      </c>
      <c r="AC142" s="177">
        <f t="shared" si="23"/>
        <v>0.97449985318196231</v>
      </c>
      <c r="AD142" s="177">
        <f t="shared" si="23"/>
        <v>0.99384845186762183</v>
      </c>
      <c r="AE142" s="177">
        <f t="shared" si="23"/>
        <v>0.99912669598771908</v>
      </c>
      <c r="AF142" s="177">
        <f t="shared" si="23"/>
        <v>0.99033458554225406</v>
      </c>
    </row>
    <row r="143" spans="2:32" hidden="1" x14ac:dyDescent="0.25">
      <c r="B143" s="2">
        <v>56</v>
      </c>
      <c r="C143" s="2">
        <f t="shared" si="10"/>
        <v>255.83799999999997</v>
      </c>
      <c r="D143" s="2">
        <f t="shared" si="11"/>
        <v>88.465920547242149</v>
      </c>
      <c r="E143" s="2">
        <f t="shared" si="12"/>
        <v>-296.03200000000015</v>
      </c>
      <c r="F143" s="2">
        <f t="shared" si="13"/>
        <v>109.09509265206984</v>
      </c>
      <c r="G143" s="2">
        <f t="shared" si="14"/>
        <v>155.35300000000001</v>
      </c>
      <c r="H143" s="2">
        <f t="shared" si="15"/>
        <v>-2.0278334501206974</v>
      </c>
      <c r="U143" s="2">
        <f t="shared" si="24"/>
        <v>104</v>
      </c>
      <c r="V143" s="9">
        <v>45762</v>
      </c>
      <c r="W143" s="177">
        <f t="shared" si="22"/>
        <v>0.55870732568815651</v>
      </c>
      <c r="X143" s="177">
        <f t="shared" si="23"/>
        <v>0.66169949326498856</v>
      </c>
      <c r="Y143" s="177">
        <f t="shared" si="23"/>
        <v>0.75072687163741503</v>
      </c>
      <c r="Z143" s="177">
        <f t="shared" si="23"/>
        <v>0.82578946080543547</v>
      </c>
      <c r="AA143" s="177">
        <f t="shared" si="23"/>
        <v>0.88688726076905022</v>
      </c>
      <c r="AB143" s="177">
        <f t="shared" si="23"/>
        <v>0.93402027152825906</v>
      </c>
      <c r="AC143" s="177">
        <f t="shared" si="23"/>
        <v>0.96718849308306221</v>
      </c>
      <c r="AD143" s="177">
        <f t="shared" si="23"/>
        <v>0.98639192543345955</v>
      </c>
      <c r="AE143" s="177">
        <f t="shared" si="23"/>
        <v>0.99163056857945109</v>
      </c>
      <c r="AF143" s="177">
        <f t="shared" si="23"/>
        <v>0.98290442252103671</v>
      </c>
    </row>
    <row r="144" spans="2:32" hidden="1" x14ac:dyDescent="0.25">
      <c r="B144" s="2">
        <v>57</v>
      </c>
      <c r="C144" s="2">
        <f t="shared" si="10"/>
        <v>254.88099999999994</v>
      </c>
      <c r="D144" s="2">
        <f t="shared" si="11"/>
        <v>88.328026667218239</v>
      </c>
      <c r="E144" s="2">
        <f t="shared" si="12"/>
        <v>-277.37050000000022</v>
      </c>
      <c r="F144" s="2">
        <f t="shared" si="13"/>
        <v>108.69350873234509</v>
      </c>
      <c r="G144" s="2">
        <f t="shared" si="14"/>
        <v>155.1935</v>
      </c>
      <c r="H144" s="2">
        <f t="shared" si="15"/>
        <v>-0.91667324559559482</v>
      </c>
      <c r="U144" s="2">
        <f t="shared" si="24"/>
        <v>111</v>
      </c>
      <c r="V144" s="9">
        <v>45769</v>
      </c>
      <c r="W144" s="177">
        <f t="shared" si="22"/>
        <v>0.55448383618511421</v>
      </c>
      <c r="X144" s="177">
        <f t="shared" si="23"/>
        <v>0.65669744525974572</v>
      </c>
      <c r="Y144" s="177">
        <f t="shared" si="23"/>
        <v>0.74505183049112789</v>
      </c>
      <c r="Z144" s="177">
        <f t="shared" si="23"/>
        <v>0.8195469918792605</v>
      </c>
      <c r="AA144" s="177">
        <f t="shared" si="23"/>
        <v>0.88018292942414378</v>
      </c>
      <c r="AB144" s="177">
        <f t="shared" si="23"/>
        <v>0.92695964312577761</v>
      </c>
      <c r="AC144" s="177">
        <f t="shared" si="23"/>
        <v>0.95987713298416211</v>
      </c>
      <c r="AD144" s="177">
        <f t="shared" si="23"/>
        <v>0.97893539899929727</v>
      </c>
      <c r="AE144" s="177">
        <f t="shared" si="23"/>
        <v>0.98413444117118309</v>
      </c>
      <c r="AF144" s="177">
        <f t="shared" si="23"/>
        <v>0.97547425949981936</v>
      </c>
    </row>
    <row r="145" spans="2:32" hidden="1" x14ac:dyDescent="0.25">
      <c r="B145" s="2">
        <v>58</v>
      </c>
      <c r="C145" s="2">
        <f t="shared" si="10"/>
        <v>253.92399999999995</v>
      </c>
      <c r="D145" s="2">
        <f t="shared" si="11"/>
        <v>88.189470787194324</v>
      </c>
      <c r="E145" s="2">
        <f t="shared" si="12"/>
        <v>-259.02800000000025</v>
      </c>
      <c r="F145" s="2">
        <f t="shared" si="13"/>
        <v>108.29230881262036</v>
      </c>
      <c r="G145" s="2">
        <f t="shared" si="14"/>
        <v>155.03399999999999</v>
      </c>
      <c r="H145" s="2">
        <f t="shared" si="15"/>
        <v>0.18516695892950708</v>
      </c>
      <c r="U145" s="2">
        <f t="shared" si="24"/>
        <v>118</v>
      </c>
      <c r="V145" s="9">
        <v>45776</v>
      </c>
      <c r="W145" s="177">
        <f t="shared" si="22"/>
        <v>0.55026034668207202</v>
      </c>
      <c r="X145" s="177">
        <f t="shared" si="23"/>
        <v>0.65169539725450276</v>
      </c>
      <c r="Y145" s="177">
        <f t="shared" si="23"/>
        <v>0.73937678934484075</v>
      </c>
      <c r="Z145" s="177">
        <f t="shared" si="23"/>
        <v>0.81330452295308553</v>
      </c>
      <c r="AA145" s="177">
        <f t="shared" si="23"/>
        <v>0.87347859807923733</v>
      </c>
      <c r="AB145" s="177">
        <f t="shared" si="23"/>
        <v>0.91989901472329616</v>
      </c>
      <c r="AC145" s="177">
        <f t="shared" si="23"/>
        <v>0.95256577288526212</v>
      </c>
      <c r="AD145" s="177">
        <f t="shared" si="23"/>
        <v>0.9714788725651351</v>
      </c>
      <c r="AE145" s="177">
        <f t="shared" si="23"/>
        <v>0.9766383137629151</v>
      </c>
      <c r="AF145" s="177">
        <f t="shared" si="23"/>
        <v>0.96804409647860201</v>
      </c>
    </row>
    <row r="146" spans="2:32" hidden="1" x14ac:dyDescent="0.25">
      <c r="B146" s="2">
        <v>59</v>
      </c>
      <c r="C146" s="2">
        <f t="shared" si="10"/>
        <v>252.96699999999996</v>
      </c>
      <c r="D146" s="2">
        <f t="shared" si="11"/>
        <v>88.050252907170417</v>
      </c>
      <c r="E146" s="2">
        <f t="shared" si="12"/>
        <v>-241.00450000000035</v>
      </c>
      <c r="F146" s="2">
        <f t="shared" si="13"/>
        <v>107.89149289289563</v>
      </c>
      <c r="G146" s="2">
        <f t="shared" si="14"/>
        <v>154.87449999999998</v>
      </c>
      <c r="H146" s="2">
        <f t="shared" si="15"/>
        <v>1.2776871634546083</v>
      </c>
      <c r="U146" s="2">
        <f t="shared" si="24"/>
        <v>125</v>
      </c>
      <c r="V146" s="9">
        <v>45783</v>
      </c>
      <c r="W146" s="177">
        <f t="shared" si="22"/>
        <v>0.54603685717902972</v>
      </c>
      <c r="X146" s="177">
        <f t="shared" si="23"/>
        <v>0.64669334924925981</v>
      </c>
      <c r="Y146" s="177">
        <f t="shared" si="23"/>
        <v>0.73370174819855349</v>
      </c>
      <c r="Z146" s="177">
        <f t="shared" si="23"/>
        <v>0.80706205402691045</v>
      </c>
      <c r="AA146" s="177">
        <f t="shared" si="23"/>
        <v>0.86677426673433089</v>
      </c>
      <c r="AB146" s="177">
        <f t="shared" si="23"/>
        <v>0.91283838632081471</v>
      </c>
      <c r="AC146" s="177">
        <f t="shared" si="23"/>
        <v>0.94525441278636202</v>
      </c>
      <c r="AD146" s="177">
        <f t="shared" si="23"/>
        <v>0.96402234613097282</v>
      </c>
      <c r="AE146" s="177">
        <f t="shared" si="23"/>
        <v>0.96914218635464711</v>
      </c>
      <c r="AF146" s="177">
        <f t="shared" si="23"/>
        <v>0.96061393345738466</v>
      </c>
    </row>
    <row r="147" spans="2:32" hidden="1" x14ac:dyDescent="0.25">
      <c r="B147" s="2">
        <v>60</v>
      </c>
      <c r="C147" s="2">
        <f t="shared" si="10"/>
        <v>252.00999999999996</v>
      </c>
      <c r="D147" s="2">
        <f t="shared" si="11"/>
        <v>87.910373027146505</v>
      </c>
      <c r="E147" s="2">
        <f t="shared" si="12"/>
        <v>-223.29999999999995</v>
      </c>
      <c r="F147" s="2">
        <f t="shared" si="13"/>
        <v>107.49106097317089</v>
      </c>
      <c r="G147" s="2">
        <f t="shared" si="14"/>
        <v>154.715</v>
      </c>
      <c r="H147" s="2">
        <f t="shared" si="15"/>
        <v>2.3608873679796964</v>
      </c>
      <c r="U147" s="2">
        <f t="shared" si="24"/>
        <v>132</v>
      </c>
      <c r="V147" s="9">
        <v>45790</v>
      </c>
      <c r="W147" s="177">
        <f t="shared" si="22"/>
        <v>0.54181336767598764</v>
      </c>
      <c r="X147" s="177">
        <f t="shared" si="23"/>
        <v>0.64169130124401697</v>
      </c>
      <c r="Y147" s="177">
        <f t="shared" si="23"/>
        <v>0.72802670705226646</v>
      </c>
      <c r="Z147" s="177">
        <f t="shared" si="23"/>
        <v>0.80081958510073559</v>
      </c>
      <c r="AA147" s="177">
        <f t="shared" si="23"/>
        <v>0.86006993538942456</v>
      </c>
      <c r="AB147" s="177">
        <f t="shared" si="23"/>
        <v>0.90577775791833337</v>
      </c>
      <c r="AC147" s="177">
        <f t="shared" si="23"/>
        <v>0.93794305268746203</v>
      </c>
      <c r="AD147" s="177">
        <f t="shared" si="23"/>
        <v>0.95656581969681065</v>
      </c>
      <c r="AE147" s="177">
        <f t="shared" si="23"/>
        <v>0.96164605894637922</v>
      </c>
      <c r="AF147" s="177">
        <f t="shared" si="23"/>
        <v>0.95318377043616742</v>
      </c>
    </row>
    <row r="148" spans="2:32" hidden="1" x14ac:dyDescent="0.25">
      <c r="B148" s="2">
        <v>61</v>
      </c>
      <c r="C148" s="2">
        <f t="shared" si="10"/>
        <v>251.05299999999994</v>
      </c>
      <c r="D148" s="2">
        <f t="shared" si="11"/>
        <v>87.769831147122588</v>
      </c>
      <c r="E148" s="2">
        <f t="shared" si="12"/>
        <v>-205.91449999999998</v>
      </c>
      <c r="F148" s="2">
        <f t="shared" si="13"/>
        <v>107.09101305344616</v>
      </c>
      <c r="G148" s="2">
        <f t="shared" si="14"/>
        <v>154.55549999999999</v>
      </c>
      <c r="H148" s="2">
        <f t="shared" si="15"/>
        <v>3.4347675725047964</v>
      </c>
      <c r="U148" s="2">
        <f t="shared" si="24"/>
        <v>139</v>
      </c>
      <c r="V148" s="9">
        <v>45797</v>
      </c>
      <c r="W148" s="177">
        <f t="shared" si="22"/>
        <v>0.53758987817294535</v>
      </c>
      <c r="X148" s="177">
        <f t="shared" si="23"/>
        <v>0.63668925323877412</v>
      </c>
      <c r="Y148" s="177">
        <f t="shared" si="23"/>
        <v>0.72235166590597921</v>
      </c>
      <c r="Z148" s="177">
        <f t="shared" si="23"/>
        <v>0.7945771161745605</v>
      </c>
      <c r="AA148" s="177">
        <f t="shared" si="23"/>
        <v>0.85336560404451811</v>
      </c>
      <c r="AB148" s="177">
        <f t="shared" si="23"/>
        <v>0.89871712951585192</v>
      </c>
      <c r="AC148" s="177">
        <f t="shared" si="23"/>
        <v>0.93063169258856204</v>
      </c>
      <c r="AD148" s="177">
        <f t="shared" si="23"/>
        <v>0.94910929326264848</v>
      </c>
      <c r="AE148" s="177">
        <f t="shared" si="23"/>
        <v>0.95414993153811112</v>
      </c>
      <c r="AF148" s="177">
        <f t="shared" si="23"/>
        <v>0.94575360741495007</v>
      </c>
    </row>
    <row r="149" spans="2:32" hidden="1" x14ac:dyDescent="0.25">
      <c r="B149" s="2">
        <v>62</v>
      </c>
      <c r="C149" s="2">
        <f t="shared" si="10"/>
        <v>250.09599999999995</v>
      </c>
      <c r="D149" s="2">
        <f t="shared" si="11"/>
        <v>87.628627267098679</v>
      </c>
      <c r="E149" s="2">
        <f t="shared" si="12"/>
        <v>-188.84800000000007</v>
      </c>
      <c r="F149" s="2">
        <f t="shared" si="13"/>
        <v>106.69134913372143</v>
      </c>
      <c r="G149" s="2">
        <f t="shared" si="14"/>
        <v>154.39599999999999</v>
      </c>
      <c r="H149" s="2">
        <f t="shared" si="15"/>
        <v>4.4993277770299009</v>
      </c>
      <c r="U149" s="2">
        <f t="shared" si="24"/>
        <v>146</v>
      </c>
      <c r="V149" s="9">
        <v>45804</v>
      </c>
      <c r="W149" s="177">
        <f t="shared" si="22"/>
        <v>0.53336638866990316</v>
      </c>
      <c r="X149" s="177">
        <f t="shared" si="23"/>
        <v>0.63168720523353117</v>
      </c>
      <c r="Y149" s="177">
        <f t="shared" si="23"/>
        <v>0.71667662475969207</v>
      </c>
      <c r="Z149" s="177">
        <f t="shared" si="23"/>
        <v>0.78833464724838553</v>
      </c>
      <c r="AA149" s="177">
        <f t="shared" si="23"/>
        <v>0.84666127269961167</v>
      </c>
      <c r="AB149" s="177">
        <f t="shared" si="23"/>
        <v>0.89165650111337047</v>
      </c>
      <c r="AC149" s="177">
        <f t="shared" si="23"/>
        <v>0.92332033248966194</v>
      </c>
      <c r="AD149" s="177">
        <f t="shared" si="23"/>
        <v>0.9416527668284862</v>
      </c>
      <c r="AE149" s="177">
        <f t="shared" si="23"/>
        <v>0.94665380412984312</v>
      </c>
      <c r="AF149" s="177">
        <f t="shared" si="23"/>
        <v>0.93832344439373261</v>
      </c>
    </row>
    <row r="150" spans="2:32" hidden="1" x14ac:dyDescent="0.25">
      <c r="B150" s="2">
        <v>63</v>
      </c>
      <c r="C150" s="2">
        <f t="shared" si="10"/>
        <v>249.13899999999995</v>
      </c>
      <c r="D150" s="2">
        <f t="shared" si="11"/>
        <v>87.486761387074779</v>
      </c>
      <c r="E150" s="2">
        <f t="shared" si="12"/>
        <v>-172.10050000000012</v>
      </c>
      <c r="F150" s="2">
        <f t="shared" si="13"/>
        <v>106.29206921399668</v>
      </c>
      <c r="G150" s="2">
        <f t="shared" si="14"/>
        <v>154.23650000000001</v>
      </c>
      <c r="H150" s="2">
        <f t="shared" si="15"/>
        <v>5.5545679815549995</v>
      </c>
      <c r="U150" s="2">
        <f t="shared" si="24"/>
        <v>152</v>
      </c>
      <c r="V150" s="9">
        <v>45811</v>
      </c>
      <c r="W150" s="177">
        <f t="shared" si="22"/>
        <v>0.52974625481015269</v>
      </c>
      <c r="X150" s="177">
        <f t="shared" ref="X150:X151" si="25">MIN(1,($U$57+$U150*$U$58+($U150^2*$U$59))/$Y$62*(($X$72+X$140*$X$73+(X$140^2*$X$74))/100))</f>
        <v>0.62739973551475159</v>
      </c>
      <c r="Y150" s="177">
        <f t="shared" ref="Y150:Y151" si="26">MIN(1,($U$57+$U150*$U$58+($U150^2*$U$59))/$Y$62*(($X$72+Y$140*$X$73+(Y$140^2*$X$74))/100))</f>
        <v>0.71181230377716032</v>
      </c>
      <c r="Z150" s="177">
        <f t="shared" ref="Z150:Z151" si="27">MIN(1,($U$57+$U150*$U$58+($U150^2*$U$59))/$Y$62*(($X$72+Z$140*$X$73+(Z$140^2*$X$74))/100))</f>
        <v>0.78298395959737843</v>
      </c>
      <c r="AA150" s="177">
        <f t="shared" ref="AA150:AA151" si="28">MIN(1,($U$57+$U150*$U$58+($U150^2*$U$59))/$Y$62*(($X$72+AA$140*$X$73+(AA$140^2*$X$74))/100))</f>
        <v>0.84091470297540616</v>
      </c>
      <c r="AB150" s="177">
        <f t="shared" ref="AB150:AB151" si="29">MIN(1,($U$57+$U150*$U$58+($U150^2*$U$59))/$Y$62*(($X$72+AB$140*$X$73+(AB$140^2*$X$74))/100))</f>
        <v>0.8856045339112435</v>
      </c>
      <c r="AC150" s="177">
        <f t="shared" ref="AC150:AC151" si="30">MIN(1,($U$57+$U150*$U$58+($U150^2*$U$59))/$Y$62*(($X$72+AC$140*$X$73+(AC$140^2*$X$74))/100))</f>
        <v>0.91705345240489056</v>
      </c>
      <c r="AD150" s="177">
        <f t="shared" ref="AD150:AD151" si="31">MIN(1,($U$57+$U150*$U$58+($U150^2*$U$59))/$Y$62*(($X$72+AD$140*$X$73+(AD$140^2*$X$74))/100))</f>
        <v>0.93526145845634712</v>
      </c>
      <c r="AE150" s="177">
        <f t="shared" ref="AE150:AE151" si="32">MIN(1,($U$57+$U150*$U$58+($U150^2*$U$59))/$Y$62*(($X$72+AE$140*$X$73+(AE$140^2*$X$74))/100))</f>
        <v>0.94022855206561351</v>
      </c>
      <c r="AF150" s="177">
        <f t="shared" ref="AF150:AF151" si="33">MIN(1,($U$57+$U150*$U$58+($U150^2*$U$59))/$Y$62*(($X$72+AF$140*$X$73+(AF$140^2*$X$74))/100))</f>
        <v>0.93195473323268929</v>
      </c>
    </row>
    <row r="151" spans="2:32" hidden="1" x14ac:dyDescent="0.25">
      <c r="B151" s="2">
        <v>64</v>
      </c>
      <c r="C151" s="2">
        <f t="shared" si="10"/>
        <v>248.18199999999996</v>
      </c>
      <c r="D151" s="2">
        <f t="shared" si="11"/>
        <v>87.344233507050859</v>
      </c>
      <c r="E151" s="2">
        <f t="shared" si="12"/>
        <v>-155.67200000000014</v>
      </c>
      <c r="F151" s="2">
        <f t="shared" si="13"/>
        <v>105.89317329427196</v>
      </c>
      <c r="G151" s="2">
        <f t="shared" si="14"/>
        <v>154.077</v>
      </c>
      <c r="H151" s="2">
        <f t="shared" si="15"/>
        <v>6.6004881860801028</v>
      </c>
      <c r="U151" s="2">
        <f t="shared" si="24"/>
        <v>159</v>
      </c>
      <c r="V151" s="9">
        <v>45818</v>
      </c>
      <c r="W151" s="177">
        <f t="shared" si="22"/>
        <v>0.5255227653071104</v>
      </c>
      <c r="X151" s="177">
        <f t="shared" si="25"/>
        <v>0.62239768750950863</v>
      </c>
      <c r="Y151" s="177">
        <f t="shared" si="26"/>
        <v>0.70613726263087306</v>
      </c>
      <c r="Z151" s="177">
        <f t="shared" si="27"/>
        <v>0.77674149067120335</v>
      </c>
      <c r="AA151" s="177">
        <f t="shared" si="28"/>
        <v>0.83421037163049971</v>
      </c>
      <c r="AB151" s="177">
        <f t="shared" si="29"/>
        <v>0.87854390550876205</v>
      </c>
      <c r="AC151" s="177">
        <f t="shared" si="30"/>
        <v>0.90974209230599046</v>
      </c>
      <c r="AD151" s="177">
        <f t="shared" si="31"/>
        <v>0.92780493202218495</v>
      </c>
      <c r="AE151" s="177">
        <f t="shared" si="32"/>
        <v>0.93273242465734552</v>
      </c>
      <c r="AF151" s="177">
        <f t="shared" si="33"/>
        <v>0.92452457021147194</v>
      </c>
    </row>
    <row r="152" spans="2:32" hidden="1" x14ac:dyDescent="0.25">
      <c r="B152" s="2">
        <v>65</v>
      </c>
      <c r="C152" s="2">
        <f t="shared" si="10"/>
        <v>247.22499999999997</v>
      </c>
      <c r="D152" s="2">
        <f t="shared" si="11"/>
        <v>87.201043627026948</v>
      </c>
      <c r="E152" s="2">
        <f t="shared" si="12"/>
        <v>-139.56250000000023</v>
      </c>
      <c r="F152" s="2">
        <f t="shared" si="13"/>
        <v>105.49466137454722</v>
      </c>
      <c r="G152" s="2">
        <f t="shared" si="14"/>
        <v>153.91749999999999</v>
      </c>
      <c r="H152" s="2">
        <f t="shared" si="15"/>
        <v>7.6370883906052036</v>
      </c>
      <c r="U152" s="2">
        <f t="shared" si="24"/>
        <v>166</v>
      </c>
      <c r="V152" s="9">
        <v>45825</v>
      </c>
      <c r="W152" s="177">
        <f t="shared" si="22"/>
        <v>0.52129927580406821</v>
      </c>
      <c r="X152" s="177">
        <f t="shared" si="22"/>
        <v>0.61739563950426579</v>
      </c>
      <c r="Y152" s="177">
        <f t="shared" si="22"/>
        <v>0.70046222148458592</v>
      </c>
      <c r="Z152" s="177">
        <f t="shared" si="22"/>
        <v>0.77049902174502838</v>
      </c>
      <c r="AA152" s="177">
        <f t="shared" si="22"/>
        <v>0.82750604028559327</v>
      </c>
      <c r="AB152" s="177">
        <f t="shared" si="22"/>
        <v>0.8714832771062806</v>
      </c>
      <c r="AC152" s="177">
        <f t="shared" si="22"/>
        <v>0.90243073220709036</v>
      </c>
      <c r="AD152" s="177">
        <f t="shared" si="22"/>
        <v>0.92034840558802267</v>
      </c>
      <c r="AE152" s="177">
        <f t="shared" si="22"/>
        <v>0.92523629724907741</v>
      </c>
      <c r="AF152" s="177">
        <f t="shared" si="22"/>
        <v>0.91709440719025448</v>
      </c>
    </row>
    <row r="153" spans="2:32" hidden="1" x14ac:dyDescent="0.25">
      <c r="B153" s="2">
        <v>66</v>
      </c>
      <c r="C153" s="2">
        <f t="shared" ref="C153:C216" si="34">Q$57+$B153*Q$58+Q$59*$B153^2</f>
        <v>246.26799999999994</v>
      </c>
      <c r="D153" s="2">
        <f t="shared" ref="D153:D216" si="35">R$57+$B153*R$58+R$59*$B153^2</f>
        <v>87.057191747003046</v>
      </c>
      <c r="E153" s="2">
        <f t="shared" ref="E153:E216" si="36">S$57+$B153*S$58+S$59*$B153^2</f>
        <v>-123.77200000000028</v>
      </c>
      <c r="F153" s="2">
        <f t="shared" ref="F153:F216" si="37">T$57+$B153*T$58+T$59*$B153^2</f>
        <v>105.09653345482249</v>
      </c>
      <c r="G153" s="2">
        <f t="shared" ref="G153:G216" si="38">U$57+$B153*U$58+U$59*$B153^2</f>
        <v>153.75799999999998</v>
      </c>
      <c r="H153" s="2">
        <f t="shared" ref="H153:H216" si="39">V$57+$B153*V$58+V$59*$B153^2</f>
        <v>8.6643685951303056</v>
      </c>
      <c r="W153" s="18"/>
    </row>
    <row r="154" spans="2:32" ht="15.75" hidden="1" x14ac:dyDescent="0.25">
      <c r="B154" s="2">
        <v>67</v>
      </c>
      <c r="C154" s="2">
        <f t="shared" si="34"/>
        <v>245.31099999999995</v>
      </c>
      <c r="D154" s="2">
        <f t="shared" si="35"/>
        <v>86.912677866979124</v>
      </c>
      <c r="E154" s="2">
        <f t="shared" si="36"/>
        <v>-108.30050000000028</v>
      </c>
      <c r="F154" s="2">
        <f t="shared" si="37"/>
        <v>104.69878953509775</v>
      </c>
      <c r="G154" s="2">
        <f t="shared" si="38"/>
        <v>153.5985</v>
      </c>
      <c r="H154" s="2">
        <f t="shared" si="39"/>
        <v>9.6823287996554086</v>
      </c>
      <c r="V154" s="178" t="s">
        <v>165</v>
      </c>
      <c r="W154" s="179"/>
      <c r="X154" s="179"/>
      <c r="Y154" s="179"/>
      <c r="Z154" s="179"/>
      <c r="AA154" s="179"/>
      <c r="AB154" s="179"/>
      <c r="AC154" s="180"/>
      <c r="AD154" s="181"/>
      <c r="AE154" s="182"/>
      <c r="AF154" s="181"/>
    </row>
    <row r="155" spans="2:32" hidden="1" x14ac:dyDescent="0.25">
      <c r="B155" s="2">
        <v>68</v>
      </c>
      <c r="C155" s="2">
        <f t="shared" si="34"/>
        <v>244.35399999999996</v>
      </c>
      <c r="D155" s="2">
        <f t="shared" si="35"/>
        <v>86.76750198695521</v>
      </c>
      <c r="E155" s="2">
        <f t="shared" si="36"/>
        <v>-93.148000000000366</v>
      </c>
      <c r="F155" s="2">
        <f t="shared" si="37"/>
        <v>104.30142961537302</v>
      </c>
      <c r="G155" s="2">
        <f t="shared" si="38"/>
        <v>153.43899999999999</v>
      </c>
      <c r="H155" s="2">
        <f t="shared" si="39"/>
        <v>10.690969004180509</v>
      </c>
      <c r="V155" s="40" t="s">
        <v>151</v>
      </c>
      <c r="W155" s="40" t="s">
        <v>152</v>
      </c>
      <c r="X155" s="40" t="s">
        <v>153</v>
      </c>
      <c r="Y155" s="40" t="s">
        <v>154</v>
      </c>
      <c r="Z155" s="40" t="s">
        <v>155</v>
      </c>
      <c r="AA155" s="40" t="s">
        <v>156</v>
      </c>
      <c r="AB155" s="40" t="s">
        <v>157</v>
      </c>
      <c r="AC155" s="40" t="s">
        <v>158</v>
      </c>
      <c r="AD155" s="40" t="s">
        <v>159</v>
      </c>
      <c r="AE155" s="40" t="s">
        <v>160</v>
      </c>
      <c r="AF155" s="40" t="s">
        <v>161</v>
      </c>
    </row>
    <row r="156" spans="2:32" hidden="1" x14ac:dyDescent="0.25">
      <c r="B156" s="2">
        <v>69</v>
      </c>
      <c r="C156" s="2">
        <f t="shared" si="34"/>
        <v>243.39699999999993</v>
      </c>
      <c r="D156" s="2">
        <f t="shared" si="35"/>
        <v>86.621664106931306</v>
      </c>
      <c r="E156" s="2">
        <f t="shared" si="36"/>
        <v>-78.314499999999953</v>
      </c>
      <c r="F156" s="2">
        <f t="shared" si="37"/>
        <v>103.90445369564829</v>
      </c>
      <c r="G156" s="2">
        <f t="shared" si="38"/>
        <v>153.27949999999998</v>
      </c>
      <c r="H156" s="2">
        <f t="shared" si="39"/>
        <v>11.690289208705597</v>
      </c>
      <c r="U156" s="2">
        <f t="shared" ref="U156:U169" si="40">DAYS360($V$78,V156,FALSE)</f>
        <v>104</v>
      </c>
      <c r="V156" s="9">
        <v>45762</v>
      </c>
      <c r="W156" s="177">
        <f t="shared" ref="W156:AF169" si="41">MIN(1,($V$57+$U156*$V$58+($U156^2*$V$59))/$Z$62*($Z$72+W$155*$Z$73+W$155^2*$Z$74+W$155^3*$Z$75))</f>
        <v>0.28936876100791076</v>
      </c>
      <c r="X156" s="177">
        <f t="shared" si="41"/>
        <v>0.42131044539897494</v>
      </c>
      <c r="Y156" s="177">
        <f t="shared" si="41"/>
        <v>0.51103137902245743</v>
      </c>
      <c r="Z156" s="177">
        <f t="shared" si="41"/>
        <v>0.56736615471138618</v>
      </c>
      <c r="AA156" s="177">
        <f t="shared" si="41"/>
        <v>0.59914936529878993</v>
      </c>
      <c r="AB156" s="177">
        <f t="shared" si="41"/>
        <v>0.61521560361769745</v>
      </c>
      <c r="AC156" s="177">
        <f t="shared" si="41"/>
        <v>0.62439946250113698</v>
      </c>
      <c r="AD156" s="177">
        <f t="shared" si="41"/>
        <v>0.63553553478213687</v>
      </c>
      <c r="AE156" s="177">
        <f t="shared" si="41"/>
        <v>0.65745841329372634</v>
      </c>
      <c r="AF156" s="177">
        <f t="shared" si="41"/>
        <v>0.69900269086893296</v>
      </c>
    </row>
    <row r="157" spans="2:32" hidden="1" x14ac:dyDescent="0.25">
      <c r="B157" s="2">
        <v>70</v>
      </c>
      <c r="C157" s="2">
        <f t="shared" si="34"/>
        <v>242.43999999999994</v>
      </c>
      <c r="D157" s="2">
        <f t="shared" si="35"/>
        <v>86.47516422690741</v>
      </c>
      <c r="E157" s="2">
        <f t="shared" si="36"/>
        <v>-63.800000000000068</v>
      </c>
      <c r="F157" s="2">
        <f t="shared" si="37"/>
        <v>103.50786177592354</v>
      </c>
      <c r="G157" s="2">
        <f t="shared" si="38"/>
        <v>153.12</v>
      </c>
      <c r="H157" s="2">
        <f t="shared" si="39"/>
        <v>12.6802894132307</v>
      </c>
      <c r="U157" s="2">
        <f t="shared" si="40"/>
        <v>111</v>
      </c>
      <c r="V157" s="9">
        <v>45769</v>
      </c>
      <c r="W157" s="177">
        <f t="shared" si="41"/>
        <v>0.32094001525716298</v>
      </c>
      <c r="X157" s="177">
        <f t="shared" si="41"/>
        <v>0.46727704919969792</v>
      </c>
      <c r="Y157" s="177">
        <f t="shared" si="41"/>
        <v>0.56678688469717986</v>
      </c>
      <c r="Z157" s="177">
        <f t="shared" si="41"/>
        <v>0.62926800292894147</v>
      </c>
      <c r="AA157" s="177">
        <f t="shared" si="41"/>
        <v>0.66451888507431633</v>
      </c>
      <c r="AB157" s="177">
        <f t="shared" si="41"/>
        <v>0.68233801231263769</v>
      </c>
      <c r="AC157" s="177">
        <f t="shared" si="41"/>
        <v>0.69252386582323888</v>
      </c>
      <c r="AD157" s="177">
        <f t="shared" si="41"/>
        <v>0.70487492678545272</v>
      </c>
      <c r="AE157" s="177">
        <f t="shared" si="41"/>
        <v>0.72918967637861309</v>
      </c>
      <c r="AF157" s="177">
        <f t="shared" si="41"/>
        <v>0.77526659578205248</v>
      </c>
    </row>
    <row r="158" spans="2:32" hidden="1" x14ac:dyDescent="0.25">
      <c r="B158" s="2">
        <v>71</v>
      </c>
      <c r="C158" s="2">
        <f t="shared" si="34"/>
        <v>241.48299999999995</v>
      </c>
      <c r="D158" s="2">
        <f t="shared" si="35"/>
        <v>86.328002346883494</v>
      </c>
      <c r="E158" s="2">
        <f t="shared" si="36"/>
        <v>-49.60450000000003</v>
      </c>
      <c r="F158" s="2">
        <f t="shared" si="37"/>
        <v>103.11165385619881</v>
      </c>
      <c r="G158" s="2">
        <f t="shared" si="38"/>
        <v>152.9605</v>
      </c>
      <c r="H158" s="2">
        <f t="shared" si="39"/>
        <v>13.6609696177558</v>
      </c>
      <c r="U158" s="2">
        <f t="shared" si="40"/>
        <v>118</v>
      </c>
      <c r="V158" s="9">
        <v>45776</v>
      </c>
      <c r="W158" s="177">
        <f t="shared" si="41"/>
        <v>0.34927192004005131</v>
      </c>
      <c r="X158" s="177">
        <f t="shared" si="41"/>
        <v>0.50852727739123971</v>
      </c>
      <c r="Y158" s="177">
        <f t="shared" si="41"/>
        <v>0.61682163040055793</v>
      </c>
      <c r="Z158" s="177">
        <f t="shared" si="41"/>
        <v>0.68481844941226822</v>
      </c>
      <c r="AA158" s="177">
        <f t="shared" si="41"/>
        <v>0.72318120477063363</v>
      </c>
      <c r="AB158" s="177">
        <f t="shared" si="41"/>
        <v>0.74257336681991737</v>
      </c>
      <c r="AC158" s="177">
        <f t="shared" si="41"/>
        <v>0.75365840590438204</v>
      </c>
      <c r="AD158" s="177">
        <f t="shared" si="41"/>
        <v>0.7670997923682904</v>
      </c>
      <c r="AE158" s="177">
        <f t="shared" si="41"/>
        <v>0.79356099655590573</v>
      </c>
      <c r="AF158" s="177">
        <f t="shared" si="41"/>
        <v>0.84370548881149021</v>
      </c>
    </row>
    <row r="159" spans="2:32" hidden="1" x14ac:dyDescent="0.25">
      <c r="B159" s="2">
        <v>72</v>
      </c>
      <c r="C159" s="2">
        <f t="shared" si="34"/>
        <v>240.52599999999995</v>
      </c>
      <c r="D159" s="2">
        <f t="shared" si="35"/>
        <v>86.180178466859587</v>
      </c>
      <c r="E159" s="2">
        <f t="shared" si="36"/>
        <v>-35.728000000000179</v>
      </c>
      <c r="F159" s="2">
        <f t="shared" si="37"/>
        <v>102.71582993647408</v>
      </c>
      <c r="G159" s="2">
        <f t="shared" si="38"/>
        <v>152.80099999999999</v>
      </c>
      <c r="H159" s="2">
        <f t="shared" si="39"/>
        <v>14.632329822280902</v>
      </c>
      <c r="U159" s="2">
        <f t="shared" si="40"/>
        <v>125</v>
      </c>
      <c r="V159" s="9">
        <v>45783</v>
      </c>
      <c r="W159" s="177">
        <f t="shared" si="41"/>
        <v>0.3743644753565753</v>
      </c>
      <c r="X159" s="177">
        <f t="shared" si="41"/>
        <v>0.54506112997359957</v>
      </c>
      <c r="Y159" s="177">
        <f t="shared" si="41"/>
        <v>0.66113561613259064</v>
      </c>
      <c r="Z159" s="177">
        <f t="shared" si="41"/>
        <v>0.73401749416136519</v>
      </c>
      <c r="AA159" s="177">
        <f t="shared" si="41"/>
        <v>0.77513632438774094</v>
      </c>
      <c r="AB159" s="177">
        <f t="shared" si="41"/>
        <v>0.79592166713953527</v>
      </c>
      <c r="AC159" s="177">
        <f t="shared" si="41"/>
        <v>0.80780308274456558</v>
      </c>
      <c r="AD159" s="177">
        <f t="shared" si="41"/>
        <v>0.82221013153064892</v>
      </c>
      <c r="AE159" s="177">
        <f t="shared" si="41"/>
        <v>0.85057237382560325</v>
      </c>
      <c r="AF159" s="177">
        <f t="shared" si="41"/>
        <v>0.90431936995724505</v>
      </c>
    </row>
    <row r="160" spans="2:32" hidden="1" x14ac:dyDescent="0.25">
      <c r="B160" s="2">
        <v>73</v>
      </c>
      <c r="C160" s="2">
        <f t="shared" si="34"/>
        <v>239.56899999999996</v>
      </c>
      <c r="D160" s="2">
        <f t="shared" si="35"/>
        <v>86.031692586835675</v>
      </c>
      <c r="E160" s="2">
        <f t="shared" si="36"/>
        <v>-22.170500000000175</v>
      </c>
      <c r="F160" s="2">
        <f t="shared" si="37"/>
        <v>102.32039001674934</v>
      </c>
      <c r="G160" s="2">
        <f t="shared" si="38"/>
        <v>152.64150000000001</v>
      </c>
      <c r="H160" s="2">
        <f t="shared" si="39"/>
        <v>15.594370026806004</v>
      </c>
      <c r="U160" s="2">
        <f t="shared" si="40"/>
        <v>132</v>
      </c>
      <c r="V160" s="9">
        <v>45790</v>
      </c>
      <c r="W160" s="177">
        <f t="shared" si="41"/>
        <v>0.39621768120673528</v>
      </c>
      <c r="X160" s="177">
        <f t="shared" si="41"/>
        <v>0.57687860694677817</v>
      </c>
      <c r="Y160" s="177">
        <f t="shared" si="41"/>
        <v>0.69972884189327877</v>
      </c>
      <c r="Z160" s="177">
        <f t="shared" si="41"/>
        <v>0.7768651371762334</v>
      </c>
      <c r="AA160" s="177">
        <f t="shared" si="41"/>
        <v>0.82038424392563891</v>
      </c>
      <c r="AB160" s="177">
        <f t="shared" si="41"/>
        <v>0.84238291327149228</v>
      </c>
      <c r="AC160" s="177">
        <f t="shared" si="41"/>
        <v>0.85495789634379027</v>
      </c>
      <c r="AD160" s="177">
        <f t="shared" si="41"/>
        <v>0.87020594427252906</v>
      </c>
      <c r="AE160" s="177">
        <f t="shared" si="41"/>
        <v>0.90022380818770631</v>
      </c>
      <c r="AF160" s="177">
        <f t="shared" si="41"/>
        <v>0.95710823921931765</v>
      </c>
    </row>
    <row r="161" spans="2:32" hidden="1" x14ac:dyDescent="0.25">
      <c r="B161" s="2">
        <v>74</v>
      </c>
      <c r="C161" s="2">
        <f t="shared" si="34"/>
        <v>238.61199999999997</v>
      </c>
      <c r="D161" s="2">
        <f t="shared" si="35"/>
        <v>85.882544706811757</v>
      </c>
      <c r="E161" s="2">
        <f t="shared" si="36"/>
        <v>-8.9320000000002437</v>
      </c>
      <c r="F161" s="2">
        <f t="shared" si="37"/>
        <v>101.92533409702462</v>
      </c>
      <c r="G161" s="2">
        <f t="shared" si="38"/>
        <v>152.482</v>
      </c>
      <c r="H161" s="2">
        <f t="shared" si="39"/>
        <v>16.547090231331104</v>
      </c>
      <c r="U161" s="2">
        <f t="shared" si="40"/>
        <v>139</v>
      </c>
      <c r="V161" s="9">
        <v>45797</v>
      </c>
      <c r="W161" s="177">
        <f t="shared" si="41"/>
        <v>0.41483153759053115</v>
      </c>
      <c r="X161" s="177">
        <f t="shared" si="41"/>
        <v>0.60397970831077508</v>
      </c>
      <c r="Y161" s="177">
        <f t="shared" si="41"/>
        <v>0.73260130768262199</v>
      </c>
      <c r="Z161" s="177">
        <f t="shared" si="41"/>
        <v>0.81336137845687229</v>
      </c>
      <c r="AA161" s="177">
        <f t="shared" si="41"/>
        <v>0.85892496338432722</v>
      </c>
      <c r="AB161" s="177">
        <f t="shared" si="41"/>
        <v>0.88195710521578807</v>
      </c>
      <c r="AC161" s="177">
        <f t="shared" si="41"/>
        <v>0.89512284670205566</v>
      </c>
      <c r="AD161" s="177">
        <f t="shared" si="41"/>
        <v>0.9110872305939306</v>
      </c>
      <c r="AE161" s="177">
        <f t="shared" si="41"/>
        <v>0.9425152996422147</v>
      </c>
      <c r="AF161" s="177">
        <f t="shared" si="41"/>
        <v>1</v>
      </c>
    </row>
    <row r="162" spans="2:32" hidden="1" x14ac:dyDescent="0.25">
      <c r="B162" s="2">
        <v>75</v>
      </c>
      <c r="C162" s="2">
        <f t="shared" si="34"/>
        <v>237.65499999999997</v>
      </c>
      <c r="D162" s="2">
        <f t="shared" si="35"/>
        <v>85.732734826787848</v>
      </c>
      <c r="E162" s="2">
        <f t="shared" si="36"/>
        <v>3.9874999999997272</v>
      </c>
      <c r="F162" s="2">
        <f t="shared" si="37"/>
        <v>101.53066217729987</v>
      </c>
      <c r="G162" s="2">
        <f t="shared" si="38"/>
        <v>152.32249999999999</v>
      </c>
      <c r="H162" s="2">
        <f t="shared" si="39"/>
        <v>17.490490435856206</v>
      </c>
      <c r="U162" s="2">
        <f t="shared" si="40"/>
        <v>146</v>
      </c>
      <c r="V162" s="9">
        <v>45804</v>
      </c>
      <c r="W162" s="177">
        <f t="shared" si="41"/>
        <v>0.43020604450796329</v>
      </c>
      <c r="X162" s="177">
        <f t="shared" si="41"/>
        <v>0.62636443406559095</v>
      </c>
      <c r="Y162" s="177">
        <f t="shared" si="41"/>
        <v>0.75975301350062097</v>
      </c>
      <c r="Z162" s="177">
        <f t="shared" si="41"/>
        <v>0.84350621800328274</v>
      </c>
      <c r="AA162" s="177">
        <f t="shared" si="41"/>
        <v>0.89075848276380676</v>
      </c>
      <c r="AB162" s="177">
        <f t="shared" si="41"/>
        <v>0.9146442429724233</v>
      </c>
      <c r="AC162" s="177">
        <f t="shared" si="41"/>
        <v>0.92829793381936265</v>
      </c>
      <c r="AD162" s="177">
        <f t="shared" si="41"/>
        <v>0.94485399049485419</v>
      </c>
      <c r="AE162" s="177">
        <f t="shared" si="41"/>
        <v>0.97744684818912919</v>
      </c>
      <c r="AF162" s="177">
        <f t="shared" si="41"/>
        <v>1</v>
      </c>
    </row>
    <row r="163" spans="2:32" hidden="1" x14ac:dyDescent="0.25">
      <c r="B163" s="2">
        <v>76</v>
      </c>
      <c r="C163" s="2">
        <f t="shared" si="34"/>
        <v>236.69799999999995</v>
      </c>
      <c r="D163" s="2">
        <f t="shared" si="35"/>
        <v>85.582262946763933</v>
      </c>
      <c r="E163" s="2">
        <f t="shared" si="36"/>
        <v>16.587999999999624</v>
      </c>
      <c r="F163" s="2">
        <f t="shared" si="37"/>
        <v>101.13637425757514</v>
      </c>
      <c r="G163" s="2">
        <f t="shared" si="38"/>
        <v>152.16300000000001</v>
      </c>
      <c r="H163" s="2">
        <f t="shared" si="39"/>
        <v>18.424570640381294</v>
      </c>
      <c r="U163" s="2">
        <f t="shared" si="40"/>
        <v>152</v>
      </c>
      <c r="V163" s="9">
        <v>45811</v>
      </c>
      <c r="W163" s="177">
        <f t="shared" si="41"/>
        <v>0.44080593555579833</v>
      </c>
      <c r="X163" s="177">
        <f t="shared" si="41"/>
        <v>0.64179749188077762</v>
      </c>
      <c r="Y163" s="177">
        <f t="shared" si="41"/>
        <v>0.77847264626538537</v>
      </c>
      <c r="Z163" s="177">
        <f t="shared" si="41"/>
        <v>0.86428945460153261</v>
      </c>
      <c r="AA163" s="177">
        <f t="shared" si="41"/>
        <v>0.91270597278113141</v>
      </c>
      <c r="AB163" s="177">
        <f t="shared" si="41"/>
        <v>0.93718025669609339</v>
      </c>
      <c r="AC163" s="177">
        <f t="shared" si="41"/>
        <v>0.9511703622383304</v>
      </c>
      <c r="AD163" s="177">
        <f t="shared" si="41"/>
        <v>0.96813434529975351</v>
      </c>
      <c r="AE163" s="177">
        <f t="shared" si="41"/>
        <v>1</v>
      </c>
      <c r="AF163" s="177">
        <f t="shared" si="41"/>
        <v>1</v>
      </c>
    </row>
    <row r="164" spans="2:32" hidden="1" x14ac:dyDescent="0.25">
      <c r="B164" s="2">
        <v>77</v>
      </c>
      <c r="C164" s="2">
        <f t="shared" si="34"/>
        <v>235.74099999999996</v>
      </c>
      <c r="D164" s="2">
        <f t="shared" si="35"/>
        <v>85.431129066740041</v>
      </c>
      <c r="E164" s="2">
        <f t="shared" si="36"/>
        <v>28.869499999999562</v>
      </c>
      <c r="F164" s="2">
        <f t="shared" si="37"/>
        <v>100.74247033785041</v>
      </c>
      <c r="G164" s="2">
        <f t="shared" si="38"/>
        <v>152.0035</v>
      </c>
      <c r="H164" s="2">
        <f t="shared" si="39"/>
        <v>19.349330844906397</v>
      </c>
      <c r="U164" s="2">
        <f t="shared" si="40"/>
        <v>159</v>
      </c>
      <c r="V164" s="9">
        <v>45818</v>
      </c>
      <c r="W164" s="177">
        <f t="shared" si="41"/>
        <v>0.4501645077499829</v>
      </c>
      <c r="X164" s="177">
        <f t="shared" si="41"/>
        <v>0.65542323436139927</v>
      </c>
      <c r="Y164" s="177">
        <f t="shared" si="41"/>
        <v>0.7950000835651726</v>
      </c>
      <c r="Z164" s="177">
        <f t="shared" si="41"/>
        <v>0.8826388337843748</v>
      </c>
      <c r="AA164" s="177">
        <f t="shared" si="41"/>
        <v>0.93208326344207904</v>
      </c>
      <c r="AB164" s="177">
        <f t="shared" si="41"/>
        <v>0.95707715096135815</v>
      </c>
      <c r="AC164" s="177">
        <f t="shared" si="41"/>
        <v>0.97136427476528486</v>
      </c>
      <c r="AD164" s="177">
        <f t="shared" si="41"/>
        <v>0.98868841327693124</v>
      </c>
      <c r="AE164" s="177">
        <f t="shared" si="41"/>
        <v>1</v>
      </c>
      <c r="AF164" s="177">
        <f t="shared" si="41"/>
        <v>1</v>
      </c>
    </row>
    <row r="165" spans="2:32" hidden="1" x14ac:dyDescent="0.25">
      <c r="B165" s="2">
        <v>78</v>
      </c>
      <c r="C165" s="2">
        <f t="shared" si="34"/>
        <v>234.78399999999993</v>
      </c>
      <c r="D165" s="2">
        <f t="shared" si="35"/>
        <v>85.27933318671613</v>
      </c>
      <c r="E165" s="2">
        <f t="shared" si="36"/>
        <v>40.831999999999994</v>
      </c>
      <c r="F165" s="2">
        <f t="shared" si="37"/>
        <v>100.34895041812567</v>
      </c>
      <c r="G165" s="2">
        <f t="shared" si="38"/>
        <v>151.84399999999999</v>
      </c>
      <c r="H165" s="2">
        <f t="shared" si="39"/>
        <v>20.264771049431499</v>
      </c>
      <c r="U165" s="2">
        <f t="shared" si="40"/>
        <v>166</v>
      </c>
      <c r="V165" s="9">
        <v>45825</v>
      </c>
      <c r="W165" s="177">
        <f t="shared" si="41"/>
        <v>0.45628373047780302</v>
      </c>
      <c r="X165" s="177">
        <f t="shared" si="41"/>
        <v>0.66433260123283888</v>
      </c>
      <c r="Y165" s="177">
        <f t="shared" si="41"/>
        <v>0.80580676089361436</v>
      </c>
      <c r="Z165" s="177">
        <f t="shared" si="41"/>
        <v>0.89463681123298711</v>
      </c>
      <c r="AA165" s="177">
        <f t="shared" si="41"/>
        <v>0.94475335402381644</v>
      </c>
      <c r="AB165" s="177">
        <f t="shared" si="41"/>
        <v>0.9700869910389609</v>
      </c>
      <c r="AC165" s="177">
        <f t="shared" si="41"/>
        <v>0.98456832405127936</v>
      </c>
      <c r="AD165" s="177">
        <f t="shared" si="41"/>
        <v>1</v>
      </c>
      <c r="AE165" s="177">
        <f t="shared" si="41"/>
        <v>1</v>
      </c>
      <c r="AF165" s="177">
        <f t="shared" si="41"/>
        <v>1</v>
      </c>
    </row>
    <row r="166" spans="2:32" hidden="1" x14ac:dyDescent="0.25">
      <c r="B166" s="2">
        <v>79</v>
      </c>
      <c r="C166" s="2">
        <f t="shared" si="34"/>
        <v>233.82699999999994</v>
      </c>
      <c r="D166" s="2">
        <f t="shared" si="35"/>
        <v>85.126875306692213</v>
      </c>
      <c r="E166" s="2">
        <f t="shared" si="36"/>
        <v>52.475499999999897</v>
      </c>
      <c r="F166" s="2">
        <f t="shared" si="37"/>
        <v>99.95581449840094</v>
      </c>
      <c r="G166" s="2">
        <f t="shared" si="38"/>
        <v>151.68449999999999</v>
      </c>
      <c r="H166" s="2">
        <f t="shared" si="39"/>
        <v>21.170891253956601</v>
      </c>
      <c r="U166" s="2">
        <f t="shared" si="40"/>
        <v>173</v>
      </c>
      <c r="V166" s="9">
        <v>45832</v>
      </c>
      <c r="W166" s="177">
        <f t="shared" si="41"/>
        <v>0.4591636037392588</v>
      </c>
      <c r="X166" s="177">
        <f t="shared" si="41"/>
        <v>0.66852559249509669</v>
      </c>
      <c r="Y166" s="177">
        <f t="shared" si="41"/>
        <v>0.81089267825071087</v>
      </c>
      <c r="Z166" s="177">
        <f t="shared" si="41"/>
        <v>0.90028338694736987</v>
      </c>
      <c r="AA166" s="177">
        <f t="shared" si="41"/>
        <v>0.95071624452634373</v>
      </c>
      <c r="AB166" s="177">
        <f t="shared" si="41"/>
        <v>0.97620977692890198</v>
      </c>
      <c r="AC166" s="177">
        <f t="shared" si="41"/>
        <v>0.99078251009631413</v>
      </c>
      <c r="AD166" s="177">
        <f t="shared" si="41"/>
        <v>1</v>
      </c>
      <c r="AE166" s="177">
        <f t="shared" si="41"/>
        <v>1</v>
      </c>
      <c r="AF166" s="177">
        <f t="shared" si="41"/>
        <v>1</v>
      </c>
    </row>
    <row r="167" spans="2:32" hidden="1" x14ac:dyDescent="0.25">
      <c r="B167" s="2">
        <v>80</v>
      </c>
      <c r="C167" s="2">
        <f t="shared" si="34"/>
        <v>232.86999999999995</v>
      </c>
      <c r="D167" s="2">
        <f t="shared" si="35"/>
        <v>84.973755426668305</v>
      </c>
      <c r="E167" s="2">
        <f t="shared" si="36"/>
        <v>63.799999999999841</v>
      </c>
      <c r="F167" s="2">
        <f t="shared" si="37"/>
        <v>99.56306257867621</v>
      </c>
      <c r="G167" s="2">
        <f t="shared" si="38"/>
        <v>151.52500000000001</v>
      </c>
      <c r="H167" s="2">
        <f t="shared" si="39"/>
        <v>22.067691458481701</v>
      </c>
      <c r="J167" s="2" t="s">
        <v>129</v>
      </c>
      <c r="U167" s="2">
        <f t="shared" si="40"/>
        <v>180</v>
      </c>
      <c r="V167" s="9">
        <v>45839</v>
      </c>
      <c r="W167" s="177">
        <f t="shared" si="41"/>
        <v>0.45880412753435057</v>
      </c>
      <c r="X167" s="177">
        <f t="shared" si="41"/>
        <v>0.66800220814817313</v>
      </c>
      <c r="Y167" s="177">
        <f t="shared" si="41"/>
        <v>0.8102578356364627</v>
      </c>
      <c r="Z167" s="177">
        <f t="shared" si="41"/>
        <v>0.89957856092752375</v>
      </c>
      <c r="AA167" s="177">
        <f t="shared" si="41"/>
        <v>0.94997193494966181</v>
      </c>
      <c r="AB167" s="177">
        <f t="shared" si="41"/>
        <v>0.97544550863118218</v>
      </c>
      <c r="AC167" s="177">
        <f t="shared" si="41"/>
        <v>0.99000683290039004</v>
      </c>
      <c r="AD167" s="177">
        <f t="shared" si="41"/>
        <v>1</v>
      </c>
      <c r="AE167" s="177">
        <f t="shared" si="41"/>
        <v>1</v>
      </c>
      <c r="AF167" s="177">
        <f t="shared" si="41"/>
        <v>1</v>
      </c>
    </row>
    <row r="168" spans="2:32" hidden="1" x14ac:dyDescent="0.25">
      <c r="B168" s="2">
        <v>81</v>
      </c>
      <c r="C168" s="2">
        <f t="shared" si="34"/>
        <v>231.91299999999995</v>
      </c>
      <c r="D168" s="2">
        <f t="shared" si="35"/>
        <v>84.819973546644391</v>
      </c>
      <c r="E168" s="2">
        <f t="shared" si="36"/>
        <v>74.805499999999938</v>
      </c>
      <c r="F168" s="2">
        <f t="shared" si="37"/>
        <v>99.170694658951462</v>
      </c>
      <c r="G168" s="2">
        <f t="shared" si="38"/>
        <v>151.3655</v>
      </c>
      <c r="H168" s="2">
        <f t="shared" si="39"/>
        <v>22.955171663006805</v>
      </c>
      <c r="U168" s="2">
        <f t="shared" si="40"/>
        <v>187</v>
      </c>
      <c r="V168" s="9">
        <v>45846</v>
      </c>
      <c r="W168" s="177">
        <f t="shared" si="41"/>
        <v>0.45520530186307867</v>
      </c>
      <c r="X168" s="177">
        <f t="shared" si="41"/>
        <v>0.66276244819206864</v>
      </c>
      <c r="Y168" s="177">
        <f t="shared" si="41"/>
        <v>0.8039022330508705</v>
      </c>
      <c r="Z168" s="177">
        <f t="shared" si="41"/>
        <v>0.89252233317344931</v>
      </c>
      <c r="AA168" s="177">
        <f t="shared" si="41"/>
        <v>0.94252042529377122</v>
      </c>
      <c r="AB168" s="177">
        <f t="shared" si="41"/>
        <v>0.96779418614580215</v>
      </c>
      <c r="AC168" s="177">
        <f t="shared" si="41"/>
        <v>0.98224129246350778</v>
      </c>
      <c r="AD168" s="177">
        <f t="shared" si="41"/>
        <v>0.99975942098085335</v>
      </c>
      <c r="AE168" s="177">
        <f t="shared" si="41"/>
        <v>1</v>
      </c>
      <c r="AF168" s="177">
        <f t="shared" si="41"/>
        <v>1</v>
      </c>
    </row>
    <row r="169" spans="2:32" hidden="1" x14ac:dyDescent="0.25">
      <c r="B169" s="2">
        <v>82</v>
      </c>
      <c r="C169" s="2">
        <f t="shared" si="34"/>
        <v>230.95599999999996</v>
      </c>
      <c r="D169" s="2">
        <f t="shared" si="35"/>
        <v>84.665529666620472</v>
      </c>
      <c r="E169" s="2">
        <f t="shared" si="36"/>
        <v>85.491999999999734</v>
      </c>
      <c r="F169" s="2">
        <f t="shared" si="37"/>
        <v>98.778710739226739</v>
      </c>
      <c r="G169" s="2">
        <f t="shared" si="38"/>
        <v>151.20599999999999</v>
      </c>
      <c r="H169" s="2">
        <f t="shared" si="39"/>
        <v>23.833331867531903</v>
      </c>
      <c r="U169" s="2">
        <f t="shared" si="40"/>
        <v>194</v>
      </c>
      <c r="V169" s="9">
        <v>45853</v>
      </c>
      <c r="W169" s="177">
        <f t="shared" si="41"/>
        <v>0.44836712672544243</v>
      </c>
      <c r="X169" s="177">
        <f t="shared" si="41"/>
        <v>0.65280631262678224</v>
      </c>
      <c r="Y169" s="177">
        <f t="shared" si="41"/>
        <v>0.79182587049393294</v>
      </c>
      <c r="Z169" s="177">
        <f t="shared" si="41"/>
        <v>0.87911470368514522</v>
      </c>
      <c r="AA169" s="177">
        <f t="shared" si="41"/>
        <v>0.92836171555867064</v>
      </c>
      <c r="AB169" s="177">
        <f t="shared" si="41"/>
        <v>0.95325580947276034</v>
      </c>
      <c r="AC169" s="177">
        <f t="shared" si="41"/>
        <v>0.96748588878566577</v>
      </c>
      <c r="AD169" s="177">
        <f t="shared" si="41"/>
        <v>0.9847408568556375</v>
      </c>
      <c r="AE169" s="177">
        <f t="shared" si="41"/>
        <v>1</v>
      </c>
      <c r="AF169" s="177">
        <f t="shared" si="41"/>
        <v>1</v>
      </c>
    </row>
    <row r="170" spans="2:32" hidden="1" x14ac:dyDescent="0.25">
      <c r="B170" s="2">
        <v>83</v>
      </c>
      <c r="C170" s="2">
        <f t="shared" si="34"/>
        <v>229.99899999999997</v>
      </c>
      <c r="D170" s="2">
        <f t="shared" si="35"/>
        <v>84.510423786596576</v>
      </c>
      <c r="E170" s="2">
        <f t="shared" si="36"/>
        <v>95.859499999999798</v>
      </c>
      <c r="F170" s="2">
        <f t="shared" si="37"/>
        <v>98.387110819501999</v>
      </c>
      <c r="G170" s="2">
        <f t="shared" si="38"/>
        <v>151.04650000000001</v>
      </c>
      <c r="H170" s="2">
        <f t="shared" si="39"/>
        <v>24.70217207205701</v>
      </c>
    </row>
    <row r="171" spans="2:32" hidden="1" x14ac:dyDescent="0.25">
      <c r="B171" s="2">
        <v>84</v>
      </c>
      <c r="C171" s="2">
        <f t="shared" si="34"/>
        <v>229.04199999999997</v>
      </c>
      <c r="D171" s="2">
        <f t="shared" si="35"/>
        <v>84.35465590657266</v>
      </c>
      <c r="E171" s="2">
        <f t="shared" si="36"/>
        <v>105.90799999999967</v>
      </c>
      <c r="F171" s="2">
        <f t="shared" si="37"/>
        <v>97.995894899777269</v>
      </c>
      <c r="G171" s="2">
        <f t="shared" si="38"/>
        <v>150.887</v>
      </c>
      <c r="H171" s="2">
        <f t="shared" si="39"/>
        <v>25.561692276582107</v>
      </c>
    </row>
    <row r="172" spans="2:32" hidden="1" x14ac:dyDescent="0.25">
      <c r="B172" s="2">
        <v>85</v>
      </c>
      <c r="C172" s="2">
        <f t="shared" si="34"/>
        <v>228.08499999999995</v>
      </c>
      <c r="D172" s="2">
        <f t="shared" si="35"/>
        <v>84.198226026548753</v>
      </c>
      <c r="E172" s="2">
        <f t="shared" si="36"/>
        <v>115.63749999999959</v>
      </c>
      <c r="F172" s="2">
        <f t="shared" si="37"/>
        <v>97.605062980052537</v>
      </c>
      <c r="G172" s="2">
        <f t="shared" si="38"/>
        <v>150.72749999999999</v>
      </c>
      <c r="H172" s="2">
        <f t="shared" si="39"/>
        <v>26.411892481107209</v>
      </c>
    </row>
    <row r="173" spans="2:32" hidden="1" x14ac:dyDescent="0.25">
      <c r="B173" s="2">
        <v>86</v>
      </c>
      <c r="C173" s="2">
        <f t="shared" si="34"/>
        <v>227.12799999999996</v>
      </c>
      <c r="D173" s="2">
        <f t="shared" si="35"/>
        <v>84.04113414652484</v>
      </c>
      <c r="E173" s="2">
        <f t="shared" si="36"/>
        <v>125.04799999999955</v>
      </c>
      <c r="F173" s="2">
        <f t="shared" si="37"/>
        <v>97.214615060327802</v>
      </c>
      <c r="G173" s="2">
        <f t="shared" si="38"/>
        <v>150.56799999999998</v>
      </c>
      <c r="H173" s="2">
        <f t="shared" si="39"/>
        <v>27.252772685632308</v>
      </c>
    </row>
    <row r="174" spans="2:32" hidden="1" x14ac:dyDescent="0.25">
      <c r="B174" s="2">
        <v>87</v>
      </c>
      <c r="C174" s="2">
        <f t="shared" si="34"/>
        <v>226.17099999999994</v>
      </c>
      <c r="D174" s="2">
        <f t="shared" si="35"/>
        <v>83.883380266500922</v>
      </c>
      <c r="E174" s="2">
        <f t="shared" si="36"/>
        <v>134.1395</v>
      </c>
      <c r="F174" s="2">
        <f t="shared" si="37"/>
        <v>96.824551140603063</v>
      </c>
      <c r="G174" s="2">
        <f t="shared" si="38"/>
        <v>150.4085</v>
      </c>
      <c r="H174" s="2">
        <f t="shared" si="39"/>
        <v>28.084332890157413</v>
      </c>
    </row>
    <row r="175" spans="2:32" hidden="1" x14ac:dyDescent="0.25">
      <c r="B175" s="2">
        <v>88</v>
      </c>
      <c r="C175" s="2">
        <f t="shared" si="34"/>
        <v>225.21399999999994</v>
      </c>
      <c r="D175" s="2">
        <f t="shared" si="35"/>
        <v>83.724964386477012</v>
      </c>
      <c r="E175" s="2">
        <f t="shared" si="36"/>
        <v>142.91199999999981</v>
      </c>
      <c r="F175" s="2">
        <f t="shared" si="37"/>
        <v>96.434871220878307</v>
      </c>
      <c r="G175" s="2">
        <f t="shared" si="38"/>
        <v>150.249</v>
      </c>
      <c r="H175" s="2">
        <f t="shared" si="39"/>
        <v>28.906573094682486</v>
      </c>
    </row>
    <row r="176" spans="2:32" hidden="1" x14ac:dyDescent="0.25">
      <c r="B176" s="2">
        <v>89</v>
      </c>
      <c r="C176" s="2">
        <f t="shared" si="34"/>
        <v>224.25699999999995</v>
      </c>
      <c r="D176" s="2">
        <f t="shared" si="35"/>
        <v>83.565886506453111</v>
      </c>
      <c r="E176" s="2">
        <f t="shared" si="36"/>
        <v>151.36549999999988</v>
      </c>
      <c r="F176" s="2">
        <f t="shared" si="37"/>
        <v>96.045575301153576</v>
      </c>
      <c r="G176" s="2">
        <f t="shared" si="38"/>
        <v>150.08949999999999</v>
      </c>
      <c r="H176" s="2">
        <f t="shared" si="39"/>
        <v>29.719493299207592</v>
      </c>
    </row>
    <row r="177" spans="2:10" hidden="1" x14ac:dyDescent="0.25">
      <c r="B177" s="2">
        <v>90</v>
      </c>
      <c r="C177" s="2">
        <f t="shared" si="34"/>
        <v>223.29999999999995</v>
      </c>
      <c r="D177" s="2">
        <f t="shared" si="35"/>
        <v>83.406146626429205</v>
      </c>
      <c r="E177" s="2">
        <f t="shared" si="36"/>
        <v>159.49999999999977</v>
      </c>
      <c r="F177" s="2">
        <f t="shared" si="37"/>
        <v>95.656663381428842</v>
      </c>
      <c r="G177" s="2">
        <f t="shared" si="38"/>
        <v>149.93</v>
      </c>
      <c r="H177" s="2">
        <f t="shared" si="39"/>
        <v>30.523093503732689</v>
      </c>
    </row>
    <row r="178" spans="2:10" hidden="1" x14ac:dyDescent="0.25">
      <c r="B178" s="2">
        <v>91</v>
      </c>
      <c r="C178" s="2">
        <f t="shared" si="34"/>
        <v>222.34299999999996</v>
      </c>
      <c r="D178" s="2">
        <f t="shared" si="35"/>
        <v>83.245744746405293</v>
      </c>
      <c r="E178" s="2">
        <f t="shared" si="36"/>
        <v>167.3154999999997</v>
      </c>
      <c r="F178" s="2">
        <f t="shared" si="37"/>
        <v>95.268135461704105</v>
      </c>
      <c r="G178" s="2">
        <f t="shared" si="38"/>
        <v>149.7705</v>
      </c>
      <c r="H178" s="2">
        <f t="shared" si="39"/>
        <v>31.31737370825779</v>
      </c>
      <c r="J178" s="2" t="s">
        <v>128</v>
      </c>
    </row>
    <row r="179" spans="2:10" hidden="1" x14ac:dyDescent="0.25">
      <c r="B179" s="2">
        <v>92</v>
      </c>
      <c r="C179" s="2">
        <f t="shared" si="34"/>
        <v>221.38599999999997</v>
      </c>
      <c r="D179" s="2">
        <f t="shared" si="35"/>
        <v>83.084680866381376</v>
      </c>
      <c r="E179" s="2">
        <f t="shared" si="36"/>
        <v>174.81199999999967</v>
      </c>
      <c r="F179" s="2">
        <f t="shared" si="37"/>
        <v>94.879991541979379</v>
      </c>
      <c r="G179" s="2">
        <f t="shared" si="38"/>
        <v>149.61099999999999</v>
      </c>
      <c r="H179" s="2">
        <f t="shared" si="39"/>
        <v>32.102333912782896</v>
      </c>
    </row>
    <row r="180" spans="2:10" hidden="1" x14ac:dyDescent="0.25">
      <c r="B180" s="2">
        <v>93</v>
      </c>
      <c r="C180" s="2">
        <f t="shared" si="34"/>
        <v>220.42899999999997</v>
      </c>
      <c r="D180" s="2">
        <f t="shared" si="35"/>
        <v>82.922954986357468</v>
      </c>
      <c r="E180" s="2">
        <f t="shared" si="36"/>
        <v>181.98949999999968</v>
      </c>
      <c r="F180" s="2">
        <f t="shared" si="37"/>
        <v>94.492231622254636</v>
      </c>
      <c r="G180" s="2">
        <f t="shared" si="38"/>
        <v>149.45150000000001</v>
      </c>
      <c r="H180" s="2">
        <f t="shared" si="39"/>
        <v>32.877974117307993</v>
      </c>
    </row>
    <row r="181" spans="2:10" hidden="1" x14ac:dyDescent="0.25">
      <c r="B181" s="2">
        <v>94</v>
      </c>
      <c r="C181" s="2">
        <f t="shared" si="34"/>
        <v>219.47199999999995</v>
      </c>
      <c r="D181" s="2">
        <f t="shared" si="35"/>
        <v>82.760567106333554</v>
      </c>
      <c r="E181" s="2">
        <f t="shared" si="36"/>
        <v>188.8479999999995</v>
      </c>
      <c r="F181" s="2">
        <f t="shared" si="37"/>
        <v>94.104855702529903</v>
      </c>
      <c r="G181" s="2">
        <f t="shared" si="38"/>
        <v>149.292</v>
      </c>
      <c r="H181" s="2">
        <f t="shared" si="39"/>
        <v>33.644294321833094</v>
      </c>
    </row>
    <row r="182" spans="2:10" hidden="1" x14ac:dyDescent="0.25">
      <c r="B182" s="2">
        <v>95</v>
      </c>
      <c r="C182" s="2">
        <f t="shared" si="34"/>
        <v>218.51499999999996</v>
      </c>
      <c r="D182" s="2">
        <f t="shared" si="35"/>
        <v>82.597517226309648</v>
      </c>
      <c r="E182" s="2">
        <f t="shared" si="36"/>
        <v>195.38749999999959</v>
      </c>
      <c r="F182" s="2">
        <f t="shared" si="37"/>
        <v>93.717863782805168</v>
      </c>
      <c r="G182" s="2">
        <f t="shared" si="38"/>
        <v>149.13249999999999</v>
      </c>
      <c r="H182" s="2">
        <f t="shared" si="39"/>
        <v>34.4012945263582</v>
      </c>
    </row>
    <row r="183" spans="2:10" hidden="1" x14ac:dyDescent="0.25">
      <c r="B183" s="2">
        <v>96</v>
      </c>
      <c r="C183" s="2">
        <f t="shared" si="34"/>
        <v>217.55799999999994</v>
      </c>
      <c r="D183" s="2">
        <f t="shared" si="35"/>
        <v>82.433805346285752</v>
      </c>
      <c r="E183" s="2">
        <f t="shared" si="36"/>
        <v>201.60799999999949</v>
      </c>
      <c r="F183" s="2">
        <f t="shared" si="37"/>
        <v>93.331255863080429</v>
      </c>
      <c r="G183" s="2">
        <f t="shared" si="38"/>
        <v>148.97299999999998</v>
      </c>
      <c r="H183" s="2">
        <f t="shared" si="39"/>
        <v>35.148974730883303</v>
      </c>
    </row>
    <row r="184" spans="2:10" hidden="1" x14ac:dyDescent="0.25">
      <c r="B184" s="2">
        <v>97</v>
      </c>
      <c r="C184" s="2">
        <f t="shared" si="34"/>
        <v>216.60099999999994</v>
      </c>
      <c r="D184" s="2">
        <f t="shared" si="35"/>
        <v>82.269431466261835</v>
      </c>
      <c r="E184" s="2">
        <f t="shared" si="36"/>
        <v>207.50949999999989</v>
      </c>
      <c r="F184" s="2">
        <f t="shared" si="37"/>
        <v>92.945031943355701</v>
      </c>
      <c r="G184" s="2">
        <f t="shared" si="38"/>
        <v>148.8135</v>
      </c>
      <c r="H184" s="2">
        <f t="shared" si="39"/>
        <v>35.887334935408404</v>
      </c>
    </row>
    <row r="185" spans="2:10" hidden="1" x14ac:dyDescent="0.25">
      <c r="B185" s="2">
        <v>98</v>
      </c>
      <c r="C185" s="2">
        <f t="shared" si="34"/>
        <v>215.64399999999995</v>
      </c>
      <c r="D185" s="2">
        <f t="shared" si="35"/>
        <v>82.104395586237928</v>
      </c>
      <c r="E185" s="2">
        <f t="shared" si="36"/>
        <v>213.09199999999987</v>
      </c>
      <c r="F185" s="2">
        <f t="shared" si="37"/>
        <v>92.55919202363097</v>
      </c>
      <c r="G185" s="2">
        <f t="shared" si="38"/>
        <v>148.654</v>
      </c>
      <c r="H185" s="2">
        <f t="shared" si="39"/>
        <v>36.616375139933503</v>
      </c>
    </row>
    <row r="186" spans="2:10" hidden="1" x14ac:dyDescent="0.25">
      <c r="B186" s="2">
        <v>99</v>
      </c>
      <c r="C186" s="2">
        <f t="shared" si="34"/>
        <v>214.68699999999995</v>
      </c>
      <c r="D186" s="2">
        <f t="shared" si="35"/>
        <v>81.938697706214015</v>
      </c>
      <c r="E186" s="2">
        <f t="shared" si="36"/>
        <v>218.35549999999967</v>
      </c>
      <c r="F186" s="2">
        <f t="shared" si="37"/>
        <v>92.173736103906236</v>
      </c>
      <c r="G186" s="2">
        <f t="shared" si="38"/>
        <v>148.49449999999999</v>
      </c>
      <c r="H186" s="2">
        <f t="shared" si="39"/>
        <v>37.336095344458606</v>
      </c>
    </row>
    <row r="187" spans="2:10" hidden="1" x14ac:dyDescent="0.25">
      <c r="B187" s="2">
        <v>100</v>
      </c>
      <c r="C187" s="2">
        <f t="shared" si="34"/>
        <v>213.72999999999996</v>
      </c>
      <c r="D187" s="2">
        <f t="shared" si="35"/>
        <v>81.772337826190096</v>
      </c>
      <c r="E187" s="2">
        <f t="shared" si="36"/>
        <v>223.29999999999973</v>
      </c>
      <c r="F187" s="2">
        <f t="shared" si="37"/>
        <v>91.788664184181499</v>
      </c>
      <c r="G187" s="2">
        <f t="shared" si="38"/>
        <v>148.33500000000001</v>
      </c>
      <c r="H187" s="2">
        <f t="shared" si="39"/>
        <v>38.046495548983707</v>
      </c>
    </row>
    <row r="188" spans="2:10" hidden="1" x14ac:dyDescent="0.25">
      <c r="B188" s="2">
        <v>101</v>
      </c>
      <c r="C188" s="2">
        <f t="shared" si="34"/>
        <v>212.77299999999997</v>
      </c>
      <c r="D188" s="2">
        <f t="shared" si="35"/>
        <v>81.605315946166186</v>
      </c>
      <c r="E188" s="2">
        <f t="shared" si="36"/>
        <v>227.9254999999996</v>
      </c>
      <c r="F188" s="2">
        <f t="shared" si="37"/>
        <v>91.403976264456759</v>
      </c>
      <c r="G188" s="2">
        <f t="shared" si="38"/>
        <v>148.1755</v>
      </c>
      <c r="H188" s="2">
        <f t="shared" si="39"/>
        <v>38.747575753508812</v>
      </c>
    </row>
    <row r="189" spans="2:10" hidden="1" x14ac:dyDescent="0.25">
      <c r="B189" s="2">
        <v>102</v>
      </c>
      <c r="C189" s="2">
        <f t="shared" si="34"/>
        <v>211.81599999999997</v>
      </c>
      <c r="D189" s="2">
        <f t="shared" si="35"/>
        <v>81.437632066142271</v>
      </c>
      <c r="E189" s="2">
        <f t="shared" si="36"/>
        <v>232.23199999999952</v>
      </c>
      <c r="F189" s="2">
        <f t="shared" si="37"/>
        <v>91.01967234473203</v>
      </c>
      <c r="G189" s="2">
        <f t="shared" si="38"/>
        <v>148.01599999999999</v>
      </c>
      <c r="H189" s="2">
        <f t="shared" si="39"/>
        <v>39.439335958033908</v>
      </c>
      <c r="J189" s="2" t="s">
        <v>130</v>
      </c>
    </row>
    <row r="190" spans="2:10" hidden="1" x14ac:dyDescent="0.25">
      <c r="B190" s="2">
        <v>103</v>
      </c>
      <c r="C190" s="2">
        <f t="shared" si="34"/>
        <v>210.85899999999995</v>
      </c>
      <c r="D190" s="2">
        <f t="shared" si="35"/>
        <v>81.269286186118379</v>
      </c>
      <c r="E190" s="2">
        <f t="shared" si="36"/>
        <v>236.21949999999947</v>
      </c>
      <c r="F190" s="2">
        <f t="shared" si="37"/>
        <v>90.635752425007297</v>
      </c>
      <c r="G190" s="2">
        <f t="shared" si="38"/>
        <v>147.85649999999998</v>
      </c>
      <c r="H190" s="2">
        <f t="shared" si="39"/>
        <v>40.121776162559016</v>
      </c>
    </row>
    <row r="191" spans="2:10" hidden="1" x14ac:dyDescent="0.25">
      <c r="B191" s="2">
        <v>104</v>
      </c>
      <c r="C191" s="2">
        <f t="shared" si="34"/>
        <v>209.90199999999996</v>
      </c>
      <c r="D191" s="2">
        <f t="shared" si="35"/>
        <v>81.100278306094467</v>
      </c>
      <c r="E191" s="2">
        <f t="shared" si="36"/>
        <v>239.88799999999947</v>
      </c>
      <c r="F191" s="2">
        <f t="shared" si="37"/>
        <v>90.252216505282561</v>
      </c>
      <c r="G191" s="2">
        <f t="shared" si="38"/>
        <v>147.697</v>
      </c>
      <c r="H191" s="2">
        <f t="shared" si="39"/>
        <v>40.794896367084114</v>
      </c>
    </row>
    <row r="192" spans="2:10" hidden="1" x14ac:dyDescent="0.25">
      <c r="B192" s="2">
        <v>105</v>
      </c>
      <c r="C192" s="2">
        <f t="shared" si="34"/>
        <v>208.94499999999994</v>
      </c>
      <c r="D192" s="2">
        <f t="shared" si="35"/>
        <v>80.930608426070549</v>
      </c>
      <c r="E192" s="2">
        <f t="shared" si="36"/>
        <v>243.2374999999995</v>
      </c>
      <c r="F192" s="2">
        <f t="shared" si="37"/>
        <v>89.869064585557808</v>
      </c>
      <c r="G192" s="2">
        <f t="shared" si="38"/>
        <v>147.53749999999999</v>
      </c>
      <c r="H192" s="2">
        <f t="shared" si="39"/>
        <v>41.458696571609188</v>
      </c>
    </row>
    <row r="193" spans="2:8" hidden="1" x14ac:dyDescent="0.25">
      <c r="B193" s="2">
        <v>106</v>
      </c>
      <c r="C193" s="2">
        <f t="shared" si="34"/>
        <v>207.98799999999994</v>
      </c>
      <c r="D193" s="2">
        <f t="shared" si="35"/>
        <v>80.76027654604664</v>
      </c>
      <c r="E193" s="2">
        <f t="shared" si="36"/>
        <v>246.2679999999998</v>
      </c>
      <c r="F193" s="2">
        <f t="shared" si="37"/>
        <v>89.486296665833081</v>
      </c>
      <c r="G193" s="2">
        <f t="shared" si="38"/>
        <v>147.37799999999999</v>
      </c>
      <c r="H193" s="2">
        <f t="shared" si="39"/>
        <v>42.113176776134289</v>
      </c>
    </row>
    <row r="194" spans="2:8" hidden="1" x14ac:dyDescent="0.25">
      <c r="B194" s="2">
        <v>107</v>
      </c>
      <c r="C194" s="2">
        <f t="shared" si="34"/>
        <v>207.03099999999995</v>
      </c>
      <c r="D194" s="2">
        <f t="shared" si="35"/>
        <v>80.589282666022726</v>
      </c>
      <c r="E194" s="2">
        <f t="shared" si="36"/>
        <v>248.97949999999969</v>
      </c>
      <c r="F194" s="2">
        <f t="shared" si="37"/>
        <v>89.103912746108335</v>
      </c>
      <c r="G194" s="2">
        <f t="shared" si="38"/>
        <v>147.21850000000001</v>
      </c>
      <c r="H194" s="2">
        <f t="shared" si="39"/>
        <v>42.758336980659394</v>
      </c>
    </row>
    <row r="195" spans="2:8" hidden="1" x14ac:dyDescent="0.25">
      <c r="B195" s="2">
        <v>108</v>
      </c>
      <c r="C195" s="2">
        <f t="shared" si="34"/>
        <v>206.07399999999996</v>
      </c>
      <c r="D195" s="2">
        <f t="shared" si="35"/>
        <v>80.41762678599882</v>
      </c>
      <c r="E195" s="2">
        <f t="shared" si="36"/>
        <v>251.37199999999962</v>
      </c>
      <c r="F195" s="2">
        <f t="shared" si="37"/>
        <v>88.721912826383601</v>
      </c>
      <c r="G195" s="2">
        <f t="shared" si="38"/>
        <v>147.059</v>
      </c>
      <c r="H195" s="2">
        <f t="shared" si="39"/>
        <v>43.394177185184489</v>
      </c>
    </row>
    <row r="196" spans="2:8" hidden="1" x14ac:dyDescent="0.25">
      <c r="B196" s="2">
        <v>109</v>
      </c>
      <c r="C196" s="2">
        <f t="shared" si="34"/>
        <v>205.11699999999996</v>
      </c>
      <c r="D196" s="2">
        <f t="shared" si="35"/>
        <v>80.245308905974909</v>
      </c>
      <c r="E196" s="2">
        <f t="shared" si="36"/>
        <v>253.44549999999958</v>
      </c>
      <c r="F196" s="2">
        <f t="shared" si="37"/>
        <v>88.340296906658878</v>
      </c>
      <c r="G196" s="2">
        <f t="shared" si="38"/>
        <v>146.89949999999999</v>
      </c>
      <c r="H196" s="2">
        <f t="shared" si="39"/>
        <v>44.020697389709596</v>
      </c>
    </row>
    <row r="197" spans="2:8" hidden="1" x14ac:dyDescent="0.25">
      <c r="B197" s="2">
        <v>110</v>
      </c>
      <c r="C197" s="2">
        <f t="shared" si="34"/>
        <v>204.15999999999997</v>
      </c>
      <c r="D197" s="2">
        <f t="shared" si="35"/>
        <v>80.072329025951007</v>
      </c>
      <c r="E197" s="2">
        <f t="shared" si="36"/>
        <v>255.19999999999959</v>
      </c>
      <c r="F197" s="2">
        <f t="shared" si="37"/>
        <v>87.959064986934138</v>
      </c>
      <c r="G197" s="2">
        <f t="shared" si="38"/>
        <v>146.74</v>
      </c>
      <c r="H197" s="2">
        <f t="shared" si="39"/>
        <v>44.637897594234694</v>
      </c>
    </row>
    <row r="198" spans="2:8" hidden="1" x14ac:dyDescent="0.25">
      <c r="B198" s="2">
        <v>111</v>
      </c>
      <c r="C198" s="2">
        <f t="shared" si="34"/>
        <v>203.20299999999997</v>
      </c>
      <c r="D198" s="2">
        <f t="shared" si="35"/>
        <v>79.898687145927099</v>
      </c>
      <c r="E198" s="2">
        <f t="shared" si="36"/>
        <v>256.63549999999964</v>
      </c>
      <c r="F198" s="2">
        <f t="shared" si="37"/>
        <v>87.578217067209408</v>
      </c>
      <c r="G198" s="2">
        <f t="shared" si="38"/>
        <v>146.5805</v>
      </c>
      <c r="H198" s="2">
        <f t="shared" si="39"/>
        <v>45.245777798759796</v>
      </c>
    </row>
    <row r="199" spans="2:8" hidden="1" x14ac:dyDescent="0.25">
      <c r="B199" s="2">
        <v>112</v>
      </c>
      <c r="C199" s="2">
        <f t="shared" si="34"/>
        <v>202.24599999999995</v>
      </c>
      <c r="D199" s="2">
        <f t="shared" si="35"/>
        <v>79.724383265903185</v>
      </c>
      <c r="E199" s="2">
        <f t="shared" si="36"/>
        <v>257.7519999999995</v>
      </c>
      <c r="F199" s="2">
        <f t="shared" si="37"/>
        <v>87.197753147484661</v>
      </c>
      <c r="G199" s="2">
        <f t="shared" si="38"/>
        <v>146.42099999999999</v>
      </c>
      <c r="H199" s="2">
        <f t="shared" si="39"/>
        <v>45.844338003284896</v>
      </c>
    </row>
    <row r="200" spans="2:8" hidden="1" x14ac:dyDescent="0.25">
      <c r="B200" s="2">
        <v>113</v>
      </c>
      <c r="C200" s="2">
        <f t="shared" si="34"/>
        <v>201.28899999999996</v>
      </c>
      <c r="D200" s="2">
        <f t="shared" si="35"/>
        <v>79.549417385879266</v>
      </c>
      <c r="E200" s="2">
        <f t="shared" si="36"/>
        <v>258.54949999999985</v>
      </c>
      <c r="F200" s="2">
        <f t="shared" si="37"/>
        <v>86.81767322775994</v>
      </c>
      <c r="G200" s="2">
        <f t="shared" si="38"/>
        <v>146.26149999999998</v>
      </c>
      <c r="H200" s="2">
        <f t="shared" si="39"/>
        <v>46.433578207810001</v>
      </c>
    </row>
    <row r="201" spans="2:8" hidden="1" x14ac:dyDescent="0.25">
      <c r="B201" s="2">
        <v>114</v>
      </c>
      <c r="C201" s="2">
        <f t="shared" si="34"/>
        <v>200.33199999999994</v>
      </c>
      <c r="D201" s="2">
        <f t="shared" si="35"/>
        <v>79.373789505855356</v>
      </c>
      <c r="E201" s="2">
        <f t="shared" si="36"/>
        <v>259.02799999999934</v>
      </c>
      <c r="F201" s="2">
        <f t="shared" si="37"/>
        <v>86.437977308035201</v>
      </c>
      <c r="G201" s="2">
        <f t="shared" si="38"/>
        <v>146.102</v>
      </c>
      <c r="H201" s="2">
        <f t="shared" si="39"/>
        <v>47.013498412335103</v>
      </c>
    </row>
    <row r="202" spans="2:8" hidden="1" x14ac:dyDescent="0.25">
      <c r="B202" s="2">
        <v>115</v>
      </c>
      <c r="C202" s="2">
        <f t="shared" si="34"/>
        <v>199.37499999999994</v>
      </c>
      <c r="D202" s="2">
        <f t="shared" si="35"/>
        <v>79.197499625831441</v>
      </c>
      <c r="E202" s="2">
        <f t="shared" si="36"/>
        <v>259.1875</v>
      </c>
      <c r="F202" s="2">
        <f t="shared" si="37"/>
        <v>86.058665388310459</v>
      </c>
      <c r="G202" s="2">
        <f t="shared" si="38"/>
        <v>145.9425</v>
      </c>
      <c r="H202" s="2">
        <f t="shared" si="39"/>
        <v>47.584098616860203</v>
      </c>
    </row>
    <row r="203" spans="2:8" hidden="1" x14ac:dyDescent="0.25">
      <c r="B203" s="2">
        <v>116</v>
      </c>
      <c r="C203" s="2">
        <f t="shared" si="34"/>
        <v>198.41799999999995</v>
      </c>
      <c r="D203" s="2">
        <f t="shared" si="35"/>
        <v>79.020547745807534</v>
      </c>
      <c r="E203" s="2">
        <f t="shared" si="36"/>
        <v>259.02799999999934</v>
      </c>
      <c r="F203" s="2">
        <f t="shared" si="37"/>
        <v>85.679737468585728</v>
      </c>
      <c r="G203" s="2">
        <f t="shared" si="38"/>
        <v>145.78299999999999</v>
      </c>
      <c r="H203" s="2">
        <f t="shared" si="39"/>
        <v>48.145378821385307</v>
      </c>
    </row>
    <row r="204" spans="2:8" hidden="1" x14ac:dyDescent="0.25">
      <c r="B204" s="2">
        <v>117</v>
      </c>
      <c r="C204" s="2">
        <f t="shared" si="34"/>
        <v>197.46099999999996</v>
      </c>
      <c r="D204" s="2">
        <f t="shared" si="35"/>
        <v>78.842933865783635</v>
      </c>
      <c r="E204" s="2">
        <f t="shared" si="36"/>
        <v>258.54949999999963</v>
      </c>
      <c r="F204" s="2">
        <f t="shared" si="37"/>
        <v>85.301193548860994</v>
      </c>
      <c r="G204" s="2">
        <f t="shared" si="38"/>
        <v>145.62350000000001</v>
      </c>
      <c r="H204" s="2">
        <f t="shared" si="39"/>
        <v>48.697339025910409</v>
      </c>
    </row>
    <row r="205" spans="2:8" hidden="1" x14ac:dyDescent="0.25">
      <c r="B205" s="2">
        <v>118</v>
      </c>
      <c r="C205" s="2">
        <f t="shared" si="34"/>
        <v>196.50399999999996</v>
      </c>
      <c r="D205" s="2">
        <f t="shared" si="35"/>
        <v>78.664657985759717</v>
      </c>
      <c r="E205" s="2">
        <f t="shared" si="36"/>
        <v>257.75199999999904</v>
      </c>
      <c r="F205" s="2">
        <f t="shared" si="37"/>
        <v>84.923033629136256</v>
      </c>
      <c r="G205" s="2">
        <f t="shared" si="38"/>
        <v>145.464</v>
      </c>
      <c r="H205" s="2">
        <f t="shared" si="39"/>
        <v>49.239979230435509</v>
      </c>
    </row>
    <row r="206" spans="2:8" hidden="1" x14ac:dyDescent="0.25">
      <c r="B206" s="2">
        <v>119</v>
      </c>
      <c r="C206" s="2">
        <f t="shared" si="34"/>
        <v>195.54699999999997</v>
      </c>
      <c r="D206" s="2">
        <f t="shared" si="35"/>
        <v>78.485720105735808</v>
      </c>
      <c r="E206" s="2">
        <f t="shared" si="36"/>
        <v>256.63549999999941</v>
      </c>
      <c r="F206" s="2">
        <f t="shared" si="37"/>
        <v>84.54525770941153</v>
      </c>
      <c r="G206" s="2">
        <f t="shared" si="38"/>
        <v>145.30449999999999</v>
      </c>
      <c r="H206" s="2">
        <f t="shared" si="39"/>
        <v>49.773299434960606</v>
      </c>
    </row>
    <row r="207" spans="2:8" hidden="1" x14ac:dyDescent="0.25">
      <c r="B207" s="2">
        <v>120</v>
      </c>
      <c r="C207" s="2">
        <f t="shared" si="34"/>
        <v>194.58999999999997</v>
      </c>
      <c r="D207" s="2">
        <f t="shared" si="35"/>
        <v>78.306120225711894</v>
      </c>
      <c r="E207" s="2">
        <f t="shared" si="36"/>
        <v>255.19999999999982</v>
      </c>
      <c r="F207" s="2">
        <f t="shared" si="37"/>
        <v>84.167865789686786</v>
      </c>
      <c r="G207" s="2">
        <f t="shared" si="38"/>
        <v>145.14499999999998</v>
      </c>
      <c r="H207" s="2">
        <f t="shared" si="39"/>
        <v>50.297299639485686</v>
      </c>
    </row>
    <row r="208" spans="2:8" hidden="1" x14ac:dyDescent="0.25">
      <c r="B208" s="2">
        <v>121</v>
      </c>
      <c r="C208" s="2">
        <f t="shared" si="34"/>
        <v>193.63299999999995</v>
      </c>
      <c r="D208" s="2">
        <f t="shared" si="35"/>
        <v>78.125858345687988</v>
      </c>
      <c r="E208" s="2">
        <f t="shared" si="36"/>
        <v>253.44549999999936</v>
      </c>
      <c r="F208" s="2">
        <f t="shared" si="37"/>
        <v>83.790857869962053</v>
      </c>
      <c r="G208" s="2">
        <f t="shared" si="38"/>
        <v>144.9855</v>
      </c>
      <c r="H208" s="2">
        <f t="shared" si="39"/>
        <v>50.811979844010793</v>
      </c>
    </row>
    <row r="209" spans="2:10" hidden="1" x14ac:dyDescent="0.25">
      <c r="B209" s="2">
        <v>122</v>
      </c>
      <c r="C209" s="2">
        <f t="shared" si="34"/>
        <v>192.67599999999996</v>
      </c>
      <c r="D209" s="2">
        <f t="shared" si="35"/>
        <v>77.94493446566409</v>
      </c>
      <c r="E209" s="2">
        <f t="shared" si="36"/>
        <v>251.37199999999984</v>
      </c>
      <c r="F209" s="2">
        <f t="shared" si="37"/>
        <v>83.414233950237318</v>
      </c>
      <c r="G209" s="2">
        <f t="shared" si="38"/>
        <v>144.82599999999999</v>
      </c>
      <c r="H209" s="2">
        <f t="shared" si="39"/>
        <v>51.317340048535883</v>
      </c>
    </row>
    <row r="210" spans="2:10" hidden="1" x14ac:dyDescent="0.25">
      <c r="B210" s="2">
        <v>123</v>
      </c>
      <c r="C210" s="2">
        <f t="shared" si="34"/>
        <v>191.71899999999994</v>
      </c>
      <c r="D210" s="2">
        <f t="shared" si="35"/>
        <v>77.763348585640173</v>
      </c>
      <c r="E210" s="2">
        <f t="shared" si="36"/>
        <v>248.97949999999946</v>
      </c>
      <c r="F210" s="2">
        <f t="shared" si="37"/>
        <v>83.037994030512593</v>
      </c>
      <c r="G210" s="2">
        <f t="shared" si="38"/>
        <v>144.66649999999998</v>
      </c>
      <c r="H210" s="2">
        <f t="shared" si="39"/>
        <v>51.813380253060984</v>
      </c>
    </row>
    <row r="211" spans="2:10" hidden="1" x14ac:dyDescent="0.25">
      <c r="B211" s="2">
        <v>124</v>
      </c>
      <c r="C211" s="2">
        <f t="shared" si="34"/>
        <v>190.76199999999994</v>
      </c>
      <c r="D211" s="2">
        <f t="shared" si="35"/>
        <v>77.581100705616265</v>
      </c>
      <c r="E211" s="2">
        <f t="shared" si="36"/>
        <v>246.26799999999957</v>
      </c>
      <c r="F211" s="2">
        <f t="shared" si="37"/>
        <v>82.662138110787851</v>
      </c>
      <c r="G211" s="2">
        <f t="shared" si="38"/>
        <v>144.50700000000001</v>
      </c>
      <c r="H211" s="2">
        <f t="shared" si="39"/>
        <v>52.300100457586097</v>
      </c>
    </row>
    <row r="212" spans="2:10" hidden="1" x14ac:dyDescent="0.25">
      <c r="B212" s="2">
        <v>125</v>
      </c>
      <c r="C212" s="2">
        <f t="shared" si="34"/>
        <v>189.80499999999995</v>
      </c>
      <c r="D212" s="2">
        <f t="shared" si="35"/>
        <v>77.398190825592351</v>
      </c>
      <c r="E212" s="2">
        <f t="shared" si="36"/>
        <v>243.23749999999927</v>
      </c>
      <c r="F212" s="2">
        <f t="shared" si="37"/>
        <v>82.286666191063119</v>
      </c>
      <c r="G212" s="2">
        <f t="shared" si="38"/>
        <v>144.3475</v>
      </c>
      <c r="H212" s="2">
        <f t="shared" si="39"/>
        <v>52.777500662111194</v>
      </c>
    </row>
    <row r="213" spans="2:10" hidden="1" x14ac:dyDescent="0.25">
      <c r="B213" s="2">
        <v>126</v>
      </c>
      <c r="C213" s="2">
        <f t="shared" si="34"/>
        <v>188.84799999999996</v>
      </c>
      <c r="D213" s="2">
        <f t="shared" si="35"/>
        <v>77.214618945568446</v>
      </c>
      <c r="E213" s="2">
        <f t="shared" si="36"/>
        <v>239.88799999999947</v>
      </c>
      <c r="F213" s="2">
        <f t="shared" si="37"/>
        <v>81.911578271338385</v>
      </c>
      <c r="G213" s="2">
        <f t="shared" si="38"/>
        <v>144.18799999999999</v>
      </c>
      <c r="H213" s="2">
        <f t="shared" si="39"/>
        <v>53.245580866636288</v>
      </c>
    </row>
    <row r="214" spans="2:10" hidden="1" x14ac:dyDescent="0.25">
      <c r="B214" s="2">
        <v>127</v>
      </c>
      <c r="C214" s="2">
        <f t="shared" si="34"/>
        <v>187.89099999999996</v>
      </c>
      <c r="D214" s="2">
        <f t="shared" si="35"/>
        <v>77.030385065544522</v>
      </c>
      <c r="E214" s="2">
        <f t="shared" si="36"/>
        <v>236.21949999999924</v>
      </c>
      <c r="F214" s="2">
        <f t="shared" si="37"/>
        <v>81.536874351613648</v>
      </c>
      <c r="G214" s="2">
        <f t="shared" si="38"/>
        <v>144.02850000000001</v>
      </c>
      <c r="H214" s="2">
        <f t="shared" si="39"/>
        <v>53.704341071161409</v>
      </c>
    </row>
    <row r="215" spans="2:10" hidden="1" x14ac:dyDescent="0.25">
      <c r="B215" s="2">
        <v>128</v>
      </c>
      <c r="C215" s="2">
        <f t="shared" si="34"/>
        <v>186.93399999999997</v>
      </c>
      <c r="D215" s="2">
        <f t="shared" si="35"/>
        <v>76.84548918552062</v>
      </c>
      <c r="E215" s="2">
        <f t="shared" si="36"/>
        <v>232.23199999999952</v>
      </c>
      <c r="F215" s="2">
        <f t="shared" si="37"/>
        <v>81.162554431888921</v>
      </c>
      <c r="G215" s="2">
        <f t="shared" si="38"/>
        <v>143.869</v>
      </c>
      <c r="H215" s="2">
        <f t="shared" si="39"/>
        <v>54.153781275686484</v>
      </c>
    </row>
    <row r="216" spans="2:10" hidden="1" x14ac:dyDescent="0.25">
      <c r="B216" s="2">
        <v>129</v>
      </c>
      <c r="C216" s="2">
        <f t="shared" si="34"/>
        <v>185.97699999999998</v>
      </c>
      <c r="D216" s="2">
        <f t="shared" si="35"/>
        <v>76.659931305496713</v>
      </c>
      <c r="E216" s="2">
        <f t="shared" si="36"/>
        <v>227.92549999999983</v>
      </c>
      <c r="F216" s="2">
        <f t="shared" si="37"/>
        <v>80.788618512164177</v>
      </c>
      <c r="G216" s="2">
        <f t="shared" si="38"/>
        <v>143.70949999999999</v>
      </c>
      <c r="H216" s="2">
        <f t="shared" si="39"/>
        <v>54.593901480211613</v>
      </c>
    </row>
    <row r="217" spans="2:10" hidden="1" x14ac:dyDescent="0.25">
      <c r="B217" s="2">
        <v>130</v>
      </c>
      <c r="C217" s="2">
        <f t="shared" ref="C217:C280" si="42">Q$57+$B217*Q$58+Q$59*$B217^2</f>
        <v>185.01999999999995</v>
      </c>
      <c r="D217" s="2">
        <f t="shared" ref="D217:D280" si="43">R$57+$B217*R$58+R$59*$B217^2</f>
        <v>76.4737114254728</v>
      </c>
      <c r="E217" s="2">
        <f t="shared" ref="E217:E280" si="44">S$57+$B217*S$58+S$59*$B217^2</f>
        <v>223.29999999999927</v>
      </c>
      <c r="F217" s="2">
        <f t="shared" ref="F217:F280" si="45">T$57+$B217*T$58+T$59*$B217^2</f>
        <v>80.415066592439445</v>
      </c>
      <c r="G217" s="2">
        <f t="shared" ref="G217:G280" si="46">U$57+$B217*U$58+U$59*$B217^2</f>
        <v>143.55000000000001</v>
      </c>
      <c r="H217" s="2">
        <f t="shared" ref="H217:H280" si="47">V$57+$B217*V$58+V$59*$B217^2</f>
        <v>55.024701684736684</v>
      </c>
      <c r="J217" s="2" t="s">
        <v>131</v>
      </c>
    </row>
    <row r="218" spans="2:10" hidden="1" x14ac:dyDescent="0.25">
      <c r="B218" s="2">
        <v>131</v>
      </c>
      <c r="C218" s="2">
        <f t="shared" si="42"/>
        <v>184.06299999999996</v>
      </c>
      <c r="D218" s="2">
        <f t="shared" si="43"/>
        <v>76.286829545448896</v>
      </c>
      <c r="E218" s="2">
        <f t="shared" si="44"/>
        <v>218.35549999999967</v>
      </c>
      <c r="F218" s="2">
        <f t="shared" si="45"/>
        <v>80.041898672714709</v>
      </c>
      <c r="G218" s="2">
        <f t="shared" si="46"/>
        <v>143.3905</v>
      </c>
      <c r="H218" s="2">
        <f t="shared" si="47"/>
        <v>55.446181889261823</v>
      </c>
    </row>
    <row r="219" spans="2:10" hidden="1" x14ac:dyDescent="0.25">
      <c r="B219" s="2">
        <v>132</v>
      </c>
      <c r="C219" s="2">
        <f t="shared" si="42"/>
        <v>183.10599999999994</v>
      </c>
      <c r="D219" s="2">
        <f t="shared" si="43"/>
        <v>76.099285665424986</v>
      </c>
      <c r="E219" s="2">
        <f t="shared" si="44"/>
        <v>213.09199999999919</v>
      </c>
      <c r="F219" s="2">
        <f t="shared" si="45"/>
        <v>79.669114752989984</v>
      </c>
      <c r="G219" s="2">
        <f t="shared" si="46"/>
        <v>143.23099999999999</v>
      </c>
      <c r="H219" s="2">
        <f t="shared" si="47"/>
        <v>55.858342093786888</v>
      </c>
    </row>
    <row r="220" spans="2:10" hidden="1" x14ac:dyDescent="0.25">
      <c r="B220" s="2">
        <v>133</v>
      </c>
      <c r="C220" s="2">
        <f t="shared" si="42"/>
        <v>182.14899999999994</v>
      </c>
      <c r="D220" s="2">
        <f t="shared" si="43"/>
        <v>75.911079785401071</v>
      </c>
      <c r="E220" s="2">
        <f t="shared" si="44"/>
        <v>207.50949999999966</v>
      </c>
      <c r="F220" s="2">
        <f t="shared" si="45"/>
        <v>79.296714833265241</v>
      </c>
      <c r="G220" s="2">
        <f t="shared" si="46"/>
        <v>143.07149999999999</v>
      </c>
      <c r="H220" s="2">
        <f t="shared" si="47"/>
        <v>56.261182298312022</v>
      </c>
    </row>
    <row r="221" spans="2:10" hidden="1" x14ac:dyDescent="0.25">
      <c r="B221" s="2">
        <v>134</v>
      </c>
      <c r="C221" s="2">
        <f t="shared" si="42"/>
        <v>181.19199999999995</v>
      </c>
      <c r="D221" s="2">
        <f t="shared" si="43"/>
        <v>75.722211905377151</v>
      </c>
      <c r="E221" s="2">
        <f t="shared" si="44"/>
        <v>201.60799999999927</v>
      </c>
      <c r="F221" s="2">
        <f t="shared" si="45"/>
        <v>78.92469891354051</v>
      </c>
      <c r="G221" s="2">
        <f t="shared" si="46"/>
        <v>142.91200000000001</v>
      </c>
      <c r="H221" s="2">
        <f t="shared" si="47"/>
        <v>56.654702502837097</v>
      </c>
    </row>
    <row r="222" spans="2:10" hidden="1" x14ac:dyDescent="0.25">
      <c r="B222" s="2">
        <v>135</v>
      </c>
      <c r="C222" s="2">
        <f t="shared" si="42"/>
        <v>180.23499999999996</v>
      </c>
      <c r="D222" s="2">
        <f t="shared" si="43"/>
        <v>75.532682025353239</v>
      </c>
      <c r="E222" s="2">
        <f t="shared" si="44"/>
        <v>195.38749999999936</v>
      </c>
      <c r="F222" s="2">
        <f t="shared" si="45"/>
        <v>78.553066993815776</v>
      </c>
      <c r="G222" s="2">
        <f t="shared" si="46"/>
        <v>142.7525</v>
      </c>
      <c r="H222" s="2">
        <f t="shared" si="47"/>
        <v>57.038902707362226</v>
      </c>
    </row>
    <row r="223" spans="2:10" hidden="1" x14ac:dyDescent="0.25">
      <c r="B223" s="2">
        <v>136</v>
      </c>
      <c r="C223" s="2">
        <f t="shared" si="42"/>
        <v>179.27799999999996</v>
      </c>
      <c r="D223" s="2">
        <f t="shared" si="43"/>
        <v>75.34249014532935</v>
      </c>
      <c r="E223" s="2">
        <f t="shared" si="44"/>
        <v>188.84799999999905</v>
      </c>
      <c r="F223" s="2">
        <f t="shared" si="45"/>
        <v>78.181819074091038</v>
      </c>
      <c r="G223" s="2">
        <f t="shared" si="46"/>
        <v>142.59299999999999</v>
      </c>
      <c r="H223" s="2">
        <f t="shared" si="47"/>
        <v>57.413782911887296</v>
      </c>
    </row>
    <row r="224" spans="2:10" hidden="1" x14ac:dyDescent="0.25">
      <c r="B224" s="2">
        <v>137</v>
      </c>
      <c r="C224" s="2">
        <f t="shared" si="42"/>
        <v>178.32099999999994</v>
      </c>
      <c r="D224" s="2">
        <f t="shared" si="43"/>
        <v>75.151636265305427</v>
      </c>
      <c r="E224" s="2">
        <f t="shared" si="44"/>
        <v>181.98949999999968</v>
      </c>
      <c r="F224" s="2">
        <f t="shared" si="45"/>
        <v>77.810955154366312</v>
      </c>
      <c r="G224" s="2">
        <f t="shared" si="46"/>
        <v>142.43349999999998</v>
      </c>
      <c r="H224" s="2">
        <f t="shared" si="47"/>
        <v>57.779343116412377</v>
      </c>
    </row>
    <row r="225" spans="2:8" hidden="1" x14ac:dyDescent="0.25">
      <c r="B225" s="2">
        <v>138</v>
      </c>
      <c r="C225" s="2">
        <f t="shared" si="42"/>
        <v>177.36399999999995</v>
      </c>
      <c r="D225" s="2">
        <f t="shared" si="43"/>
        <v>74.960120385281527</v>
      </c>
      <c r="E225" s="2">
        <f t="shared" si="44"/>
        <v>174.8119999999999</v>
      </c>
      <c r="F225" s="2">
        <f t="shared" si="45"/>
        <v>77.440475234641568</v>
      </c>
      <c r="G225" s="2">
        <f t="shared" si="46"/>
        <v>142.274</v>
      </c>
      <c r="H225" s="2">
        <f t="shared" si="47"/>
        <v>58.135583320937499</v>
      </c>
    </row>
    <row r="226" spans="2:8" hidden="1" x14ac:dyDescent="0.25">
      <c r="B226" s="2">
        <v>139</v>
      </c>
      <c r="C226" s="2">
        <f t="shared" si="42"/>
        <v>176.40699999999995</v>
      </c>
      <c r="D226" s="2">
        <f t="shared" si="43"/>
        <v>74.767942505257608</v>
      </c>
      <c r="E226" s="2">
        <f t="shared" si="44"/>
        <v>167.31549999999925</v>
      </c>
      <c r="F226" s="2">
        <f t="shared" si="45"/>
        <v>77.070379314916835</v>
      </c>
      <c r="G226" s="2">
        <f t="shared" si="46"/>
        <v>142.11449999999999</v>
      </c>
      <c r="H226" s="2">
        <f t="shared" si="47"/>
        <v>58.482503525462576</v>
      </c>
    </row>
    <row r="227" spans="2:8" hidden="1" x14ac:dyDescent="0.25">
      <c r="B227" s="2">
        <v>140</v>
      </c>
      <c r="C227" s="2">
        <f t="shared" si="42"/>
        <v>175.44999999999996</v>
      </c>
      <c r="D227" s="2">
        <f t="shared" si="43"/>
        <v>74.575102625233697</v>
      </c>
      <c r="E227" s="2">
        <f t="shared" si="44"/>
        <v>159.49999999999955</v>
      </c>
      <c r="F227" s="2">
        <f t="shared" si="45"/>
        <v>76.700667395192099</v>
      </c>
      <c r="G227" s="2">
        <f t="shared" si="46"/>
        <v>141.95499999999998</v>
      </c>
      <c r="H227" s="2">
        <f t="shared" si="47"/>
        <v>58.820103729987707</v>
      </c>
    </row>
    <row r="228" spans="2:8" hidden="1" x14ac:dyDescent="0.25">
      <c r="B228" s="2">
        <v>141</v>
      </c>
      <c r="C228" s="2">
        <f t="shared" si="42"/>
        <v>174.49299999999997</v>
      </c>
      <c r="D228" s="2">
        <f t="shared" si="43"/>
        <v>74.381600745209781</v>
      </c>
      <c r="E228" s="2">
        <f t="shared" si="44"/>
        <v>151.36549999999943</v>
      </c>
      <c r="F228" s="2">
        <f t="shared" si="45"/>
        <v>76.33133947546736</v>
      </c>
      <c r="G228" s="2">
        <f t="shared" si="46"/>
        <v>141.7955</v>
      </c>
      <c r="H228" s="2">
        <f t="shared" si="47"/>
        <v>59.148383934512779</v>
      </c>
    </row>
    <row r="229" spans="2:8" hidden="1" x14ac:dyDescent="0.25">
      <c r="B229" s="2">
        <v>142</v>
      </c>
      <c r="C229" s="2">
        <f t="shared" si="42"/>
        <v>173.53599999999994</v>
      </c>
      <c r="D229" s="2">
        <f t="shared" si="43"/>
        <v>74.187436865185873</v>
      </c>
      <c r="E229" s="2">
        <f t="shared" si="44"/>
        <v>142.91199999999981</v>
      </c>
      <c r="F229" s="2">
        <f t="shared" si="45"/>
        <v>75.962395555742631</v>
      </c>
      <c r="G229" s="2">
        <f t="shared" si="46"/>
        <v>141.636</v>
      </c>
      <c r="H229" s="2">
        <f t="shared" si="47"/>
        <v>59.467344139037905</v>
      </c>
    </row>
    <row r="230" spans="2:8" hidden="1" x14ac:dyDescent="0.25">
      <c r="B230" s="2">
        <v>143</v>
      </c>
      <c r="C230" s="2">
        <f t="shared" si="42"/>
        <v>172.57899999999995</v>
      </c>
      <c r="D230" s="2">
        <f t="shared" si="43"/>
        <v>73.992610985161974</v>
      </c>
      <c r="E230" s="2">
        <f t="shared" si="44"/>
        <v>134.13949999999932</v>
      </c>
      <c r="F230" s="2">
        <f t="shared" si="45"/>
        <v>75.5938356360179</v>
      </c>
      <c r="G230" s="2">
        <f t="shared" si="46"/>
        <v>141.47649999999999</v>
      </c>
      <c r="H230" s="2">
        <f t="shared" si="47"/>
        <v>59.776984343562987</v>
      </c>
    </row>
    <row r="231" spans="2:8" hidden="1" x14ac:dyDescent="0.25">
      <c r="B231" s="2">
        <v>144</v>
      </c>
      <c r="C231" s="2">
        <f t="shared" si="42"/>
        <v>171.62199999999996</v>
      </c>
      <c r="D231" s="2">
        <f t="shared" si="43"/>
        <v>73.79712310513807</v>
      </c>
      <c r="E231" s="2">
        <f t="shared" si="44"/>
        <v>125.04799999999932</v>
      </c>
      <c r="F231" s="2">
        <f t="shared" si="45"/>
        <v>75.225659716293166</v>
      </c>
      <c r="G231" s="2">
        <f t="shared" si="46"/>
        <v>141.31700000000001</v>
      </c>
      <c r="H231" s="2">
        <f t="shared" si="47"/>
        <v>60.077304548088108</v>
      </c>
    </row>
    <row r="232" spans="2:8" hidden="1" x14ac:dyDescent="0.25">
      <c r="B232" s="2">
        <v>145</v>
      </c>
      <c r="C232" s="2">
        <f t="shared" si="42"/>
        <v>170.66499999999996</v>
      </c>
      <c r="D232" s="2">
        <f t="shared" si="43"/>
        <v>73.600973225114146</v>
      </c>
      <c r="E232" s="2">
        <f t="shared" si="44"/>
        <v>115.63749999999891</v>
      </c>
      <c r="F232" s="2">
        <f t="shared" si="45"/>
        <v>74.857867796568428</v>
      </c>
      <c r="G232" s="2">
        <f t="shared" si="46"/>
        <v>141.1575</v>
      </c>
      <c r="H232" s="2">
        <f t="shared" si="47"/>
        <v>60.368304752613184</v>
      </c>
    </row>
    <row r="233" spans="2:8" hidden="1" x14ac:dyDescent="0.25">
      <c r="B233" s="2">
        <v>146</v>
      </c>
      <c r="C233" s="2">
        <f t="shared" si="42"/>
        <v>169.70799999999994</v>
      </c>
      <c r="D233" s="2">
        <f t="shared" si="43"/>
        <v>73.404161345090245</v>
      </c>
      <c r="E233" s="2">
        <f t="shared" si="44"/>
        <v>105.90799999999945</v>
      </c>
      <c r="F233" s="2">
        <f t="shared" si="45"/>
        <v>74.490459876843687</v>
      </c>
      <c r="G233" s="2">
        <f t="shared" si="46"/>
        <v>140.99799999999999</v>
      </c>
      <c r="H233" s="2">
        <f t="shared" si="47"/>
        <v>60.649984957138315</v>
      </c>
    </row>
    <row r="234" spans="2:8" hidden="1" x14ac:dyDescent="0.25">
      <c r="B234" s="2">
        <v>147</v>
      </c>
      <c r="C234" s="2">
        <f t="shared" si="42"/>
        <v>168.75099999999995</v>
      </c>
      <c r="D234" s="2">
        <f t="shared" si="43"/>
        <v>73.206687465066324</v>
      </c>
      <c r="E234" s="2">
        <f t="shared" si="44"/>
        <v>95.859500000000025</v>
      </c>
      <c r="F234" s="2">
        <f t="shared" si="45"/>
        <v>74.123435957118957</v>
      </c>
      <c r="G234" s="2">
        <f t="shared" si="46"/>
        <v>140.83850000000001</v>
      </c>
      <c r="H234" s="2">
        <f t="shared" si="47"/>
        <v>60.922345161663387</v>
      </c>
    </row>
    <row r="235" spans="2:8" hidden="1" x14ac:dyDescent="0.25">
      <c r="B235" s="2">
        <v>148</v>
      </c>
      <c r="C235" s="2">
        <f t="shared" si="42"/>
        <v>167.79399999999995</v>
      </c>
      <c r="D235" s="2">
        <f t="shared" si="43"/>
        <v>73.008551585042412</v>
      </c>
      <c r="E235" s="2">
        <f t="shared" si="44"/>
        <v>85.49199999999928</v>
      </c>
      <c r="F235" s="2">
        <f t="shared" si="45"/>
        <v>73.756796037394224</v>
      </c>
      <c r="G235" s="2">
        <f t="shared" si="46"/>
        <v>140.679</v>
      </c>
      <c r="H235" s="2">
        <f t="shared" si="47"/>
        <v>61.185385366188513</v>
      </c>
    </row>
    <row r="236" spans="2:8" hidden="1" x14ac:dyDescent="0.25">
      <c r="B236" s="2">
        <v>149</v>
      </c>
      <c r="C236" s="2">
        <f t="shared" si="42"/>
        <v>166.83699999999996</v>
      </c>
      <c r="D236" s="2">
        <f t="shared" si="43"/>
        <v>72.809753705018508</v>
      </c>
      <c r="E236" s="2">
        <f t="shared" si="44"/>
        <v>74.805499999999938</v>
      </c>
      <c r="F236" s="2">
        <f t="shared" si="45"/>
        <v>73.390540117669488</v>
      </c>
      <c r="G236" s="2">
        <f t="shared" si="46"/>
        <v>140.51949999999999</v>
      </c>
      <c r="H236" s="2">
        <f t="shared" si="47"/>
        <v>61.439105570713593</v>
      </c>
    </row>
    <row r="237" spans="2:8" hidden="1" x14ac:dyDescent="0.25">
      <c r="B237" s="2">
        <v>150</v>
      </c>
      <c r="C237" s="2">
        <f t="shared" si="42"/>
        <v>165.87999999999997</v>
      </c>
      <c r="D237" s="2">
        <f t="shared" si="43"/>
        <v>72.610293824994599</v>
      </c>
      <c r="E237" s="2">
        <f t="shared" si="44"/>
        <v>63.799999999999272</v>
      </c>
      <c r="F237" s="2">
        <f t="shared" si="45"/>
        <v>73.024668197944749</v>
      </c>
      <c r="G237" s="2">
        <f t="shared" si="46"/>
        <v>140.35999999999999</v>
      </c>
      <c r="H237" s="2">
        <f t="shared" si="47"/>
        <v>61.683505775238714</v>
      </c>
    </row>
    <row r="238" spans="2:8" hidden="1" x14ac:dyDescent="0.25">
      <c r="B238" s="2">
        <v>151</v>
      </c>
      <c r="C238" s="2">
        <f t="shared" si="42"/>
        <v>164.92299999999994</v>
      </c>
      <c r="D238" s="2">
        <f t="shared" si="43"/>
        <v>72.410171944970699</v>
      </c>
      <c r="E238" s="2">
        <f t="shared" si="44"/>
        <v>52.475499999999556</v>
      </c>
      <c r="F238" s="2">
        <f t="shared" si="45"/>
        <v>72.65918027822002</v>
      </c>
      <c r="G238" s="2">
        <f t="shared" si="46"/>
        <v>140.20050000000001</v>
      </c>
      <c r="H238" s="2">
        <f t="shared" si="47"/>
        <v>61.91858597976379</v>
      </c>
    </row>
    <row r="239" spans="2:8" hidden="1" x14ac:dyDescent="0.25">
      <c r="B239" s="2">
        <v>152</v>
      </c>
      <c r="C239" s="2">
        <f t="shared" si="42"/>
        <v>163.96599999999995</v>
      </c>
      <c r="D239" s="2">
        <f t="shared" si="43"/>
        <v>72.209388064946779</v>
      </c>
      <c r="E239" s="2">
        <f t="shared" si="44"/>
        <v>40.83199999999897</v>
      </c>
      <c r="F239" s="2">
        <f t="shared" si="45"/>
        <v>72.294076358495275</v>
      </c>
      <c r="G239" s="2">
        <f t="shared" si="46"/>
        <v>140.041</v>
      </c>
      <c r="H239" s="2">
        <f t="shared" si="47"/>
        <v>62.144346184288864</v>
      </c>
    </row>
    <row r="240" spans="2:8" hidden="1" x14ac:dyDescent="0.25">
      <c r="B240" s="2">
        <v>153</v>
      </c>
      <c r="C240" s="2">
        <f t="shared" si="42"/>
        <v>163.00899999999996</v>
      </c>
      <c r="D240" s="2">
        <f t="shared" si="43"/>
        <v>72.007942184922868</v>
      </c>
      <c r="E240" s="2">
        <f t="shared" si="44"/>
        <v>28.869499999999334</v>
      </c>
      <c r="F240" s="2">
        <f t="shared" si="45"/>
        <v>71.92935643877054</v>
      </c>
      <c r="G240" s="2">
        <f t="shared" si="46"/>
        <v>139.88149999999999</v>
      </c>
      <c r="H240" s="2">
        <f t="shared" si="47"/>
        <v>62.360786388813992</v>
      </c>
    </row>
    <row r="241" spans="2:8" hidden="1" x14ac:dyDescent="0.25">
      <c r="B241" s="2">
        <v>154</v>
      </c>
      <c r="C241" s="2">
        <f t="shared" si="42"/>
        <v>162.05199999999996</v>
      </c>
      <c r="D241" s="2">
        <f t="shared" si="43"/>
        <v>71.805834304898951</v>
      </c>
      <c r="E241" s="2">
        <f t="shared" si="44"/>
        <v>16.587999999998829</v>
      </c>
      <c r="F241" s="2">
        <f t="shared" si="45"/>
        <v>71.565020519045802</v>
      </c>
      <c r="G241" s="2">
        <f t="shared" si="46"/>
        <v>139.72200000000001</v>
      </c>
      <c r="H241" s="2">
        <f t="shared" si="47"/>
        <v>62.567906593339075</v>
      </c>
    </row>
    <row r="242" spans="2:8" hidden="1" x14ac:dyDescent="0.25">
      <c r="B242" s="2">
        <v>155</v>
      </c>
      <c r="C242" s="2">
        <f t="shared" si="42"/>
        <v>161.09499999999994</v>
      </c>
      <c r="D242" s="2">
        <f t="shared" si="43"/>
        <v>71.603064424875058</v>
      </c>
      <c r="E242" s="2">
        <f t="shared" si="44"/>
        <v>3.9874999999992724</v>
      </c>
      <c r="F242" s="2">
        <f t="shared" si="45"/>
        <v>71.201068599321076</v>
      </c>
      <c r="G242" s="2">
        <f t="shared" si="46"/>
        <v>139.5625</v>
      </c>
      <c r="H242" s="2">
        <f t="shared" si="47"/>
        <v>62.765706797864198</v>
      </c>
    </row>
    <row r="243" spans="2:8" hidden="1" x14ac:dyDescent="0.25">
      <c r="B243" s="2">
        <v>156</v>
      </c>
      <c r="C243" s="2">
        <f t="shared" si="42"/>
        <v>160.13799999999995</v>
      </c>
      <c r="D243" s="2">
        <f t="shared" si="43"/>
        <v>71.399632544851144</v>
      </c>
      <c r="E243" s="2">
        <f t="shared" si="44"/>
        <v>-8.9320000000002437</v>
      </c>
      <c r="F243" s="2">
        <f t="shared" si="45"/>
        <v>70.837500679596332</v>
      </c>
      <c r="G243" s="2">
        <f t="shared" si="46"/>
        <v>139.40299999999999</v>
      </c>
      <c r="H243" s="2">
        <f t="shared" si="47"/>
        <v>62.954187002389276</v>
      </c>
    </row>
    <row r="244" spans="2:8" hidden="1" x14ac:dyDescent="0.25">
      <c r="B244" s="2">
        <v>157</v>
      </c>
      <c r="C244" s="2">
        <f t="shared" si="42"/>
        <v>159.18099999999995</v>
      </c>
      <c r="D244" s="2">
        <f t="shared" si="43"/>
        <v>71.195538664827239</v>
      </c>
      <c r="E244" s="2">
        <f t="shared" si="44"/>
        <v>-22.170500000000629</v>
      </c>
      <c r="F244" s="2">
        <f t="shared" si="45"/>
        <v>70.474316759871598</v>
      </c>
      <c r="G244" s="2">
        <f t="shared" si="46"/>
        <v>139.24349999999998</v>
      </c>
      <c r="H244" s="2">
        <f t="shared" si="47"/>
        <v>63.133347206914408</v>
      </c>
    </row>
    <row r="245" spans="2:8" hidden="1" x14ac:dyDescent="0.25">
      <c r="B245" s="2">
        <v>158</v>
      </c>
      <c r="C245" s="2">
        <f t="shared" si="42"/>
        <v>158.22399999999996</v>
      </c>
      <c r="D245" s="2">
        <f t="shared" si="43"/>
        <v>70.990782784803315</v>
      </c>
      <c r="E245" s="2">
        <f t="shared" si="44"/>
        <v>-35.72800000000052</v>
      </c>
      <c r="F245" s="2">
        <f t="shared" si="45"/>
        <v>70.111516840146862</v>
      </c>
      <c r="G245" s="2">
        <f t="shared" si="46"/>
        <v>139.084</v>
      </c>
      <c r="H245" s="2">
        <f t="shared" si="47"/>
        <v>63.303187411439481</v>
      </c>
    </row>
    <row r="246" spans="2:8" hidden="1" x14ac:dyDescent="0.25">
      <c r="B246" s="2">
        <v>159</v>
      </c>
      <c r="C246" s="2">
        <f t="shared" si="42"/>
        <v>157.26699999999997</v>
      </c>
      <c r="D246" s="2">
        <f t="shared" si="43"/>
        <v>70.785364904779414</v>
      </c>
      <c r="E246" s="2">
        <f t="shared" si="44"/>
        <v>-49.604500000000826</v>
      </c>
      <c r="F246" s="2">
        <f t="shared" si="45"/>
        <v>69.749100920422137</v>
      </c>
      <c r="G246" s="2">
        <f t="shared" si="46"/>
        <v>138.92449999999999</v>
      </c>
      <c r="H246" s="2">
        <f t="shared" si="47"/>
        <v>63.463707615964609</v>
      </c>
    </row>
    <row r="247" spans="2:8" hidden="1" x14ac:dyDescent="0.25">
      <c r="B247" s="2">
        <v>160</v>
      </c>
      <c r="C247" s="2">
        <f t="shared" si="42"/>
        <v>156.30999999999995</v>
      </c>
      <c r="D247" s="2">
        <f t="shared" si="43"/>
        <v>70.579285024755492</v>
      </c>
      <c r="E247" s="2">
        <f t="shared" si="44"/>
        <v>-63.800000000000637</v>
      </c>
      <c r="F247" s="2">
        <f t="shared" si="45"/>
        <v>69.387069000697394</v>
      </c>
      <c r="G247" s="2">
        <f t="shared" si="46"/>
        <v>138.76499999999999</v>
      </c>
      <c r="H247" s="2">
        <f t="shared" si="47"/>
        <v>63.614907820489677</v>
      </c>
    </row>
    <row r="248" spans="2:8" hidden="1" x14ac:dyDescent="0.25">
      <c r="B248" s="2">
        <v>161</v>
      </c>
      <c r="C248" s="2">
        <f t="shared" si="42"/>
        <v>155.35299999999995</v>
      </c>
      <c r="D248" s="2">
        <f t="shared" si="43"/>
        <v>70.37254314473158</v>
      </c>
      <c r="E248" s="2">
        <f t="shared" si="44"/>
        <v>-78.314500000001317</v>
      </c>
      <c r="F248" s="2">
        <f t="shared" si="45"/>
        <v>69.025421080972663</v>
      </c>
      <c r="G248" s="2">
        <f t="shared" si="46"/>
        <v>138.60550000000001</v>
      </c>
      <c r="H248" s="2">
        <f t="shared" si="47"/>
        <v>63.756788025014757</v>
      </c>
    </row>
    <row r="249" spans="2:8" hidden="1" x14ac:dyDescent="0.25">
      <c r="B249" s="2">
        <v>162</v>
      </c>
      <c r="C249" s="2">
        <f t="shared" si="42"/>
        <v>154.39599999999996</v>
      </c>
      <c r="D249" s="2">
        <f t="shared" si="43"/>
        <v>70.16513926470769</v>
      </c>
      <c r="E249" s="2">
        <f t="shared" si="44"/>
        <v>-93.148000000000138</v>
      </c>
      <c r="F249" s="2">
        <f t="shared" si="45"/>
        <v>68.664157161247928</v>
      </c>
      <c r="G249" s="2">
        <f t="shared" si="46"/>
        <v>138.446</v>
      </c>
      <c r="H249" s="2">
        <f t="shared" si="47"/>
        <v>63.889348229539891</v>
      </c>
    </row>
    <row r="250" spans="2:8" hidden="1" x14ac:dyDescent="0.25">
      <c r="B250" s="2">
        <v>163</v>
      </c>
      <c r="C250" s="2">
        <f t="shared" si="42"/>
        <v>153.43899999999996</v>
      </c>
      <c r="D250" s="2">
        <f t="shared" si="43"/>
        <v>69.957073384683781</v>
      </c>
      <c r="E250" s="2">
        <f t="shared" si="44"/>
        <v>-108.30050000000119</v>
      </c>
      <c r="F250" s="2">
        <f t="shared" si="45"/>
        <v>68.30327724152319</v>
      </c>
      <c r="G250" s="2">
        <f t="shared" si="46"/>
        <v>138.28649999999999</v>
      </c>
      <c r="H250" s="2">
        <f t="shared" si="47"/>
        <v>64.012588434064952</v>
      </c>
    </row>
    <row r="251" spans="2:8" hidden="1" x14ac:dyDescent="0.25">
      <c r="B251" s="2">
        <v>164</v>
      </c>
      <c r="C251" s="2">
        <f t="shared" si="42"/>
        <v>152.48199999999994</v>
      </c>
      <c r="D251" s="2">
        <f t="shared" si="43"/>
        <v>69.748345504659866</v>
      </c>
      <c r="E251" s="2">
        <f t="shared" si="44"/>
        <v>-123.77200000000084</v>
      </c>
      <c r="F251" s="2">
        <f t="shared" si="45"/>
        <v>67.942781321798464</v>
      </c>
      <c r="G251" s="2">
        <f t="shared" si="46"/>
        <v>138.12700000000001</v>
      </c>
      <c r="H251" s="2">
        <f t="shared" si="47"/>
        <v>64.126508638590082</v>
      </c>
    </row>
    <row r="252" spans="2:8" hidden="1" x14ac:dyDescent="0.25">
      <c r="B252" s="2">
        <v>165</v>
      </c>
      <c r="C252" s="2">
        <f t="shared" si="42"/>
        <v>151.52499999999995</v>
      </c>
      <c r="D252" s="2">
        <f t="shared" si="43"/>
        <v>69.538955624635946</v>
      </c>
      <c r="E252" s="2">
        <f t="shared" si="44"/>
        <v>-139.5625</v>
      </c>
      <c r="F252" s="2">
        <f t="shared" si="45"/>
        <v>67.582669402073719</v>
      </c>
      <c r="G252" s="2">
        <f t="shared" si="46"/>
        <v>137.9675</v>
      </c>
      <c r="H252" s="2">
        <f t="shared" si="47"/>
        <v>64.231108843115166</v>
      </c>
    </row>
    <row r="253" spans="2:8" hidden="1" x14ac:dyDescent="0.25">
      <c r="B253" s="2">
        <v>166</v>
      </c>
      <c r="C253" s="2">
        <f t="shared" si="42"/>
        <v>150.56799999999996</v>
      </c>
      <c r="D253" s="2">
        <f t="shared" si="43"/>
        <v>69.328903744612035</v>
      </c>
      <c r="E253" s="2">
        <f t="shared" si="44"/>
        <v>-155.67200000000048</v>
      </c>
      <c r="F253" s="2">
        <f t="shared" si="45"/>
        <v>67.222941482348986</v>
      </c>
      <c r="G253" s="2">
        <f t="shared" si="46"/>
        <v>137.80799999999999</v>
      </c>
      <c r="H253" s="2">
        <f t="shared" si="47"/>
        <v>64.326389047640305</v>
      </c>
    </row>
    <row r="254" spans="2:8" hidden="1" x14ac:dyDescent="0.25">
      <c r="B254" s="2">
        <v>167</v>
      </c>
      <c r="C254" s="2">
        <f t="shared" si="42"/>
        <v>149.61099999999996</v>
      </c>
      <c r="D254" s="2">
        <f t="shared" si="43"/>
        <v>69.118189864588118</v>
      </c>
      <c r="E254" s="2">
        <f t="shared" si="44"/>
        <v>-172.10050000000047</v>
      </c>
      <c r="F254" s="2">
        <f t="shared" si="45"/>
        <v>66.86359756262425</v>
      </c>
      <c r="G254" s="2">
        <f t="shared" si="46"/>
        <v>137.64849999999998</v>
      </c>
      <c r="H254" s="2">
        <f t="shared" si="47"/>
        <v>64.41234925216537</v>
      </c>
    </row>
    <row r="255" spans="2:8" hidden="1" x14ac:dyDescent="0.25">
      <c r="B255" s="2">
        <v>168</v>
      </c>
      <c r="C255" s="2">
        <f t="shared" si="42"/>
        <v>148.65399999999997</v>
      </c>
      <c r="D255" s="2">
        <f t="shared" si="43"/>
        <v>68.906813984564209</v>
      </c>
      <c r="E255" s="2">
        <f t="shared" si="44"/>
        <v>-188.84800000000087</v>
      </c>
      <c r="F255" s="2">
        <f t="shared" si="45"/>
        <v>66.504637642899525</v>
      </c>
      <c r="G255" s="2">
        <f t="shared" si="46"/>
        <v>137.489</v>
      </c>
      <c r="H255" s="2">
        <f t="shared" si="47"/>
        <v>64.48898945669049</v>
      </c>
    </row>
    <row r="256" spans="2:8" hidden="1" x14ac:dyDescent="0.25">
      <c r="B256" s="2">
        <v>169</v>
      </c>
      <c r="C256" s="2">
        <f t="shared" si="42"/>
        <v>147.69699999999995</v>
      </c>
      <c r="D256" s="2">
        <f t="shared" si="43"/>
        <v>68.69477610454031</v>
      </c>
      <c r="E256" s="2">
        <f t="shared" si="44"/>
        <v>-205.91450000000077</v>
      </c>
      <c r="F256" s="2">
        <f t="shared" si="45"/>
        <v>66.146061723174782</v>
      </c>
      <c r="G256" s="2">
        <f t="shared" si="46"/>
        <v>137.3295</v>
      </c>
      <c r="H256" s="2">
        <f t="shared" si="47"/>
        <v>64.556309661215579</v>
      </c>
    </row>
    <row r="257" spans="2:10" hidden="1" x14ac:dyDescent="0.25">
      <c r="B257" s="2">
        <v>170</v>
      </c>
      <c r="C257" s="2">
        <f t="shared" si="42"/>
        <v>146.73999999999995</v>
      </c>
      <c r="D257" s="2">
        <f t="shared" si="43"/>
        <v>68.482076224516405</v>
      </c>
      <c r="E257" s="2">
        <f t="shared" si="44"/>
        <v>-223.30000000000109</v>
      </c>
      <c r="F257" s="2">
        <f t="shared" si="45"/>
        <v>65.78786980345005</v>
      </c>
      <c r="G257" s="2">
        <f t="shared" si="46"/>
        <v>137.16999999999999</v>
      </c>
      <c r="H257" s="2">
        <f t="shared" si="47"/>
        <v>64.614309865740694</v>
      </c>
      <c r="J257" s="2" t="s">
        <v>132</v>
      </c>
    </row>
    <row r="258" spans="2:10" hidden="1" x14ac:dyDescent="0.25">
      <c r="B258" s="2">
        <v>171</v>
      </c>
      <c r="C258" s="2">
        <f t="shared" si="42"/>
        <v>145.78299999999996</v>
      </c>
      <c r="D258" s="2">
        <f t="shared" si="43"/>
        <v>68.268714344492494</v>
      </c>
      <c r="E258" s="2">
        <f t="shared" si="44"/>
        <v>-241.00450000000092</v>
      </c>
      <c r="F258" s="2">
        <f t="shared" si="45"/>
        <v>65.430061883725315</v>
      </c>
      <c r="G258" s="2">
        <f t="shared" si="46"/>
        <v>137.01050000000001</v>
      </c>
      <c r="H258" s="2">
        <f t="shared" si="47"/>
        <v>64.662990070265778</v>
      </c>
    </row>
    <row r="259" spans="2:10" hidden="1" x14ac:dyDescent="0.25">
      <c r="B259" s="2">
        <v>172</v>
      </c>
      <c r="C259" s="2">
        <f t="shared" si="42"/>
        <v>144.82599999999996</v>
      </c>
      <c r="D259" s="2">
        <f t="shared" si="43"/>
        <v>68.054690464468578</v>
      </c>
      <c r="E259" s="2">
        <f t="shared" si="44"/>
        <v>-259.02800000000116</v>
      </c>
      <c r="F259" s="2">
        <f t="shared" si="45"/>
        <v>65.072637964000577</v>
      </c>
      <c r="G259" s="2">
        <f t="shared" si="46"/>
        <v>136.851</v>
      </c>
      <c r="H259" s="2">
        <f t="shared" si="47"/>
        <v>64.702350274790888</v>
      </c>
    </row>
    <row r="260" spans="2:10" hidden="1" x14ac:dyDescent="0.25">
      <c r="B260" s="2">
        <v>173</v>
      </c>
      <c r="C260" s="2">
        <f t="shared" si="42"/>
        <v>143.86899999999994</v>
      </c>
      <c r="D260" s="2">
        <f t="shared" si="43"/>
        <v>67.840004584444671</v>
      </c>
      <c r="E260" s="2">
        <f t="shared" si="44"/>
        <v>-277.3705000000009</v>
      </c>
      <c r="F260" s="2">
        <f t="shared" si="45"/>
        <v>64.71559804427585</v>
      </c>
      <c r="G260" s="2">
        <f t="shared" si="46"/>
        <v>136.69149999999999</v>
      </c>
      <c r="H260" s="2">
        <f t="shared" si="47"/>
        <v>64.732390479315967</v>
      </c>
    </row>
    <row r="261" spans="2:10" hidden="1" x14ac:dyDescent="0.25">
      <c r="B261" s="2">
        <v>174</v>
      </c>
      <c r="C261" s="2">
        <f t="shared" si="42"/>
        <v>142.91199999999995</v>
      </c>
      <c r="D261" s="2">
        <f t="shared" si="43"/>
        <v>67.624656704420758</v>
      </c>
      <c r="E261" s="2">
        <f t="shared" si="44"/>
        <v>-296.03200000000015</v>
      </c>
      <c r="F261" s="2">
        <f t="shared" si="45"/>
        <v>64.358942124551106</v>
      </c>
      <c r="G261" s="2">
        <f t="shared" si="46"/>
        <v>136.53199999999998</v>
      </c>
      <c r="H261" s="2">
        <f t="shared" si="47"/>
        <v>64.753110683841101</v>
      </c>
    </row>
    <row r="262" spans="2:10" hidden="1" x14ac:dyDescent="0.25">
      <c r="B262" s="2">
        <v>175</v>
      </c>
      <c r="C262" s="2">
        <f t="shared" si="42"/>
        <v>141.95499999999996</v>
      </c>
      <c r="D262" s="2">
        <f t="shared" si="43"/>
        <v>67.40864682439684</v>
      </c>
      <c r="E262" s="2">
        <f t="shared" si="44"/>
        <v>-315.01250000000073</v>
      </c>
      <c r="F262" s="2">
        <f t="shared" si="45"/>
        <v>64.002670204826373</v>
      </c>
      <c r="G262" s="2">
        <f t="shared" si="46"/>
        <v>136.3725</v>
      </c>
      <c r="H262" s="2">
        <f t="shared" si="47"/>
        <v>64.764510888366175</v>
      </c>
    </row>
    <row r="263" spans="2:10" hidden="1" x14ac:dyDescent="0.25">
      <c r="B263" s="2">
        <v>176</v>
      </c>
      <c r="C263" s="2">
        <f t="shared" si="42"/>
        <v>140.99799999999996</v>
      </c>
      <c r="D263" s="2">
        <f t="shared" si="43"/>
        <v>67.191974944372944</v>
      </c>
      <c r="E263" s="2">
        <f t="shared" si="44"/>
        <v>-334.31200000000081</v>
      </c>
      <c r="F263" s="2">
        <f t="shared" si="45"/>
        <v>63.646782285101629</v>
      </c>
      <c r="G263" s="2">
        <f t="shared" si="46"/>
        <v>136.21299999999999</v>
      </c>
      <c r="H263" s="2">
        <f t="shared" si="47"/>
        <v>64.766591092891247</v>
      </c>
    </row>
    <row r="264" spans="2:10" hidden="1" x14ac:dyDescent="0.25">
      <c r="B264" s="2">
        <v>177</v>
      </c>
      <c r="C264" s="2">
        <f t="shared" si="42"/>
        <v>140.04099999999997</v>
      </c>
      <c r="D264" s="2">
        <f t="shared" si="43"/>
        <v>66.974641064349029</v>
      </c>
      <c r="E264" s="2">
        <f t="shared" si="44"/>
        <v>-353.9305000000013</v>
      </c>
      <c r="F264" s="2">
        <f t="shared" si="45"/>
        <v>63.291278365376897</v>
      </c>
      <c r="G264" s="2">
        <f t="shared" si="46"/>
        <v>136.05349999999999</v>
      </c>
      <c r="H264" s="2">
        <f t="shared" si="47"/>
        <v>64.759351297416373</v>
      </c>
    </row>
    <row r="265" spans="2:10" hidden="1" x14ac:dyDescent="0.25">
      <c r="B265" s="2">
        <v>178</v>
      </c>
      <c r="C265" s="2">
        <f t="shared" si="42"/>
        <v>139.08399999999995</v>
      </c>
      <c r="D265" s="2">
        <f t="shared" si="43"/>
        <v>66.756645184325123</v>
      </c>
      <c r="E265" s="2">
        <f t="shared" si="44"/>
        <v>-373.86800000000039</v>
      </c>
      <c r="F265" s="2">
        <f t="shared" si="45"/>
        <v>62.936158445652161</v>
      </c>
      <c r="G265" s="2">
        <f t="shared" si="46"/>
        <v>135.89400000000001</v>
      </c>
      <c r="H265" s="2">
        <f t="shared" si="47"/>
        <v>64.742791501941468</v>
      </c>
    </row>
    <row r="266" spans="2:10" hidden="1" x14ac:dyDescent="0.25">
      <c r="B266" s="2">
        <v>179</v>
      </c>
      <c r="C266" s="2">
        <f t="shared" si="42"/>
        <v>138.12699999999995</v>
      </c>
      <c r="D266" s="2">
        <f t="shared" si="43"/>
        <v>66.537987304301211</v>
      </c>
      <c r="E266" s="2">
        <f t="shared" si="44"/>
        <v>-394.12450000000081</v>
      </c>
      <c r="F266" s="2">
        <f t="shared" si="45"/>
        <v>62.581422525927422</v>
      </c>
      <c r="G266" s="2">
        <f t="shared" si="46"/>
        <v>135.7345</v>
      </c>
      <c r="H266" s="2">
        <f t="shared" si="47"/>
        <v>64.71691170646659</v>
      </c>
    </row>
    <row r="267" spans="2:10" hidden="1" x14ac:dyDescent="0.25">
      <c r="B267" s="2">
        <v>180</v>
      </c>
      <c r="C267" s="2">
        <f t="shared" si="42"/>
        <v>137.16999999999996</v>
      </c>
      <c r="D267" s="2">
        <f t="shared" si="43"/>
        <v>66.318667424277294</v>
      </c>
      <c r="E267" s="2">
        <f t="shared" si="44"/>
        <v>-414.70000000000073</v>
      </c>
      <c r="F267" s="2">
        <f t="shared" si="45"/>
        <v>62.227070606202687</v>
      </c>
      <c r="G267" s="2">
        <f t="shared" si="46"/>
        <v>135.57499999999999</v>
      </c>
      <c r="H267" s="2">
        <f t="shared" si="47"/>
        <v>64.681711910991652</v>
      </c>
    </row>
    <row r="268" spans="2:10" hidden="1" x14ac:dyDescent="0.25">
      <c r="B268" s="2">
        <v>181</v>
      </c>
      <c r="C268" s="2">
        <f t="shared" si="42"/>
        <v>136.21299999999997</v>
      </c>
      <c r="D268" s="2">
        <f t="shared" si="43"/>
        <v>66.098685544253399</v>
      </c>
      <c r="E268" s="2">
        <f t="shared" si="44"/>
        <v>-435.59450000000106</v>
      </c>
      <c r="F268" s="2">
        <f t="shared" si="45"/>
        <v>61.873102686477957</v>
      </c>
      <c r="G268" s="2">
        <f t="shared" si="46"/>
        <v>135.41550000000001</v>
      </c>
      <c r="H268" s="2">
        <f t="shared" si="47"/>
        <v>64.637192115516797</v>
      </c>
    </row>
    <row r="269" spans="2:10" hidden="1" x14ac:dyDescent="0.25">
      <c r="B269" s="2">
        <v>182</v>
      </c>
      <c r="C269" s="2">
        <f t="shared" si="42"/>
        <v>135.25599999999994</v>
      </c>
      <c r="D269" s="2">
        <f t="shared" si="43"/>
        <v>65.878041664229471</v>
      </c>
      <c r="E269" s="2">
        <f t="shared" si="44"/>
        <v>-456.8080000000009</v>
      </c>
      <c r="F269" s="2">
        <f t="shared" si="45"/>
        <v>61.519518766753222</v>
      </c>
      <c r="G269" s="2">
        <f t="shared" si="46"/>
        <v>135.256</v>
      </c>
      <c r="H269" s="2">
        <f t="shared" si="47"/>
        <v>64.583352320041854</v>
      </c>
    </row>
    <row r="270" spans="2:10" hidden="1" x14ac:dyDescent="0.25">
      <c r="B270" s="2">
        <v>183</v>
      </c>
      <c r="C270" s="2">
        <f t="shared" si="42"/>
        <v>134.29899999999995</v>
      </c>
      <c r="D270" s="2">
        <f t="shared" si="43"/>
        <v>65.65673578420558</v>
      </c>
      <c r="E270" s="2">
        <f t="shared" si="44"/>
        <v>-478.34050000000025</v>
      </c>
      <c r="F270" s="2">
        <f t="shared" si="45"/>
        <v>61.166318847028485</v>
      </c>
      <c r="G270" s="2">
        <f t="shared" si="46"/>
        <v>135.09649999999999</v>
      </c>
      <c r="H270" s="2">
        <f t="shared" si="47"/>
        <v>64.520192524566994</v>
      </c>
      <c r="J270" s="2" t="s">
        <v>133</v>
      </c>
    </row>
    <row r="271" spans="2:10" hidden="1" x14ac:dyDescent="0.25">
      <c r="B271" s="2">
        <v>184</v>
      </c>
      <c r="C271" s="2">
        <f t="shared" si="42"/>
        <v>133.34199999999996</v>
      </c>
      <c r="D271" s="2">
        <f t="shared" si="43"/>
        <v>65.434767904181655</v>
      </c>
      <c r="E271" s="2">
        <f t="shared" si="44"/>
        <v>-500.19200000000092</v>
      </c>
      <c r="F271" s="2">
        <f t="shared" si="45"/>
        <v>60.813502927303752</v>
      </c>
      <c r="G271" s="2">
        <f t="shared" si="46"/>
        <v>134.93700000000001</v>
      </c>
      <c r="H271" s="2">
        <f t="shared" si="47"/>
        <v>64.447712729092075</v>
      </c>
    </row>
    <row r="272" spans="2:10" hidden="1" x14ac:dyDescent="0.25">
      <c r="B272" s="2">
        <v>185</v>
      </c>
      <c r="C272" s="2">
        <f t="shared" si="42"/>
        <v>132.38499999999996</v>
      </c>
      <c r="D272" s="2">
        <f t="shared" si="43"/>
        <v>65.212138024157753</v>
      </c>
      <c r="E272" s="2">
        <f t="shared" si="44"/>
        <v>-522.36250000000018</v>
      </c>
      <c r="F272" s="2">
        <f t="shared" si="45"/>
        <v>60.461071007579015</v>
      </c>
      <c r="G272" s="2">
        <f t="shared" si="46"/>
        <v>134.7775</v>
      </c>
      <c r="H272" s="2">
        <f t="shared" si="47"/>
        <v>64.365912933617182</v>
      </c>
    </row>
    <row r="273" spans="2:10" hidden="1" x14ac:dyDescent="0.25">
      <c r="B273" s="2">
        <v>186</v>
      </c>
      <c r="C273" s="2">
        <f t="shared" si="42"/>
        <v>131.42799999999997</v>
      </c>
      <c r="D273" s="2">
        <f t="shared" si="43"/>
        <v>64.988846144133845</v>
      </c>
      <c r="E273" s="2">
        <f t="shared" si="44"/>
        <v>-544.85200000000077</v>
      </c>
      <c r="F273" s="2">
        <f t="shared" si="45"/>
        <v>60.109023087854283</v>
      </c>
      <c r="G273" s="2">
        <f t="shared" si="46"/>
        <v>134.61799999999999</v>
      </c>
      <c r="H273" s="2">
        <f t="shared" si="47"/>
        <v>64.274793138142257</v>
      </c>
    </row>
    <row r="274" spans="2:10" hidden="1" x14ac:dyDescent="0.25">
      <c r="B274" s="2">
        <v>187</v>
      </c>
      <c r="C274" s="2">
        <f t="shared" si="42"/>
        <v>130.47099999999995</v>
      </c>
      <c r="D274" s="2">
        <f t="shared" si="43"/>
        <v>64.764892264109932</v>
      </c>
      <c r="E274" s="2">
        <f t="shared" si="44"/>
        <v>-567.66050000000087</v>
      </c>
      <c r="F274" s="2">
        <f t="shared" si="45"/>
        <v>59.757359168129547</v>
      </c>
      <c r="G274" s="2">
        <f t="shared" si="46"/>
        <v>134.45849999999999</v>
      </c>
      <c r="H274" s="2">
        <f t="shared" si="47"/>
        <v>64.174353342667388</v>
      </c>
      <c r="J274" s="2" t="s">
        <v>134</v>
      </c>
    </row>
    <row r="275" spans="2:10" hidden="1" x14ac:dyDescent="0.25">
      <c r="B275" s="2">
        <v>188</v>
      </c>
      <c r="C275" s="2">
        <f t="shared" si="42"/>
        <v>129.51399999999995</v>
      </c>
      <c r="D275" s="2">
        <f t="shared" si="43"/>
        <v>64.540276384086027</v>
      </c>
      <c r="E275" s="2">
        <f t="shared" si="44"/>
        <v>-590.78800000000138</v>
      </c>
      <c r="F275" s="2">
        <f t="shared" si="45"/>
        <v>59.406079248404815</v>
      </c>
      <c r="G275" s="2">
        <f t="shared" si="46"/>
        <v>134.29900000000001</v>
      </c>
      <c r="H275" s="2">
        <f t="shared" si="47"/>
        <v>64.064593547192459</v>
      </c>
    </row>
    <row r="276" spans="2:10" hidden="1" x14ac:dyDescent="0.25">
      <c r="B276" s="2">
        <v>189</v>
      </c>
      <c r="C276" s="2">
        <f t="shared" si="42"/>
        <v>128.55699999999996</v>
      </c>
      <c r="D276" s="2">
        <f t="shared" si="43"/>
        <v>64.314998504062103</v>
      </c>
      <c r="E276" s="2">
        <f t="shared" si="44"/>
        <v>-614.23450000000048</v>
      </c>
      <c r="F276" s="2">
        <f t="shared" si="45"/>
        <v>59.05518332868008</v>
      </c>
      <c r="G276" s="2">
        <f t="shared" si="46"/>
        <v>134.1395</v>
      </c>
      <c r="H276" s="2">
        <f t="shared" si="47"/>
        <v>63.945513751717613</v>
      </c>
    </row>
    <row r="277" spans="2:10" hidden="1" x14ac:dyDescent="0.25">
      <c r="B277" s="2">
        <v>190</v>
      </c>
      <c r="C277" s="2">
        <f t="shared" si="42"/>
        <v>127.59999999999997</v>
      </c>
      <c r="D277" s="2">
        <f t="shared" si="43"/>
        <v>64.089058624038202</v>
      </c>
      <c r="E277" s="2">
        <f t="shared" si="44"/>
        <v>-638.00000000000091</v>
      </c>
      <c r="F277" s="2">
        <f t="shared" si="45"/>
        <v>58.704671408955349</v>
      </c>
      <c r="G277" s="2">
        <f t="shared" si="46"/>
        <v>133.97999999999999</v>
      </c>
      <c r="H277" s="2">
        <f t="shared" si="47"/>
        <v>63.817113956242679</v>
      </c>
    </row>
    <row r="278" spans="2:10" hidden="1" x14ac:dyDescent="0.25">
      <c r="B278" s="2">
        <v>191</v>
      </c>
      <c r="C278" s="2">
        <f t="shared" si="42"/>
        <v>126.64299999999994</v>
      </c>
      <c r="D278" s="2">
        <f t="shared" si="43"/>
        <v>63.862456744014288</v>
      </c>
      <c r="E278" s="2">
        <f t="shared" si="44"/>
        <v>-662.08450000000084</v>
      </c>
      <c r="F278" s="2">
        <f t="shared" si="45"/>
        <v>58.354543489230608</v>
      </c>
      <c r="G278" s="2">
        <f t="shared" si="46"/>
        <v>133.82049999999998</v>
      </c>
      <c r="H278" s="2">
        <f t="shared" si="47"/>
        <v>63.679394160767799</v>
      </c>
    </row>
    <row r="279" spans="2:10" hidden="1" x14ac:dyDescent="0.25">
      <c r="B279" s="2">
        <v>192</v>
      </c>
      <c r="C279" s="2">
        <f t="shared" si="42"/>
        <v>125.68599999999995</v>
      </c>
      <c r="D279" s="2">
        <f t="shared" si="43"/>
        <v>63.635192863990376</v>
      </c>
      <c r="E279" s="2">
        <f t="shared" si="44"/>
        <v>-686.48800000000119</v>
      </c>
      <c r="F279" s="2">
        <f t="shared" si="45"/>
        <v>58.004799569505877</v>
      </c>
      <c r="G279" s="2">
        <f t="shared" si="46"/>
        <v>133.661</v>
      </c>
      <c r="H279" s="2">
        <f t="shared" si="47"/>
        <v>63.532354365292889</v>
      </c>
    </row>
    <row r="280" spans="2:10" hidden="1" x14ac:dyDescent="0.25">
      <c r="B280" s="2">
        <v>193</v>
      </c>
      <c r="C280" s="2">
        <f t="shared" si="42"/>
        <v>124.72899999999996</v>
      </c>
      <c r="D280" s="2">
        <f t="shared" si="43"/>
        <v>63.407266983966466</v>
      </c>
      <c r="E280" s="2">
        <f t="shared" si="44"/>
        <v>-711.21050000000105</v>
      </c>
      <c r="F280" s="2">
        <f t="shared" si="45"/>
        <v>57.655439649781144</v>
      </c>
      <c r="G280" s="2">
        <f t="shared" si="46"/>
        <v>133.50149999999999</v>
      </c>
      <c r="H280" s="2">
        <f t="shared" si="47"/>
        <v>63.375994569817948</v>
      </c>
    </row>
    <row r="281" spans="2:10" hidden="1" x14ac:dyDescent="0.25">
      <c r="B281" s="2">
        <v>194</v>
      </c>
      <c r="C281" s="2">
        <f t="shared" ref="C281:C344" si="48">Q$57+$B281*Q$58+Q$59*$B281^2</f>
        <v>123.77199999999996</v>
      </c>
      <c r="D281" s="2">
        <f t="shared" ref="D281:D344" si="49">R$57+$B281*R$58+R$59*$B281^2</f>
        <v>63.178679103942557</v>
      </c>
      <c r="E281" s="2">
        <f t="shared" ref="E281:E344" si="50">S$57+$B281*S$58+S$59*$B281^2</f>
        <v>-736.25200000000041</v>
      </c>
      <c r="F281" s="2">
        <f t="shared" ref="F281:F344" si="51">T$57+$B281*T$58+T$59*$B281^2</f>
        <v>57.306463730056407</v>
      </c>
      <c r="G281" s="2">
        <f t="shared" ref="G281:G344" si="52">U$57+$B281*U$58+U$59*$B281^2</f>
        <v>133.34199999999998</v>
      </c>
      <c r="H281" s="2">
        <f t="shared" ref="H281:H344" si="53">V$57+$B281*V$58+V$59*$B281^2</f>
        <v>63.21031477434309</v>
      </c>
    </row>
    <row r="282" spans="2:10" hidden="1" x14ac:dyDescent="0.25">
      <c r="B282" s="2">
        <v>195</v>
      </c>
      <c r="C282" s="2">
        <f t="shared" si="48"/>
        <v>122.81499999999997</v>
      </c>
      <c r="D282" s="2">
        <f t="shared" si="49"/>
        <v>62.949429223918656</v>
      </c>
      <c r="E282" s="2">
        <f t="shared" si="50"/>
        <v>-761.61250000000109</v>
      </c>
      <c r="F282" s="2">
        <f t="shared" si="51"/>
        <v>56.957871810331675</v>
      </c>
      <c r="G282" s="2">
        <f t="shared" si="52"/>
        <v>133.1825</v>
      </c>
      <c r="H282" s="2">
        <f t="shared" si="53"/>
        <v>63.035314978868143</v>
      </c>
    </row>
    <row r="283" spans="2:10" hidden="1" x14ac:dyDescent="0.25">
      <c r="B283" s="2">
        <v>196</v>
      </c>
      <c r="C283" s="2">
        <f t="shared" si="48"/>
        <v>121.85799999999995</v>
      </c>
      <c r="D283" s="2">
        <f t="shared" si="49"/>
        <v>62.719517343894744</v>
      </c>
      <c r="E283" s="2">
        <f t="shared" si="50"/>
        <v>-787.29200000000037</v>
      </c>
      <c r="F283" s="2">
        <f t="shared" si="51"/>
        <v>56.609663890606939</v>
      </c>
      <c r="G283" s="2">
        <f t="shared" si="52"/>
        <v>133.023</v>
      </c>
      <c r="H283" s="2">
        <f t="shared" si="53"/>
        <v>62.85099518339328</v>
      </c>
    </row>
    <row r="284" spans="2:10" hidden="1" x14ac:dyDescent="0.25">
      <c r="B284" s="2">
        <v>197</v>
      </c>
      <c r="C284" s="2">
        <f t="shared" si="48"/>
        <v>120.90099999999995</v>
      </c>
      <c r="D284" s="2">
        <f t="shared" si="49"/>
        <v>62.488943463870832</v>
      </c>
      <c r="E284" s="2">
        <f t="shared" si="50"/>
        <v>-813.29050000000097</v>
      </c>
      <c r="F284" s="2">
        <f t="shared" si="51"/>
        <v>56.261839970882207</v>
      </c>
      <c r="G284" s="2">
        <f t="shared" si="52"/>
        <v>132.86349999999999</v>
      </c>
      <c r="H284" s="2">
        <f t="shared" si="53"/>
        <v>62.657355387918358</v>
      </c>
      <c r="J284" s="2" t="s">
        <v>135</v>
      </c>
    </row>
    <row r="285" spans="2:10" hidden="1" x14ac:dyDescent="0.25">
      <c r="B285" s="2">
        <v>198</v>
      </c>
      <c r="C285" s="2">
        <f t="shared" si="48"/>
        <v>119.94399999999996</v>
      </c>
      <c r="D285" s="2">
        <f t="shared" si="49"/>
        <v>62.257707583846923</v>
      </c>
      <c r="E285" s="2">
        <f t="shared" si="50"/>
        <v>-839.60800000000108</v>
      </c>
      <c r="F285" s="2">
        <f t="shared" si="51"/>
        <v>55.914400051157472</v>
      </c>
      <c r="G285" s="2">
        <f t="shared" si="52"/>
        <v>132.70400000000001</v>
      </c>
      <c r="H285" s="2">
        <f t="shared" si="53"/>
        <v>62.45439559244349</v>
      </c>
    </row>
    <row r="286" spans="2:10" hidden="1" x14ac:dyDescent="0.25">
      <c r="B286" s="2">
        <v>199</v>
      </c>
      <c r="C286" s="2">
        <f t="shared" si="48"/>
        <v>118.98699999999997</v>
      </c>
      <c r="D286" s="2">
        <f t="shared" si="49"/>
        <v>62.025809703823008</v>
      </c>
      <c r="E286" s="2">
        <f t="shared" si="50"/>
        <v>-866.24450000000161</v>
      </c>
      <c r="F286" s="2">
        <f t="shared" si="51"/>
        <v>55.567344131432733</v>
      </c>
      <c r="G286" s="2">
        <f t="shared" si="52"/>
        <v>132.5445</v>
      </c>
      <c r="H286" s="2">
        <f t="shared" si="53"/>
        <v>62.242115796968562</v>
      </c>
    </row>
    <row r="287" spans="2:10" hidden="1" x14ac:dyDescent="0.25">
      <c r="B287" s="2">
        <v>200</v>
      </c>
      <c r="C287" s="2">
        <f t="shared" si="48"/>
        <v>118.02999999999994</v>
      </c>
      <c r="D287" s="2">
        <f t="shared" si="49"/>
        <v>61.793249823799094</v>
      </c>
      <c r="E287" s="2">
        <f t="shared" si="50"/>
        <v>-893.20000000000073</v>
      </c>
      <c r="F287" s="2">
        <f t="shared" si="51"/>
        <v>55.220672211707999</v>
      </c>
      <c r="G287" s="2">
        <f t="shared" si="52"/>
        <v>132.38499999999999</v>
      </c>
      <c r="H287" s="2">
        <f t="shared" si="53"/>
        <v>62.020516001493689</v>
      </c>
    </row>
    <row r="288" spans="2:10" hidden="1" x14ac:dyDescent="0.25">
      <c r="B288" s="2">
        <v>201</v>
      </c>
      <c r="C288" s="2">
        <f t="shared" si="48"/>
        <v>117.07299999999995</v>
      </c>
      <c r="D288" s="2">
        <f t="shared" si="49"/>
        <v>61.560027943775182</v>
      </c>
      <c r="E288" s="2">
        <f t="shared" si="50"/>
        <v>-920.47450000000117</v>
      </c>
      <c r="F288" s="2">
        <f t="shared" si="51"/>
        <v>54.874384291983262</v>
      </c>
      <c r="G288" s="2">
        <f t="shared" si="52"/>
        <v>132.22550000000001</v>
      </c>
      <c r="H288" s="2">
        <f t="shared" si="53"/>
        <v>61.789596206018757</v>
      </c>
    </row>
    <row r="289" spans="2:8" hidden="1" x14ac:dyDescent="0.25">
      <c r="B289" s="2">
        <v>202</v>
      </c>
      <c r="C289" s="2">
        <f t="shared" si="48"/>
        <v>116.11599999999996</v>
      </c>
      <c r="D289" s="2">
        <f t="shared" si="49"/>
        <v>61.326144063751286</v>
      </c>
      <c r="E289" s="2">
        <f t="shared" si="50"/>
        <v>-948.06800000000112</v>
      </c>
      <c r="F289" s="2">
        <f t="shared" si="51"/>
        <v>54.528480372258528</v>
      </c>
      <c r="G289" s="2">
        <f t="shared" si="52"/>
        <v>132.066</v>
      </c>
      <c r="H289" s="2">
        <f t="shared" si="53"/>
        <v>61.549356410543908</v>
      </c>
    </row>
    <row r="290" spans="2:8" hidden="1" x14ac:dyDescent="0.25">
      <c r="B290" s="2">
        <v>203</v>
      </c>
      <c r="C290" s="2">
        <f t="shared" si="48"/>
        <v>115.15899999999996</v>
      </c>
      <c r="D290" s="2">
        <f t="shared" si="49"/>
        <v>61.09159818372737</v>
      </c>
      <c r="E290" s="2">
        <f t="shared" si="50"/>
        <v>-975.98050000000057</v>
      </c>
      <c r="F290" s="2">
        <f t="shared" si="51"/>
        <v>54.182960452533798</v>
      </c>
      <c r="G290" s="2">
        <f t="shared" si="52"/>
        <v>131.90649999999999</v>
      </c>
      <c r="H290" s="2">
        <f t="shared" si="53"/>
        <v>61.299796615068971</v>
      </c>
    </row>
    <row r="291" spans="2:8" hidden="1" x14ac:dyDescent="0.25">
      <c r="B291" s="2">
        <v>204</v>
      </c>
      <c r="C291" s="2">
        <f t="shared" si="48"/>
        <v>114.20199999999997</v>
      </c>
      <c r="D291" s="2">
        <f t="shared" si="49"/>
        <v>60.856390303703463</v>
      </c>
      <c r="E291" s="2">
        <f t="shared" si="50"/>
        <v>-1004.2120000000014</v>
      </c>
      <c r="F291" s="2">
        <f t="shared" si="51"/>
        <v>53.837824532809059</v>
      </c>
      <c r="G291" s="2">
        <f t="shared" si="52"/>
        <v>131.74699999999999</v>
      </c>
      <c r="H291" s="2">
        <f t="shared" si="53"/>
        <v>61.040916819594088</v>
      </c>
    </row>
    <row r="292" spans="2:8" hidden="1" x14ac:dyDescent="0.25">
      <c r="B292" s="2">
        <v>205</v>
      </c>
      <c r="C292" s="2">
        <f t="shared" si="48"/>
        <v>113.24499999999995</v>
      </c>
      <c r="D292" s="2">
        <f t="shared" si="49"/>
        <v>60.620520423679551</v>
      </c>
      <c r="E292" s="2">
        <f t="shared" si="50"/>
        <v>-1032.7625000000007</v>
      </c>
      <c r="F292" s="2">
        <f t="shared" si="51"/>
        <v>53.493072613084323</v>
      </c>
      <c r="G292" s="2">
        <f t="shared" si="52"/>
        <v>131.58750000000001</v>
      </c>
      <c r="H292" s="2">
        <f t="shared" si="53"/>
        <v>60.772717024119174</v>
      </c>
    </row>
    <row r="293" spans="2:8" hidden="1" x14ac:dyDescent="0.25">
      <c r="B293" s="2">
        <v>206</v>
      </c>
      <c r="C293" s="2">
        <f t="shared" si="48"/>
        <v>112.28799999999995</v>
      </c>
      <c r="D293" s="2">
        <f t="shared" si="49"/>
        <v>60.383988543655633</v>
      </c>
      <c r="E293" s="2">
        <f t="shared" si="50"/>
        <v>-1061.6320000000014</v>
      </c>
      <c r="F293" s="2">
        <f t="shared" si="51"/>
        <v>53.148704693359591</v>
      </c>
      <c r="G293" s="2">
        <f t="shared" si="52"/>
        <v>131.428</v>
      </c>
      <c r="H293" s="2">
        <f t="shared" si="53"/>
        <v>60.495197228644315</v>
      </c>
    </row>
    <row r="294" spans="2:8" hidden="1" x14ac:dyDescent="0.25">
      <c r="B294" s="2">
        <v>207</v>
      </c>
      <c r="C294" s="2">
        <f t="shared" si="48"/>
        <v>111.33099999999996</v>
      </c>
      <c r="D294" s="2">
        <f t="shared" si="49"/>
        <v>60.146794663631724</v>
      </c>
      <c r="E294" s="2">
        <f t="shared" si="50"/>
        <v>-1090.8205000000007</v>
      </c>
      <c r="F294" s="2">
        <f t="shared" si="51"/>
        <v>52.804720773634855</v>
      </c>
      <c r="G294" s="2">
        <f t="shared" si="52"/>
        <v>131.26849999999999</v>
      </c>
      <c r="H294" s="2">
        <f t="shared" si="53"/>
        <v>60.208357433169368</v>
      </c>
    </row>
    <row r="295" spans="2:8" hidden="1" x14ac:dyDescent="0.25">
      <c r="B295" s="2">
        <v>208</v>
      </c>
      <c r="C295" s="2">
        <f t="shared" si="48"/>
        <v>110.37399999999997</v>
      </c>
      <c r="D295" s="2">
        <f t="shared" si="49"/>
        <v>59.908938783607809</v>
      </c>
      <c r="E295" s="2">
        <f t="shared" si="50"/>
        <v>-1120.3280000000013</v>
      </c>
      <c r="F295" s="2">
        <f t="shared" si="51"/>
        <v>52.461120853910124</v>
      </c>
      <c r="G295" s="2">
        <f t="shared" si="52"/>
        <v>131.10899999999998</v>
      </c>
      <c r="H295" s="2">
        <f t="shared" si="53"/>
        <v>59.912197637694504</v>
      </c>
    </row>
    <row r="296" spans="2:8" hidden="1" x14ac:dyDescent="0.25">
      <c r="B296" s="2">
        <v>209</v>
      </c>
      <c r="C296" s="2">
        <f t="shared" si="48"/>
        <v>109.41699999999994</v>
      </c>
      <c r="D296" s="2">
        <f t="shared" si="49"/>
        <v>59.670420903583917</v>
      </c>
      <c r="E296" s="2">
        <f t="shared" si="50"/>
        <v>-1150.1545000000006</v>
      </c>
      <c r="F296" s="2">
        <f t="shared" si="51"/>
        <v>52.117904934185376</v>
      </c>
      <c r="G296" s="2">
        <f t="shared" si="52"/>
        <v>130.9495</v>
      </c>
      <c r="H296" s="2">
        <f t="shared" si="53"/>
        <v>59.606717842219581</v>
      </c>
    </row>
    <row r="297" spans="2:8" hidden="1" x14ac:dyDescent="0.25">
      <c r="B297" s="2">
        <v>210</v>
      </c>
      <c r="C297" s="2">
        <f t="shared" si="48"/>
        <v>108.45999999999995</v>
      </c>
      <c r="D297" s="2">
        <f t="shared" si="49"/>
        <v>59.431241023560005</v>
      </c>
      <c r="E297" s="2">
        <f t="shared" si="50"/>
        <v>-1180.3000000000011</v>
      </c>
      <c r="F297" s="2">
        <f t="shared" si="51"/>
        <v>51.775073014460638</v>
      </c>
      <c r="G297" s="2">
        <f t="shared" si="52"/>
        <v>130.79</v>
      </c>
      <c r="H297" s="2">
        <f t="shared" si="53"/>
        <v>59.291918046744655</v>
      </c>
    </row>
    <row r="298" spans="2:8" hidden="1" x14ac:dyDescent="0.25">
      <c r="B298" s="2">
        <v>211</v>
      </c>
      <c r="C298" s="2">
        <f t="shared" si="48"/>
        <v>107.50299999999996</v>
      </c>
      <c r="D298" s="2">
        <f t="shared" si="49"/>
        <v>59.191399143536088</v>
      </c>
      <c r="E298" s="2">
        <f t="shared" si="50"/>
        <v>-1210.7645000000011</v>
      </c>
      <c r="F298" s="2">
        <f t="shared" si="51"/>
        <v>51.432625094735904</v>
      </c>
      <c r="G298" s="2">
        <f t="shared" si="52"/>
        <v>130.63049999999998</v>
      </c>
      <c r="H298" s="2">
        <f t="shared" si="53"/>
        <v>58.967798251269784</v>
      </c>
    </row>
    <row r="299" spans="2:8" hidden="1" x14ac:dyDescent="0.25">
      <c r="B299" s="2">
        <v>212</v>
      </c>
      <c r="C299" s="2">
        <f t="shared" si="48"/>
        <v>106.54599999999996</v>
      </c>
      <c r="D299" s="2">
        <f t="shared" si="49"/>
        <v>58.95089526351218</v>
      </c>
      <c r="E299" s="2">
        <f t="shared" si="50"/>
        <v>-1241.5480000000007</v>
      </c>
      <c r="F299" s="2">
        <f t="shared" si="51"/>
        <v>51.090561175011175</v>
      </c>
      <c r="G299" s="2">
        <f t="shared" si="52"/>
        <v>130.471</v>
      </c>
      <c r="H299" s="2">
        <f t="shared" si="53"/>
        <v>58.634358455794853</v>
      </c>
    </row>
    <row r="300" spans="2:8" hidden="1" x14ac:dyDescent="0.25">
      <c r="B300" s="2">
        <v>213</v>
      </c>
      <c r="C300" s="2">
        <f t="shared" si="48"/>
        <v>105.58899999999997</v>
      </c>
      <c r="D300" s="2">
        <f t="shared" si="49"/>
        <v>58.709729383488266</v>
      </c>
      <c r="E300" s="2">
        <f t="shared" si="50"/>
        <v>-1272.6505000000016</v>
      </c>
      <c r="F300" s="2">
        <f t="shared" si="51"/>
        <v>50.748881255286435</v>
      </c>
      <c r="G300" s="2">
        <f t="shared" si="52"/>
        <v>130.3115</v>
      </c>
      <c r="H300" s="2">
        <f t="shared" si="53"/>
        <v>58.291598660319977</v>
      </c>
    </row>
    <row r="301" spans="2:8" hidden="1" x14ac:dyDescent="0.25">
      <c r="B301" s="2">
        <v>214</v>
      </c>
      <c r="C301" s="2">
        <f t="shared" si="48"/>
        <v>104.63199999999995</v>
      </c>
      <c r="D301" s="2">
        <f t="shared" si="49"/>
        <v>58.467901503464368</v>
      </c>
      <c r="E301" s="2">
        <f t="shared" si="50"/>
        <v>-1304.072000000001</v>
      </c>
      <c r="F301" s="2">
        <f t="shared" si="51"/>
        <v>50.407585335561706</v>
      </c>
      <c r="G301" s="2">
        <f t="shared" si="52"/>
        <v>130.15199999999999</v>
      </c>
      <c r="H301" s="2">
        <f t="shared" si="53"/>
        <v>57.93951886484507</v>
      </c>
    </row>
    <row r="302" spans="2:8" hidden="1" x14ac:dyDescent="0.25">
      <c r="B302" s="2">
        <v>215</v>
      </c>
      <c r="C302" s="2">
        <f t="shared" si="48"/>
        <v>103.67499999999995</v>
      </c>
      <c r="D302" s="2">
        <f t="shared" si="49"/>
        <v>58.225411623440444</v>
      </c>
      <c r="E302" s="2">
        <f t="shared" si="50"/>
        <v>-1335.8125000000009</v>
      </c>
      <c r="F302" s="2">
        <f t="shared" si="51"/>
        <v>50.066673415836966</v>
      </c>
      <c r="G302" s="2">
        <f t="shared" si="52"/>
        <v>129.99250000000001</v>
      </c>
      <c r="H302" s="2">
        <f t="shared" si="53"/>
        <v>57.578119069370189</v>
      </c>
    </row>
    <row r="303" spans="2:8" hidden="1" x14ac:dyDescent="0.25">
      <c r="B303" s="2">
        <v>216</v>
      </c>
      <c r="C303" s="2">
        <f t="shared" si="48"/>
        <v>102.71799999999996</v>
      </c>
      <c r="D303" s="2">
        <f t="shared" si="49"/>
        <v>57.982259743416542</v>
      </c>
      <c r="E303" s="2">
        <f t="shared" si="50"/>
        <v>-1367.8720000000012</v>
      </c>
      <c r="F303" s="2">
        <f t="shared" si="51"/>
        <v>49.726145496112231</v>
      </c>
      <c r="G303" s="2">
        <f t="shared" si="52"/>
        <v>129.833</v>
      </c>
      <c r="H303" s="2">
        <f t="shared" si="53"/>
        <v>57.207399273895248</v>
      </c>
    </row>
    <row r="304" spans="2:8" hidden="1" x14ac:dyDescent="0.25">
      <c r="B304" s="2">
        <v>217</v>
      </c>
      <c r="C304" s="2">
        <f t="shared" si="48"/>
        <v>101.76099999999997</v>
      </c>
      <c r="D304" s="2">
        <f t="shared" si="49"/>
        <v>57.738445863392627</v>
      </c>
      <c r="E304" s="2">
        <f t="shared" si="50"/>
        <v>-1400.250500000001</v>
      </c>
      <c r="F304" s="2">
        <f t="shared" si="51"/>
        <v>49.3860015763875</v>
      </c>
      <c r="G304" s="2">
        <f t="shared" si="52"/>
        <v>129.67349999999999</v>
      </c>
      <c r="H304" s="2">
        <f t="shared" si="53"/>
        <v>56.827359478420391</v>
      </c>
    </row>
    <row r="305" spans="2:8" hidden="1" x14ac:dyDescent="0.25">
      <c r="B305" s="2">
        <v>218</v>
      </c>
      <c r="C305" s="2">
        <f t="shared" si="48"/>
        <v>100.80399999999995</v>
      </c>
      <c r="D305" s="2">
        <f t="shared" si="49"/>
        <v>57.493969983368721</v>
      </c>
      <c r="E305" s="2">
        <f t="shared" si="50"/>
        <v>-1432.9480000000012</v>
      </c>
      <c r="F305" s="2">
        <f t="shared" si="51"/>
        <v>49.046241656662765</v>
      </c>
      <c r="G305" s="2">
        <f t="shared" si="52"/>
        <v>129.51400000000001</v>
      </c>
      <c r="H305" s="2">
        <f t="shared" si="53"/>
        <v>56.437999682945474</v>
      </c>
    </row>
    <row r="306" spans="2:8" hidden="1" x14ac:dyDescent="0.25">
      <c r="B306" s="2">
        <v>219</v>
      </c>
      <c r="C306" s="2">
        <f t="shared" si="48"/>
        <v>99.846999999999952</v>
      </c>
      <c r="D306" s="2">
        <f t="shared" si="49"/>
        <v>57.24883210334481</v>
      </c>
      <c r="E306" s="2">
        <f t="shared" si="50"/>
        <v>-1465.9645000000019</v>
      </c>
      <c r="F306" s="2">
        <f t="shared" si="51"/>
        <v>48.706865736938028</v>
      </c>
      <c r="G306" s="2">
        <f t="shared" si="52"/>
        <v>129.3545</v>
      </c>
      <c r="H306" s="2">
        <f t="shared" si="53"/>
        <v>56.039319887470583</v>
      </c>
    </row>
    <row r="307" spans="2:8" hidden="1" x14ac:dyDescent="0.25">
      <c r="B307" s="2">
        <v>220</v>
      </c>
      <c r="C307" s="2">
        <f t="shared" si="48"/>
        <v>98.889999999999958</v>
      </c>
      <c r="D307" s="2">
        <f t="shared" si="49"/>
        <v>57.003032223320893</v>
      </c>
      <c r="E307" s="2">
        <f t="shared" si="50"/>
        <v>-1499.3000000000011</v>
      </c>
      <c r="F307" s="2">
        <f t="shared" si="51"/>
        <v>48.367873817213294</v>
      </c>
      <c r="G307" s="2">
        <f t="shared" si="52"/>
        <v>129.19499999999999</v>
      </c>
      <c r="H307" s="2">
        <f t="shared" si="53"/>
        <v>55.631320091995661</v>
      </c>
    </row>
    <row r="308" spans="2:8" hidden="1" x14ac:dyDescent="0.25">
      <c r="B308" s="2">
        <v>221</v>
      </c>
      <c r="C308" s="2">
        <f t="shared" si="48"/>
        <v>97.932999999999964</v>
      </c>
      <c r="D308" s="2">
        <f t="shared" si="49"/>
        <v>56.756570343297</v>
      </c>
      <c r="E308" s="2">
        <f t="shared" si="50"/>
        <v>-1532.9545000000007</v>
      </c>
      <c r="F308" s="2">
        <f t="shared" si="51"/>
        <v>48.029265897488557</v>
      </c>
      <c r="G308" s="2">
        <f t="shared" si="52"/>
        <v>129.03550000000001</v>
      </c>
      <c r="H308" s="2">
        <f t="shared" si="53"/>
        <v>55.214000296520794</v>
      </c>
    </row>
    <row r="309" spans="2:8" hidden="1" x14ac:dyDescent="0.25">
      <c r="B309" s="2">
        <v>222</v>
      </c>
      <c r="C309" s="2">
        <f t="shared" si="48"/>
        <v>96.975999999999971</v>
      </c>
      <c r="D309" s="2">
        <f t="shared" si="49"/>
        <v>56.509446463273072</v>
      </c>
      <c r="E309" s="2">
        <f t="shared" si="50"/>
        <v>-1566.9280000000008</v>
      </c>
      <c r="F309" s="2">
        <f t="shared" si="51"/>
        <v>47.691041977763824</v>
      </c>
      <c r="G309" s="2">
        <f t="shared" si="52"/>
        <v>128.876</v>
      </c>
      <c r="H309" s="2">
        <f t="shared" si="53"/>
        <v>54.787360501045868</v>
      </c>
    </row>
    <row r="310" spans="2:8" hidden="1" x14ac:dyDescent="0.25">
      <c r="B310" s="2">
        <v>223</v>
      </c>
      <c r="C310" s="2">
        <f t="shared" si="48"/>
        <v>96.018999999999949</v>
      </c>
      <c r="D310" s="2">
        <f t="shared" si="49"/>
        <v>56.261660583249167</v>
      </c>
      <c r="E310" s="2">
        <f t="shared" si="50"/>
        <v>-1601.2205000000004</v>
      </c>
      <c r="F310" s="2">
        <f t="shared" si="51"/>
        <v>47.353202058039088</v>
      </c>
      <c r="G310" s="2">
        <f t="shared" si="52"/>
        <v>128.7165</v>
      </c>
      <c r="H310" s="2">
        <f t="shared" si="53"/>
        <v>54.351400705570995</v>
      </c>
    </row>
    <row r="311" spans="2:8" hidden="1" x14ac:dyDescent="0.25">
      <c r="B311" s="2">
        <v>224</v>
      </c>
      <c r="C311" s="2">
        <f t="shared" si="48"/>
        <v>95.061999999999955</v>
      </c>
      <c r="D311" s="2">
        <f t="shared" si="49"/>
        <v>56.013212703225264</v>
      </c>
      <c r="E311" s="2">
        <f t="shared" si="50"/>
        <v>-1635.8320000000012</v>
      </c>
      <c r="F311" s="2">
        <f t="shared" si="51"/>
        <v>47.015746138314356</v>
      </c>
      <c r="G311" s="2">
        <f t="shared" si="52"/>
        <v>128.55699999999999</v>
      </c>
      <c r="H311" s="2">
        <f t="shared" si="53"/>
        <v>53.906120910096064</v>
      </c>
    </row>
    <row r="312" spans="2:8" hidden="1" x14ac:dyDescent="0.25">
      <c r="B312" s="2">
        <v>225</v>
      </c>
      <c r="C312" s="2">
        <f t="shared" si="48"/>
        <v>94.104999999999961</v>
      </c>
      <c r="D312" s="2">
        <f t="shared" si="49"/>
        <v>55.764102823201348</v>
      </c>
      <c r="E312" s="2">
        <f t="shared" si="50"/>
        <v>-1670.7625000000016</v>
      </c>
      <c r="F312" s="2">
        <f t="shared" si="51"/>
        <v>46.67867421858962</v>
      </c>
      <c r="G312" s="2">
        <f t="shared" si="52"/>
        <v>128.39749999999998</v>
      </c>
      <c r="H312" s="2">
        <f t="shared" si="53"/>
        <v>53.451521114621158</v>
      </c>
    </row>
    <row r="313" spans="2:8" hidden="1" x14ac:dyDescent="0.25">
      <c r="B313" s="2">
        <v>226</v>
      </c>
      <c r="C313" s="2">
        <f t="shared" si="48"/>
        <v>93.147999999999968</v>
      </c>
      <c r="D313" s="2">
        <f t="shared" si="49"/>
        <v>55.514330943177434</v>
      </c>
      <c r="E313" s="2">
        <f t="shared" si="50"/>
        <v>-1706.0120000000006</v>
      </c>
      <c r="F313" s="2">
        <f t="shared" si="51"/>
        <v>46.341986298864889</v>
      </c>
      <c r="G313" s="2">
        <f t="shared" si="52"/>
        <v>128.238</v>
      </c>
      <c r="H313" s="2">
        <f t="shared" si="53"/>
        <v>52.987601319146279</v>
      </c>
    </row>
    <row r="314" spans="2:8" hidden="1" x14ac:dyDescent="0.25">
      <c r="B314" s="2">
        <v>227</v>
      </c>
      <c r="C314" s="2">
        <f t="shared" si="48"/>
        <v>92.190999999999946</v>
      </c>
      <c r="D314" s="2">
        <f t="shared" si="49"/>
        <v>55.263897063153522</v>
      </c>
      <c r="E314" s="2">
        <f t="shared" si="50"/>
        <v>-1741.5805000000009</v>
      </c>
      <c r="F314" s="2">
        <f t="shared" si="51"/>
        <v>46.005682379140154</v>
      </c>
      <c r="G314" s="2">
        <f t="shared" si="52"/>
        <v>128.07849999999999</v>
      </c>
      <c r="H314" s="2">
        <f t="shared" si="53"/>
        <v>52.51436152367134</v>
      </c>
    </row>
    <row r="315" spans="2:8" hidden="1" x14ac:dyDescent="0.25">
      <c r="B315" s="2">
        <v>228</v>
      </c>
      <c r="C315" s="2">
        <f t="shared" si="48"/>
        <v>91.233999999999952</v>
      </c>
      <c r="D315" s="2">
        <f t="shared" si="49"/>
        <v>55.012801183129625</v>
      </c>
      <c r="E315" s="2">
        <f t="shared" si="50"/>
        <v>-1777.4680000000017</v>
      </c>
      <c r="F315" s="2">
        <f t="shared" si="51"/>
        <v>45.669762459415416</v>
      </c>
      <c r="G315" s="2">
        <f t="shared" si="52"/>
        <v>127.919</v>
      </c>
      <c r="H315" s="2">
        <f t="shared" si="53"/>
        <v>52.031801728196484</v>
      </c>
    </row>
    <row r="316" spans="2:8" hidden="1" x14ac:dyDescent="0.25">
      <c r="B316" s="2">
        <v>229</v>
      </c>
      <c r="C316" s="2">
        <f t="shared" si="48"/>
        <v>90.276999999999958</v>
      </c>
      <c r="D316" s="2">
        <f t="shared" si="49"/>
        <v>54.761043303105708</v>
      </c>
      <c r="E316" s="2">
        <f t="shared" si="50"/>
        <v>-1813.6745000000001</v>
      </c>
      <c r="F316" s="2">
        <f t="shared" si="51"/>
        <v>45.334226539690683</v>
      </c>
      <c r="G316" s="2">
        <f t="shared" si="52"/>
        <v>127.7595</v>
      </c>
      <c r="H316" s="2">
        <f t="shared" si="53"/>
        <v>51.539921932721569</v>
      </c>
    </row>
    <row r="317" spans="2:8" hidden="1" x14ac:dyDescent="0.25">
      <c r="B317" s="2">
        <v>230</v>
      </c>
      <c r="C317" s="2">
        <f t="shared" si="48"/>
        <v>89.319999999999965</v>
      </c>
      <c r="D317" s="2">
        <f t="shared" si="49"/>
        <v>54.508623423081801</v>
      </c>
      <c r="E317" s="2">
        <f t="shared" si="50"/>
        <v>-1850.1999999999998</v>
      </c>
      <c r="F317" s="2">
        <f t="shared" si="51"/>
        <v>44.999074619965953</v>
      </c>
      <c r="G317" s="2">
        <f t="shared" si="52"/>
        <v>127.6</v>
      </c>
      <c r="H317" s="2">
        <f t="shared" si="53"/>
        <v>51.03872213724668</v>
      </c>
    </row>
    <row r="318" spans="2:8" hidden="1" x14ac:dyDescent="0.25">
      <c r="B318" s="2">
        <v>231</v>
      </c>
      <c r="C318" s="2">
        <f t="shared" si="48"/>
        <v>88.362999999999971</v>
      </c>
      <c r="D318" s="2">
        <f t="shared" si="49"/>
        <v>54.255541543057888</v>
      </c>
      <c r="E318" s="2">
        <f t="shared" si="50"/>
        <v>-1887.0445000000009</v>
      </c>
      <c r="F318" s="2">
        <f t="shared" si="51"/>
        <v>44.664306700241212</v>
      </c>
      <c r="G318" s="2">
        <f t="shared" si="52"/>
        <v>127.44049999999999</v>
      </c>
      <c r="H318" s="2">
        <f t="shared" si="53"/>
        <v>50.52820234177176</v>
      </c>
    </row>
    <row r="319" spans="2:8" hidden="1" x14ac:dyDescent="0.25">
      <c r="B319" s="2">
        <v>232</v>
      </c>
      <c r="C319" s="2">
        <f t="shared" si="48"/>
        <v>87.405999999999949</v>
      </c>
      <c r="D319" s="2">
        <f t="shared" si="49"/>
        <v>54.001797663033976</v>
      </c>
      <c r="E319" s="2">
        <f t="shared" si="50"/>
        <v>-1924.2080000000014</v>
      </c>
      <c r="F319" s="2">
        <f t="shared" si="51"/>
        <v>44.329922780516483</v>
      </c>
      <c r="G319" s="2">
        <f t="shared" si="52"/>
        <v>127.28100000000001</v>
      </c>
      <c r="H319" s="2">
        <f t="shared" si="53"/>
        <v>50.008362546296894</v>
      </c>
    </row>
    <row r="320" spans="2:8" hidden="1" x14ac:dyDescent="0.25">
      <c r="B320" s="2">
        <v>233</v>
      </c>
      <c r="C320" s="2">
        <f t="shared" si="48"/>
        <v>86.448999999999955</v>
      </c>
      <c r="D320" s="2">
        <f t="shared" si="49"/>
        <v>53.747391783010066</v>
      </c>
      <c r="E320" s="2">
        <f t="shared" si="50"/>
        <v>-1961.6904999999997</v>
      </c>
      <c r="F320" s="2">
        <f t="shared" si="51"/>
        <v>43.995922860791744</v>
      </c>
      <c r="G320" s="2">
        <f t="shared" si="52"/>
        <v>127.1215</v>
      </c>
      <c r="H320" s="2">
        <f t="shared" si="53"/>
        <v>49.479202750821969</v>
      </c>
    </row>
    <row r="321" spans="2:8" hidden="1" x14ac:dyDescent="0.25">
      <c r="B321" s="2">
        <v>234</v>
      </c>
      <c r="C321" s="2">
        <f t="shared" si="48"/>
        <v>85.491999999999962</v>
      </c>
      <c r="D321" s="2">
        <f t="shared" si="49"/>
        <v>53.492323902986158</v>
      </c>
      <c r="E321" s="2">
        <f t="shared" si="50"/>
        <v>-1999.4920000000011</v>
      </c>
      <c r="F321" s="2">
        <f t="shared" si="51"/>
        <v>43.662306941067008</v>
      </c>
      <c r="G321" s="2">
        <f t="shared" si="52"/>
        <v>126.96199999999999</v>
      </c>
      <c r="H321" s="2">
        <f t="shared" si="53"/>
        <v>48.940722955347098</v>
      </c>
    </row>
    <row r="322" spans="2:8" hidden="1" x14ac:dyDescent="0.25">
      <c r="B322" s="2">
        <v>235</v>
      </c>
      <c r="C322" s="2">
        <f t="shared" si="48"/>
        <v>84.534999999999968</v>
      </c>
      <c r="D322" s="2">
        <f t="shared" si="49"/>
        <v>53.236594022962251</v>
      </c>
      <c r="E322" s="2">
        <f t="shared" si="50"/>
        <v>-2037.612500000002</v>
      </c>
      <c r="F322" s="2">
        <f t="shared" si="51"/>
        <v>43.329075021342277</v>
      </c>
      <c r="G322" s="2">
        <f t="shared" si="52"/>
        <v>126.80249999999999</v>
      </c>
      <c r="H322" s="2">
        <f t="shared" si="53"/>
        <v>48.392923159872169</v>
      </c>
    </row>
    <row r="323" spans="2:8" hidden="1" x14ac:dyDescent="0.25">
      <c r="B323" s="2">
        <v>236</v>
      </c>
      <c r="C323" s="2">
        <f t="shared" si="48"/>
        <v>83.577999999999946</v>
      </c>
      <c r="D323" s="2">
        <f t="shared" si="49"/>
        <v>52.980202142938339</v>
      </c>
      <c r="E323" s="2">
        <f t="shared" si="50"/>
        <v>-2076.0520000000024</v>
      </c>
      <c r="F323" s="2">
        <f t="shared" si="51"/>
        <v>42.996227101617542</v>
      </c>
      <c r="G323" s="2">
        <f t="shared" si="52"/>
        <v>126.643</v>
      </c>
      <c r="H323" s="2">
        <f t="shared" si="53"/>
        <v>47.835803364397293</v>
      </c>
    </row>
    <row r="324" spans="2:8" hidden="1" x14ac:dyDescent="0.25">
      <c r="B324" s="2">
        <v>237</v>
      </c>
      <c r="C324" s="2">
        <f t="shared" si="48"/>
        <v>82.620999999999952</v>
      </c>
      <c r="D324" s="2">
        <f t="shared" si="49"/>
        <v>52.723148262914435</v>
      </c>
      <c r="E324" s="2">
        <f t="shared" si="50"/>
        <v>-2114.8105000000005</v>
      </c>
      <c r="F324" s="2">
        <f t="shared" si="51"/>
        <v>42.663763181892804</v>
      </c>
      <c r="G324" s="2">
        <f t="shared" si="52"/>
        <v>126.48349999999999</v>
      </c>
      <c r="H324" s="2">
        <f t="shared" si="53"/>
        <v>47.269363568922358</v>
      </c>
    </row>
    <row r="325" spans="2:8" hidden="1" x14ac:dyDescent="0.25">
      <c r="B325" s="2">
        <v>238</v>
      </c>
      <c r="C325" s="2">
        <f t="shared" si="48"/>
        <v>81.663999999999959</v>
      </c>
      <c r="D325" s="2">
        <f t="shared" si="49"/>
        <v>52.465432382890519</v>
      </c>
      <c r="E325" s="2">
        <f t="shared" si="50"/>
        <v>-2153.8880000000017</v>
      </c>
      <c r="F325" s="2">
        <f t="shared" si="51"/>
        <v>42.33168326216807</v>
      </c>
      <c r="G325" s="2">
        <f t="shared" si="52"/>
        <v>126.324</v>
      </c>
      <c r="H325" s="2">
        <f t="shared" si="53"/>
        <v>46.693603773447478</v>
      </c>
    </row>
    <row r="326" spans="2:8" hidden="1" x14ac:dyDescent="0.25">
      <c r="B326" s="2">
        <v>239</v>
      </c>
      <c r="C326" s="2">
        <f t="shared" si="48"/>
        <v>80.706999999999965</v>
      </c>
      <c r="D326" s="2">
        <f t="shared" si="49"/>
        <v>52.207054502866605</v>
      </c>
      <c r="E326" s="2">
        <f t="shared" si="50"/>
        <v>-2193.2845000000025</v>
      </c>
      <c r="F326" s="2">
        <f t="shared" si="51"/>
        <v>41.99998734244334</v>
      </c>
      <c r="G326" s="2">
        <f t="shared" si="52"/>
        <v>126.1645</v>
      </c>
      <c r="H326" s="2">
        <f t="shared" si="53"/>
        <v>46.108523977972595</v>
      </c>
    </row>
    <row r="327" spans="2:8" hidden="1" x14ac:dyDescent="0.25">
      <c r="B327" s="2">
        <v>240</v>
      </c>
      <c r="C327" s="2">
        <f t="shared" si="48"/>
        <v>79.749999999999972</v>
      </c>
      <c r="D327" s="2">
        <f t="shared" si="49"/>
        <v>51.948014622842692</v>
      </c>
      <c r="E327" s="2">
        <f t="shared" si="50"/>
        <v>-2233.0000000000009</v>
      </c>
      <c r="F327" s="2">
        <f t="shared" si="51"/>
        <v>41.668675422718593</v>
      </c>
      <c r="G327" s="2">
        <f t="shared" si="52"/>
        <v>126.005</v>
      </c>
      <c r="H327" s="2">
        <f t="shared" si="53"/>
        <v>45.514124182497653</v>
      </c>
    </row>
    <row r="328" spans="2:8" hidden="1" x14ac:dyDescent="0.25">
      <c r="B328" s="2">
        <v>241</v>
      </c>
      <c r="C328" s="2">
        <f t="shared" si="48"/>
        <v>78.79299999999995</v>
      </c>
      <c r="D328" s="2">
        <f t="shared" si="49"/>
        <v>51.688312742818781</v>
      </c>
      <c r="E328" s="2">
        <f t="shared" si="50"/>
        <v>-2273.0345000000007</v>
      </c>
      <c r="F328" s="2">
        <f t="shared" si="51"/>
        <v>41.337747502993857</v>
      </c>
      <c r="G328" s="2">
        <f t="shared" si="52"/>
        <v>125.84549999999999</v>
      </c>
      <c r="H328" s="2">
        <f t="shared" si="53"/>
        <v>44.910404387022766</v>
      </c>
    </row>
    <row r="329" spans="2:8" hidden="1" x14ac:dyDescent="0.25">
      <c r="B329" s="2">
        <v>242</v>
      </c>
      <c r="C329" s="2">
        <f t="shared" si="48"/>
        <v>77.835999999999956</v>
      </c>
      <c r="D329" s="2">
        <f t="shared" si="49"/>
        <v>51.427948862794885</v>
      </c>
      <c r="E329" s="2">
        <f t="shared" si="50"/>
        <v>-2313.3880000000017</v>
      </c>
      <c r="F329" s="2">
        <f t="shared" si="51"/>
        <v>41.007203583269117</v>
      </c>
      <c r="G329" s="2">
        <f t="shared" si="52"/>
        <v>125.68599999999999</v>
      </c>
      <c r="H329" s="2">
        <f t="shared" si="53"/>
        <v>44.297364591547876</v>
      </c>
    </row>
    <row r="330" spans="2:8" hidden="1" x14ac:dyDescent="0.25">
      <c r="B330" s="2">
        <v>243</v>
      </c>
      <c r="C330" s="2">
        <f t="shared" si="48"/>
        <v>76.878999999999962</v>
      </c>
      <c r="D330" s="2">
        <f t="shared" si="49"/>
        <v>51.16692298277097</v>
      </c>
      <c r="E330" s="2">
        <f t="shared" si="50"/>
        <v>-2354.0605000000023</v>
      </c>
      <c r="F330" s="2">
        <f t="shared" si="51"/>
        <v>40.677043663544382</v>
      </c>
      <c r="G330" s="2">
        <f t="shared" si="52"/>
        <v>125.5265</v>
      </c>
      <c r="H330" s="2">
        <f t="shared" si="53"/>
        <v>43.675004796072983</v>
      </c>
    </row>
    <row r="331" spans="2:8" hidden="1" x14ac:dyDescent="0.25">
      <c r="B331" s="2">
        <v>244</v>
      </c>
      <c r="C331" s="2">
        <f t="shared" si="48"/>
        <v>75.921999999999969</v>
      </c>
      <c r="D331" s="2">
        <f t="shared" si="49"/>
        <v>50.905235102747056</v>
      </c>
      <c r="E331" s="2">
        <f t="shared" si="50"/>
        <v>-2395.0520000000006</v>
      </c>
      <c r="F331" s="2">
        <f t="shared" si="51"/>
        <v>40.34726774381965</v>
      </c>
      <c r="G331" s="2">
        <f t="shared" si="52"/>
        <v>125.36699999999999</v>
      </c>
      <c r="H331" s="2">
        <f t="shared" si="53"/>
        <v>43.043325000598031</v>
      </c>
    </row>
    <row r="332" spans="2:8" hidden="1" x14ac:dyDescent="0.25">
      <c r="B332" s="2">
        <v>245</v>
      </c>
      <c r="C332" s="2">
        <f t="shared" si="48"/>
        <v>74.964999999999947</v>
      </c>
      <c r="D332" s="2">
        <f t="shared" si="49"/>
        <v>50.642885222723152</v>
      </c>
      <c r="E332" s="2">
        <f t="shared" si="50"/>
        <v>-2436.3625000000002</v>
      </c>
      <c r="F332" s="2">
        <f t="shared" si="51"/>
        <v>40.017875824094915</v>
      </c>
      <c r="G332" s="2">
        <f t="shared" si="52"/>
        <v>125.2075</v>
      </c>
      <c r="H332" s="2">
        <f t="shared" si="53"/>
        <v>42.402325205123191</v>
      </c>
    </row>
    <row r="333" spans="2:8" hidden="1" x14ac:dyDescent="0.25">
      <c r="B333" s="2">
        <v>246</v>
      </c>
      <c r="C333" s="2">
        <f t="shared" si="48"/>
        <v>74.007999999999953</v>
      </c>
      <c r="D333" s="2">
        <f t="shared" si="49"/>
        <v>50.379873342699234</v>
      </c>
      <c r="E333" s="2">
        <f t="shared" si="50"/>
        <v>-2477.9920000000011</v>
      </c>
      <c r="F333" s="2">
        <f t="shared" si="51"/>
        <v>39.688867904370184</v>
      </c>
      <c r="G333" s="2">
        <f t="shared" si="52"/>
        <v>125.048</v>
      </c>
      <c r="H333" s="2">
        <f t="shared" si="53"/>
        <v>41.752005409648234</v>
      </c>
    </row>
    <row r="334" spans="2:8" hidden="1" x14ac:dyDescent="0.25">
      <c r="B334" s="2">
        <v>247</v>
      </c>
      <c r="C334" s="2">
        <f t="shared" si="48"/>
        <v>73.050999999999959</v>
      </c>
      <c r="D334" s="2">
        <f t="shared" si="49"/>
        <v>50.11619946267534</v>
      </c>
      <c r="E334" s="2">
        <f t="shared" si="50"/>
        <v>-2519.9404999999997</v>
      </c>
      <c r="F334" s="2">
        <f t="shared" si="51"/>
        <v>39.36024398464545</v>
      </c>
      <c r="G334" s="2">
        <f t="shared" si="52"/>
        <v>124.88849999999999</v>
      </c>
      <c r="H334" s="2">
        <f t="shared" si="53"/>
        <v>41.092365614173389</v>
      </c>
    </row>
    <row r="335" spans="2:8" hidden="1" x14ac:dyDescent="0.25">
      <c r="B335" s="2">
        <v>248</v>
      </c>
      <c r="C335" s="2">
        <f t="shared" si="48"/>
        <v>72.093999999999966</v>
      </c>
      <c r="D335" s="2">
        <f t="shared" si="49"/>
        <v>49.851863582651411</v>
      </c>
      <c r="E335" s="2">
        <f t="shared" si="50"/>
        <v>-2562.2080000000014</v>
      </c>
      <c r="F335" s="2">
        <f t="shared" si="51"/>
        <v>39.032004064920713</v>
      </c>
      <c r="G335" s="2">
        <f t="shared" si="52"/>
        <v>124.729</v>
      </c>
      <c r="H335" s="2">
        <f t="shared" si="53"/>
        <v>40.423405818698484</v>
      </c>
    </row>
    <row r="336" spans="2:8" hidden="1" x14ac:dyDescent="0.25">
      <c r="B336" s="2">
        <v>249</v>
      </c>
      <c r="C336" s="2">
        <f t="shared" si="48"/>
        <v>71.136999999999972</v>
      </c>
      <c r="D336" s="2">
        <f t="shared" si="49"/>
        <v>49.586865702627513</v>
      </c>
      <c r="E336" s="2">
        <f t="shared" si="50"/>
        <v>-2604.7945000000009</v>
      </c>
      <c r="F336" s="2">
        <f t="shared" si="51"/>
        <v>38.70414814519598</v>
      </c>
      <c r="G336" s="2">
        <f t="shared" si="52"/>
        <v>124.56950000000001</v>
      </c>
      <c r="H336" s="2">
        <f t="shared" si="53"/>
        <v>39.745126023223577</v>
      </c>
    </row>
    <row r="337" spans="2:8" hidden="1" x14ac:dyDescent="0.25">
      <c r="B337" s="2">
        <v>250</v>
      </c>
      <c r="C337" s="2">
        <f t="shared" si="48"/>
        <v>70.17999999999995</v>
      </c>
      <c r="D337" s="2">
        <f t="shared" si="49"/>
        <v>49.321205822603602</v>
      </c>
      <c r="E337" s="2">
        <f t="shared" si="50"/>
        <v>-2647.7000000000016</v>
      </c>
      <c r="F337" s="2">
        <f t="shared" si="51"/>
        <v>38.376676225471243</v>
      </c>
      <c r="G337" s="2">
        <f t="shared" si="52"/>
        <v>124.41</v>
      </c>
      <c r="H337" s="2">
        <f t="shared" si="53"/>
        <v>39.057526227748667</v>
      </c>
    </row>
    <row r="338" spans="2:8" hidden="1" x14ac:dyDescent="0.25">
      <c r="B338" s="2">
        <v>251</v>
      </c>
      <c r="C338" s="2">
        <f t="shared" si="48"/>
        <v>69.222999999999956</v>
      </c>
      <c r="D338" s="2">
        <f t="shared" si="49"/>
        <v>49.054883942579693</v>
      </c>
      <c r="E338" s="2">
        <f t="shared" si="50"/>
        <v>-2690.9245000000001</v>
      </c>
      <c r="F338" s="2">
        <f t="shared" si="51"/>
        <v>38.049588305746511</v>
      </c>
      <c r="G338" s="2">
        <f t="shared" si="52"/>
        <v>124.25049999999999</v>
      </c>
      <c r="H338" s="2">
        <f t="shared" si="53"/>
        <v>38.360606432273812</v>
      </c>
    </row>
    <row r="339" spans="2:8" hidden="1" x14ac:dyDescent="0.25">
      <c r="B339" s="2">
        <v>252</v>
      </c>
      <c r="C339" s="2">
        <f t="shared" si="48"/>
        <v>68.265999999999963</v>
      </c>
      <c r="D339" s="2">
        <f t="shared" si="49"/>
        <v>48.787900062555778</v>
      </c>
      <c r="E339" s="2">
        <f t="shared" si="50"/>
        <v>-2734.4680000000017</v>
      </c>
      <c r="F339" s="2">
        <f t="shared" si="51"/>
        <v>37.722884386021775</v>
      </c>
      <c r="G339" s="2">
        <f t="shared" si="52"/>
        <v>124.09099999999999</v>
      </c>
      <c r="H339" s="2">
        <f t="shared" si="53"/>
        <v>37.654366636798841</v>
      </c>
    </row>
    <row r="340" spans="2:8" hidden="1" x14ac:dyDescent="0.25">
      <c r="B340" s="2">
        <v>253</v>
      </c>
      <c r="C340" s="2">
        <f t="shared" si="48"/>
        <v>67.308999999999969</v>
      </c>
      <c r="D340" s="2">
        <f t="shared" si="49"/>
        <v>48.520254182531865</v>
      </c>
      <c r="E340" s="2">
        <f t="shared" si="50"/>
        <v>-2778.3305000000009</v>
      </c>
      <c r="F340" s="2">
        <f t="shared" si="51"/>
        <v>37.396564466297036</v>
      </c>
      <c r="G340" s="2">
        <f t="shared" si="52"/>
        <v>123.9315</v>
      </c>
      <c r="H340" s="2">
        <f t="shared" si="53"/>
        <v>36.938806841323981</v>
      </c>
    </row>
    <row r="341" spans="2:8" hidden="1" x14ac:dyDescent="0.25">
      <c r="B341" s="2">
        <v>254</v>
      </c>
      <c r="C341" s="2">
        <f t="shared" si="48"/>
        <v>66.351999999999947</v>
      </c>
      <c r="D341" s="2">
        <f t="shared" si="49"/>
        <v>48.251946302507967</v>
      </c>
      <c r="E341" s="2">
        <f t="shared" si="50"/>
        <v>-2822.5120000000015</v>
      </c>
      <c r="F341" s="2">
        <f t="shared" si="51"/>
        <v>37.070628546572308</v>
      </c>
      <c r="G341" s="2">
        <f t="shared" si="52"/>
        <v>123.77199999999999</v>
      </c>
      <c r="H341" s="2">
        <f t="shared" si="53"/>
        <v>36.213927045849061</v>
      </c>
    </row>
    <row r="342" spans="2:8" hidden="1" x14ac:dyDescent="0.25">
      <c r="B342" s="2">
        <v>255</v>
      </c>
      <c r="C342" s="2">
        <f t="shared" si="48"/>
        <v>65.394999999999953</v>
      </c>
      <c r="D342" s="2">
        <f t="shared" si="49"/>
        <v>47.982976422484043</v>
      </c>
      <c r="E342" s="2">
        <f t="shared" si="50"/>
        <v>-2867.0125000000016</v>
      </c>
      <c r="F342" s="2">
        <f t="shared" si="51"/>
        <v>36.74507662684757</v>
      </c>
      <c r="G342" s="2">
        <f t="shared" si="52"/>
        <v>123.6125</v>
      </c>
      <c r="H342" s="2">
        <f t="shared" si="53"/>
        <v>35.479727250374197</v>
      </c>
    </row>
    <row r="343" spans="2:8" hidden="1" x14ac:dyDescent="0.25">
      <c r="B343" s="2">
        <v>256</v>
      </c>
      <c r="C343" s="2">
        <f t="shared" si="48"/>
        <v>64.43799999999996</v>
      </c>
      <c r="D343" s="2">
        <f t="shared" si="49"/>
        <v>47.713344542460142</v>
      </c>
      <c r="E343" s="2">
        <f t="shared" si="50"/>
        <v>-2911.8320000000012</v>
      </c>
      <c r="F343" s="2">
        <f t="shared" si="51"/>
        <v>36.419908707122836</v>
      </c>
      <c r="G343" s="2">
        <f t="shared" si="52"/>
        <v>123.453</v>
      </c>
      <c r="H343" s="2">
        <f t="shared" si="53"/>
        <v>34.736207454899272</v>
      </c>
    </row>
    <row r="344" spans="2:8" hidden="1" x14ac:dyDescent="0.25">
      <c r="B344" s="2">
        <v>257</v>
      </c>
      <c r="C344" s="2">
        <f t="shared" si="48"/>
        <v>63.480999999999966</v>
      </c>
      <c r="D344" s="2">
        <f t="shared" si="49"/>
        <v>47.443050662436228</v>
      </c>
      <c r="E344" s="2">
        <f t="shared" si="50"/>
        <v>-2956.9705000000022</v>
      </c>
      <c r="F344" s="2">
        <f t="shared" si="51"/>
        <v>36.095124787398106</v>
      </c>
      <c r="G344" s="2">
        <f t="shared" si="52"/>
        <v>123.29349999999999</v>
      </c>
      <c r="H344" s="2">
        <f t="shared" si="53"/>
        <v>33.983367659424346</v>
      </c>
    </row>
    <row r="345" spans="2:8" hidden="1" x14ac:dyDescent="0.25">
      <c r="B345" s="2">
        <v>258</v>
      </c>
      <c r="C345" s="2">
        <f t="shared" ref="C345:C408" si="54">Q$57+$B345*Q$58+Q$59*$B345^2</f>
        <v>62.523999999999972</v>
      </c>
      <c r="D345" s="2">
        <f t="shared" ref="D345:D408" si="55">R$57+$B345*R$58+R$59*$B345^2</f>
        <v>47.172094782412316</v>
      </c>
      <c r="E345" s="2">
        <f t="shared" ref="E345:E408" si="56">S$57+$B345*S$58+S$59*$B345^2</f>
        <v>-3002.4280000000008</v>
      </c>
      <c r="F345" s="2">
        <f t="shared" ref="F345:F408" si="57">T$57+$B345*T$58+T$59*$B345^2</f>
        <v>35.770724867673366</v>
      </c>
      <c r="G345" s="2">
        <f t="shared" ref="G345:G408" si="58">U$57+$B345*U$58+U$59*$B345^2</f>
        <v>123.13399999999999</v>
      </c>
      <c r="H345" s="2">
        <f t="shared" ref="H345:H408" si="59">V$57+$B345*V$58+V$59*$B345^2</f>
        <v>33.221207863949473</v>
      </c>
    </row>
    <row r="346" spans="2:8" hidden="1" x14ac:dyDescent="0.25">
      <c r="B346" s="2">
        <v>259</v>
      </c>
      <c r="C346" s="2">
        <f t="shared" si="54"/>
        <v>61.56699999999995</v>
      </c>
      <c r="D346" s="2">
        <f t="shared" si="55"/>
        <v>46.900476902388405</v>
      </c>
      <c r="E346" s="2">
        <f t="shared" si="56"/>
        <v>-3048.2045000000007</v>
      </c>
      <c r="F346" s="2">
        <f t="shared" si="57"/>
        <v>35.446708947948636</v>
      </c>
      <c r="G346" s="2">
        <f t="shared" si="58"/>
        <v>122.97450000000001</v>
      </c>
      <c r="H346" s="2">
        <f t="shared" si="59"/>
        <v>32.449728068474542</v>
      </c>
    </row>
    <row r="347" spans="2:8" hidden="1" x14ac:dyDescent="0.25">
      <c r="B347" s="2">
        <v>260</v>
      </c>
      <c r="C347" s="2">
        <f t="shared" si="54"/>
        <v>60.609999999999957</v>
      </c>
      <c r="D347" s="2">
        <f t="shared" si="55"/>
        <v>46.628197022364489</v>
      </c>
      <c r="E347" s="2">
        <f t="shared" si="56"/>
        <v>-3094.300000000002</v>
      </c>
      <c r="F347" s="2">
        <f t="shared" si="57"/>
        <v>35.123077028223896</v>
      </c>
      <c r="G347" s="2">
        <f t="shared" si="58"/>
        <v>122.815</v>
      </c>
      <c r="H347" s="2">
        <f t="shared" si="59"/>
        <v>31.668928272999665</v>
      </c>
    </row>
    <row r="348" spans="2:8" hidden="1" x14ac:dyDescent="0.25">
      <c r="B348" s="2">
        <v>261</v>
      </c>
      <c r="C348" s="2">
        <f t="shared" si="54"/>
        <v>59.652999999999963</v>
      </c>
      <c r="D348" s="2">
        <f t="shared" si="55"/>
        <v>46.355255142340596</v>
      </c>
      <c r="E348" s="2">
        <f t="shared" si="56"/>
        <v>-3140.7145000000028</v>
      </c>
      <c r="F348" s="2">
        <f t="shared" si="57"/>
        <v>34.799829108499168</v>
      </c>
      <c r="G348" s="2">
        <f t="shared" si="58"/>
        <v>122.65549999999999</v>
      </c>
      <c r="H348" s="2">
        <f t="shared" si="59"/>
        <v>30.878808477524728</v>
      </c>
    </row>
    <row r="349" spans="2:8" hidden="1" x14ac:dyDescent="0.25">
      <c r="B349" s="2">
        <v>262</v>
      </c>
      <c r="C349" s="2">
        <f t="shared" si="54"/>
        <v>58.69599999999997</v>
      </c>
      <c r="D349" s="2">
        <f t="shared" si="55"/>
        <v>46.081651262316683</v>
      </c>
      <c r="E349" s="2">
        <f t="shared" si="56"/>
        <v>-3187.4480000000012</v>
      </c>
      <c r="F349" s="2">
        <f t="shared" si="57"/>
        <v>34.476965188774429</v>
      </c>
      <c r="G349" s="2">
        <f t="shared" si="58"/>
        <v>122.496</v>
      </c>
      <c r="H349" s="2">
        <f t="shared" si="59"/>
        <v>30.079368682049903</v>
      </c>
    </row>
    <row r="350" spans="2:8" hidden="1" x14ac:dyDescent="0.25">
      <c r="B350" s="2">
        <v>263</v>
      </c>
      <c r="C350" s="2">
        <f t="shared" si="54"/>
        <v>57.738999999999947</v>
      </c>
      <c r="D350" s="2">
        <f t="shared" si="55"/>
        <v>45.807385382292772</v>
      </c>
      <c r="E350" s="2">
        <f t="shared" si="56"/>
        <v>-3234.500500000001</v>
      </c>
      <c r="F350" s="2">
        <f t="shared" si="57"/>
        <v>34.154485269049694</v>
      </c>
      <c r="G350" s="2">
        <f t="shared" si="58"/>
        <v>122.3365</v>
      </c>
      <c r="H350" s="2">
        <f t="shared" si="59"/>
        <v>29.270608886574962</v>
      </c>
    </row>
    <row r="351" spans="2:8" hidden="1" x14ac:dyDescent="0.25">
      <c r="B351" s="2">
        <v>264</v>
      </c>
      <c r="C351" s="2">
        <f t="shared" si="54"/>
        <v>56.781999999999954</v>
      </c>
      <c r="D351" s="2">
        <f t="shared" si="55"/>
        <v>45.532457502268855</v>
      </c>
      <c r="E351" s="2">
        <f t="shared" si="56"/>
        <v>-3281.8720000000021</v>
      </c>
      <c r="F351" s="2">
        <f t="shared" si="57"/>
        <v>33.832389349324956</v>
      </c>
      <c r="G351" s="2">
        <f t="shared" si="58"/>
        <v>122.17699999999999</v>
      </c>
      <c r="H351" s="2">
        <f t="shared" si="59"/>
        <v>28.452529091100075</v>
      </c>
    </row>
    <row r="352" spans="2:8" hidden="1" x14ac:dyDescent="0.25">
      <c r="B352" s="2">
        <v>265</v>
      </c>
      <c r="C352" s="2">
        <f t="shared" si="54"/>
        <v>55.82499999999996</v>
      </c>
      <c r="D352" s="2">
        <f t="shared" si="55"/>
        <v>45.256867622244947</v>
      </c>
      <c r="E352" s="2">
        <f t="shared" si="56"/>
        <v>-3329.5625000000027</v>
      </c>
      <c r="F352" s="2">
        <f t="shared" si="57"/>
        <v>33.510677429600221</v>
      </c>
      <c r="G352" s="2">
        <f t="shared" si="58"/>
        <v>122.0175</v>
      </c>
      <c r="H352" s="2">
        <f t="shared" si="59"/>
        <v>27.625129295625186</v>
      </c>
    </row>
    <row r="353" spans="2:8" hidden="1" x14ac:dyDescent="0.25">
      <c r="B353" s="2">
        <v>266</v>
      </c>
      <c r="C353" s="2">
        <f t="shared" si="54"/>
        <v>54.867999999999967</v>
      </c>
      <c r="D353" s="2">
        <f t="shared" si="55"/>
        <v>44.980615742221033</v>
      </c>
      <c r="E353" s="2">
        <f t="shared" si="56"/>
        <v>-3377.572000000001</v>
      </c>
      <c r="F353" s="2">
        <f t="shared" si="57"/>
        <v>33.189349509875491</v>
      </c>
      <c r="G353" s="2">
        <f t="shared" si="58"/>
        <v>121.858</v>
      </c>
      <c r="H353" s="2">
        <f t="shared" si="59"/>
        <v>26.788409500150294</v>
      </c>
    </row>
    <row r="354" spans="2:8" hidden="1" x14ac:dyDescent="0.25">
      <c r="B354" s="2">
        <v>267</v>
      </c>
      <c r="C354" s="2">
        <f t="shared" si="54"/>
        <v>53.910999999999973</v>
      </c>
      <c r="D354" s="2">
        <f t="shared" si="55"/>
        <v>44.703701862197121</v>
      </c>
      <c r="E354" s="2">
        <f t="shared" si="56"/>
        <v>-3425.9005000000006</v>
      </c>
      <c r="F354" s="2">
        <f t="shared" si="57"/>
        <v>32.868405590150758</v>
      </c>
      <c r="G354" s="2">
        <f t="shared" si="58"/>
        <v>121.6985</v>
      </c>
      <c r="H354" s="2">
        <f t="shared" si="59"/>
        <v>25.942369704675343</v>
      </c>
    </row>
    <row r="355" spans="2:8" hidden="1" x14ac:dyDescent="0.25">
      <c r="B355" s="2">
        <v>268</v>
      </c>
      <c r="C355" s="2">
        <f t="shared" si="54"/>
        <v>52.953999999999951</v>
      </c>
      <c r="D355" s="2">
        <f t="shared" si="55"/>
        <v>44.426125982173225</v>
      </c>
      <c r="E355" s="2">
        <f t="shared" si="56"/>
        <v>-3474.5480000000016</v>
      </c>
      <c r="F355" s="2">
        <f t="shared" si="57"/>
        <v>32.547845670426021</v>
      </c>
      <c r="G355" s="2">
        <f t="shared" si="58"/>
        <v>121.53899999999999</v>
      </c>
      <c r="H355" s="2">
        <f t="shared" si="59"/>
        <v>25.087009909200503</v>
      </c>
    </row>
    <row r="356" spans="2:8" hidden="1" x14ac:dyDescent="0.25">
      <c r="B356" s="2">
        <v>269</v>
      </c>
      <c r="C356" s="2">
        <f t="shared" si="54"/>
        <v>51.996999999999957</v>
      </c>
      <c r="D356" s="2">
        <f t="shared" si="55"/>
        <v>44.147888102149309</v>
      </c>
      <c r="E356" s="2">
        <f t="shared" si="56"/>
        <v>-3523.5145000000002</v>
      </c>
      <c r="F356" s="2">
        <f t="shared" si="57"/>
        <v>32.227669750701288</v>
      </c>
      <c r="G356" s="2">
        <f t="shared" si="58"/>
        <v>121.37949999999999</v>
      </c>
      <c r="H356" s="2">
        <f t="shared" si="59"/>
        <v>24.222330113725548</v>
      </c>
    </row>
    <row r="357" spans="2:8" hidden="1" x14ac:dyDescent="0.25">
      <c r="B357" s="2">
        <v>270</v>
      </c>
      <c r="C357" s="2">
        <f t="shared" si="54"/>
        <v>51.039999999999964</v>
      </c>
      <c r="D357" s="2">
        <f t="shared" si="55"/>
        <v>43.868988222125395</v>
      </c>
      <c r="E357" s="2">
        <f t="shared" si="56"/>
        <v>-3572.800000000002</v>
      </c>
      <c r="F357" s="2">
        <f t="shared" si="57"/>
        <v>31.907877830976553</v>
      </c>
      <c r="G357" s="2">
        <f t="shared" si="58"/>
        <v>121.22</v>
      </c>
      <c r="H357" s="2">
        <f t="shared" si="59"/>
        <v>23.348330318250703</v>
      </c>
    </row>
    <row r="358" spans="2:8" hidden="1" x14ac:dyDescent="0.25">
      <c r="B358" s="2">
        <v>271</v>
      </c>
      <c r="C358" s="2">
        <f t="shared" si="54"/>
        <v>50.08299999999997</v>
      </c>
      <c r="D358" s="2">
        <f t="shared" si="55"/>
        <v>43.58942634210149</v>
      </c>
      <c r="E358" s="2">
        <f t="shared" si="56"/>
        <v>-3622.4045000000015</v>
      </c>
      <c r="F358" s="2">
        <f t="shared" si="57"/>
        <v>31.588469911251821</v>
      </c>
      <c r="G358" s="2">
        <f t="shared" si="58"/>
        <v>121.06049999999999</v>
      </c>
      <c r="H358" s="2">
        <f t="shared" si="59"/>
        <v>22.465010522775742</v>
      </c>
    </row>
    <row r="359" spans="2:8" hidden="1" x14ac:dyDescent="0.25">
      <c r="B359" s="2">
        <v>272</v>
      </c>
      <c r="C359" s="2">
        <f t="shared" si="54"/>
        <v>49.125999999999976</v>
      </c>
      <c r="D359" s="2">
        <f t="shared" si="55"/>
        <v>43.309202462077579</v>
      </c>
      <c r="E359" s="2">
        <f t="shared" si="56"/>
        <v>-3672.3280000000022</v>
      </c>
      <c r="F359" s="2">
        <f t="shared" si="57"/>
        <v>31.269445991527085</v>
      </c>
      <c r="G359" s="2">
        <f t="shared" si="58"/>
        <v>120.901</v>
      </c>
      <c r="H359" s="2">
        <f t="shared" si="59"/>
        <v>21.572370727300893</v>
      </c>
    </row>
    <row r="360" spans="2:8" hidden="1" x14ac:dyDescent="0.25">
      <c r="B360" s="2">
        <v>273</v>
      </c>
      <c r="C360" s="2">
        <f t="shared" si="54"/>
        <v>48.168999999999983</v>
      </c>
      <c r="D360" s="2">
        <f t="shared" si="55"/>
        <v>43.028316582053662</v>
      </c>
      <c r="E360" s="2">
        <f t="shared" si="56"/>
        <v>-3722.5705000000007</v>
      </c>
      <c r="F360" s="2">
        <f t="shared" si="57"/>
        <v>30.950806071802333</v>
      </c>
      <c r="G360" s="2">
        <f t="shared" si="58"/>
        <v>120.7415</v>
      </c>
      <c r="H360" s="2">
        <f t="shared" si="59"/>
        <v>20.670410931825984</v>
      </c>
    </row>
    <row r="361" spans="2:8" hidden="1" x14ac:dyDescent="0.25">
      <c r="B361" s="2">
        <v>274</v>
      </c>
      <c r="C361" s="2">
        <f t="shared" si="54"/>
        <v>47.211999999999932</v>
      </c>
      <c r="D361" s="2">
        <f t="shared" si="55"/>
        <v>42.746768702029755</v>
      </c>
      <c r="E361" s="2">
        <f t="shared" si="56"/>
        <v>-3773.1320000000014</v>
      </c>
      <c r="F361" s="2">
        <f t="shared" si="57"/>
        <v>30.632550152077599</v>
      </c>
      <c r="G361" s="2">
        <f t="shared" si="58"/>
        <v>120.58199999999999</v>
      </c>
      <c r="H361" s="2">
        <f t="shared" si="59"/>
        <v>19.759131136351073</v>
      </c>
    </row>
    <row r="362" spans="2:8" hidden="1" x14ac:dyDescent="0.25">
      <c r="B362" s="2">
        <v>275</v>
      </c>
      <c r="C362" s="2">
        <f t="shared" si="54"/>
        <v>46.254999999999939</v>
      </c>
      <c r="D362" s="2">
        <f t="shared" si="55"/>
        <v>42.464558822005856</v>
      </c>
      <c r="E362" s="2">
        <f t="shared" si="56"/>
        <v>-3824.0125000000007</v>
      </c>
      <c r="F362" s="2">
        <f t="shared" si="57"/>
        <v>30.314678232352865</v>
      </c>
      <c r="G362" s="2">
        <f t="shared" si="58"/>
        <v>120.42249999999999</v>
      </c>
      <c r="H362" s="2">
        <f t="shared" si="59"/>
        <v>18.838531340876159</v>
      </c>
    </row>
    <row r="363" spans="2:8" hidden="1" x14ac:dyDescent="0.25">
      <c r="B363" s="2">
        <v>276</v>
      </c>
      <c r="C363" s="2">
        <f t="shared" si="54"/>
        <v>45.297999999999945</v>
      </c>
      <c r="D363" s="2">
        <f t="shared" si="55"/>
        <v>42.181686941981937</v>
      </c>
      <c r="E363" s="2">
        <f t="shared" si="56"/>
        <v>-3875.2119999999995</v>
      </c>
      <c r="F363" s="2">
        <f t="shared" si="57"/>
        <v>29.997190312628131</v>
      </c>
      <c r="G363" s="2">
        <f t="shared" si="58"/>
        <v>120.26300000000001</v>
      </c>
      <c r="H363" s="2">
        <f t="shared" si="59"/>
        <v>17.908611545401243</v>
      </c>
    </row>
    <row r="364" spans="2:8" hidden="1" x14ac:dyDescent="0.25">
      <c r="B364" s="2">
        <v>277</v>
      </c>
      <c r="C364" s="2">
        <f t="shared" si="54"/>
        <v>44.340999999999951</v>
      </c>
      <c r="D364" s="2">
        <f t="shared" si="55"/>
        <v>41.898153061958027</v>
      </c>
      <c r="E364" s="2">
        <f t="shared" si="56"/>
        <v>-3926.7305000000015</v>
      </c>
      <c r="F364" s="2">
        <f t="shared" si="57"/>
        <v>29.680086392903398</v>
      </c>
      <c r="G364" s="2">
        <f t="shared" si="58"/>
        <v>120.1035</v>
      </c>
      <c r="H364" s="2">
        <f t="shared" si="59"/>
        <v>16.969371749926381</v>
      </c>
    </row>
    <row r="365" spans="2:8" hidden="1" x14ac:dyDescent="0.25">
      <c r="B365" s="2">
        <v>278</v>
      </c>
      <c r="C365" s="2">
        <f t="shared" si="54"/>
        <v>43.383999999999958</v>
      </c>
      <c r="D365" s="2">
        <f t="shared" si="55"/>
        <v>41.613957181934119</v>
      </c>
      <c r="E365" s="2">
        <f t="shared" si="56"/>
        <v>-3978.5680000000011</v>
      </c>
      <c r="F365" s="2">
        <f t="shared" si="57"/>
        <v>29.363366473178662</v>
      </c>
      <c r="G365" s="2">
        <f t="shared" si="58"/>
        <v>119.94399999999999</v>
      </c>
      <c r="H365" s="2">
        <f t="shared" si="59"/>
        <v>16.02081195445146</v>
      </c>
    </row>
    <row r="366" spans="2:8" hidden="1" x14ac:dyDescent="0.25">
      <c r="B366" s="2">
        <v>279</v>
      </c>
      <c r="C366" s="2">
        <f t="shared" si="54"/>
        <v>42.426999999999964</v>
      </c>
      <c r="D366" s="2">
        <f t="shared" si="55"/>
        <v>41.329099301910205</v>
      </c>
      <c r="E366" s="2">
        <f t="shared" si="56"/>
        <v>-4030.7245000000021</v>
      </c>
      <c r="F366" s="2">
        <f t="shared" si="57"/>
        <v>29.047030553453929</v>
      </c>
      <c r="G366" s="2">
        <f t="shared" si="58"/>
        <v>119.78449999999999</v>
      </c>
      <c r="H366" s="2">
        <f t="shared" si="59"/>
        <v>15.062932158976594</v>
      </c>
    </row>
    <row r="367" spans="2:8" hidden="1" x14ac:dyDescent="0.25">
      <c r="B367" s="2">
        <v>280</v>
      </c>
      <c r="C367" s="2">
        <f t="shared" si="54"/>
        <v>41.46999999999997</v>
      </c>
      <c r="D367" s="2">
        <f t="shared" si="55"/>
        <v>41.043579421886307</v>
      </c>
      <c r="E367" s="2">
        <f t="shared" si="56"/>
        <v>-4083.2000000000025</v>
      </c>
      <c r="F367" s="2">
        <f t="shared" si="57"/>
        <v>28.73107863372919</v>
      </c>
      <c r="G367" s="2">
        <f t="shared" si="58"/>
        <v>119.625</v>
      </c>
      <c r="H367" s="2">
        <f t="shared" si="59"/>
        <v>14.095732363501668</v>
      </c>
    </row>
    <row r="368" spans="2:8" hidden="1" x14ac:dyDescent="0.25">
      <c r="B368" s="2">
        <v>281</v>
      </c>
      <c r="C368" s="2">
        <f t="shared" si="54"/>
        <v>40.512999999999977</v>
      </c>
      <c r="D368" s="2">
        <f t="shared" si="55"/>
        <v>40.757397541862382</v>
      </c>
      <c r="E368" s="2">
        <f t="shared" si="56"/>
        <v>-4135.9945000000007</v>
      </c>
      <c r="F368" s="2">
        <f t="shared" si="57"/>
        <v>28.415510714004458</v>
      </c>
      <c r="G368" s="2">
        <f t="shared" si="58"/>
        <v>119.46549999999999</v>
      </c>
      <c r="H368" s="2">
        <f t="shared" si="59"/>
        <v>13.119212568026796</v>
      </c>
    </row>
    <row r="369" spans="2:8" hidden="1" x14ac:dyDescent="0.25">
      <c r="B369" s="2">
        <v>282</v>
      </c>
      <c r="C369" s="2">
        <f t="shared" si="54"/>
        <v>39.555999999999983</v>
      </c>
      <c r="D369" s="2">
        <f t="shared" si="55"/>
        <v>40.47055366183848</v>
      </c>
      <c r="E369" s="2">
        <f t="shared" si="56"/>
        <v>-4189.108000000002</v>
      </c>
      <c r="F369" s="2">
        <f t="shared" si="57"/>
        <v>28.100326794279724</v>
      </c>
      <c r="G369" s="2">
        <f t="shared" si="58"/>
        <v>119.306</v>
      </c>
      <c r="H369" s="2">
        <f t="shared" si="59"/>
        <v>12.133372772551866</v>
      </c>
    </row>
    <row r="370" spans="2:8" hidden="1" x14ac:dyDescent="0.25">
      <c r="B370" s="2">
        <v>283</v>
      </c>
      <c r="C370" s="2">
        <f t="shared" si="54"/>
        <v>38.598999999999933</v>
      </c>
      <c r="D370" s="2">
        <f t="shared" si="55"/>
        <v>40.183047781814565</v>
      </c>
      <c r="E370" s="2">
        <f t="shared" si="56"/>
        <v>-4242.540500000001</v>
      </c>
      <c r="F370" s="2">
        <f t="shared" si="57"/>
        <v>27.785526874554989</v>
      </c>
      <c r="G370" s="2">
        <f t="shared" si="58"/>
        <v>119.1465</v>
      </c>
      <c r="H370" s="2">
        <f t="shared" si="59"/>
        <v>11.138212977076989</v>
      </c>
    </row>
    <row r="371" spans="2:8" hidden="1" x14ac:dyDescent="0.25">
      <c r="B371" s="2">
        <v>284</v>
      </c>
      <c r="C371" s="2">
        <f t="shared" si="54"/>
        <v>37.641999999999939</v>
      </c>
      <c r="D371" s="2">
        <f t="shared" si="55"/>
        <v>39.894879901790659</v>
      </c>
      <c r="E371" s="2">
        <f t="shared" si="56"/>
        <v>-4296.2919999999995</v>
      </c>
      <c r="F371" s="2">
        <f t="shared" si="57"/>
        <v>27.471110954830255</v>
      </c>
      <c r="G371" s="2">
        <f t="shared" si="58"/>
        <v>118.98699999999999</v>
      </c>
      <c r="H371" s="2">
        <f t="shared" si="59"/>
        <v>10.133733181602054</v>
      </c>
    </row>
    <row r="372" spans="2:8" hidden="1" x14ac:dyDescent="0.25">
      <c r="B372" s="2">
        <v>285</v>
      </c>
      <c r="C372" s="2">
        <f t="shared" si="54"/>
        <v>36.684999999999945</v>
      </c>
      <c r="D372" s="2">
        <f t="shared" si="55"/>
        <v>39.606050021766748</v>
      </c>
      <c r="E372" s="2">
        <f t="shared" si="56"/>
        <v>-4350.3625000000029</v>
      </c>
      <c r="F372" s="2">
        <f t="shared" si="57"/>
        <v>27.157079035105518</v>
      </c>
      <c r="G372" s="2">
        <f t="shared" si="58"/>
        <v>118.82749999999999</v>
      </c>
      <c r="H372" s="2">
        <f t="shared" si="59"/>
        <v>9.1199333861271725</v>
      </c>
    </row>
    <row r="373" spans="2:8" hidden="1" x14ac:dyDescent="0.25">
      <c r="B373" s="2">
        <v>286</v>
      </c>
      <c r="C373" s="2">
        <f t="shared" si="54"/>
        <v>35.727999999999952</v>
      </c>
      <c r="D373" s="2">
        <f t="shared" si="55"/>
        <v>39.316558141742831</v>
      </c>
      <c r="E373" s="2">
        <f t="shared" si="56"/>
        <v>-4404.7520000000004</v>
      </c>
      <c r="F373" s="2">
        <f t="shared" si="57"/>
        <v>26.843431115380785</v>
      </c>
      <c r="G373" s="2">
        <f t="shared" si="58"/>
        <v>118.66800000000001</v>
      </c>
      <c r="H373" s="2">
        <f t="shared" si="59"/>
        <v>8.0968135906522889</v>
      </c>
    </row>
    <row r="374" spans="2:8" hidden="1" x14ac:dyDescent="0.25">
      <c r="B374" s="2">
        <v>287</v>
      </c>
      <c r="C374" s="2">
        <f t="shared" si="54"/>
        <v>34.770999999999958</v>
      </c>
      <c r="D374" s="2">
        <f t="shared" si="55"/>
        <v>39.026404261718938</v>
      </c>
      <c r="E374" s="2">
        <f t="shared" si="56"/>
        <v>-4459.4604999999992</v>
      </c>
      <c r="F374" s="2">
        <f t="shared" si="57"/>
        <v>26.530167195656048</v>
      </c>
      <c r="G374" s="2">
        <f t="shared" si="58"/>
        <v>118.5085</v>
      </c>
      <c r="H374" s="2">
        <f t="shared" si="59"/>
        <v>7.0643737951774028</v>
      </c>
    </row>
    <row r="375" spans="2:8" hidden="1" x14ac:dyDescent="0.25">
      <c r="B375" s="2">
        <v>288</v>
      </c>
      <c r="C375" s="2">
        <f t="shared" si="54"/>
        <v>33.813999999999965</v>
      </c>
      <c r="D375" s="2">
        <f t="shared" si="55"/>
        <v>38.73558838169501</v>
      </c>
      <c r="E375" s="2">
        <f t="shared" si="56"/>
        <v>-4514.488000000003</v>
      </c>
      <c r="F375" s="2">
        <f t="shared" si="57"/>
        <v>26.217287275931316</v>
      </c>
      <c r="G375" s="2">
        <f t="shared" si="58"/>
        <v>118.34899999999999</v>
      </c>
      <c r="H375" s="2">
        <f t="shared" si="59"/>
        <v>6.0226139997024575</v>
      </c>
    </row>
    <row r="376" spans="2:8" hidden="1" x14ac:dyDescent="0.25">
      <c r="B376" s="2">
        <v>289</v>
      </c>
      <c r="C376" s="2">
        <f t="shared" si="54"/>
        <v>32.856999999999971</v>
      </c>
      <c r="D376" s="2">
        <f t="shared" si="55"/>
        <v>38.444110501671112</v>
      </c>
      <c r="E376" s="2">
        <f t="shared" si="56"/>
        <v>-4569.8345000000008</v>
      </c>
      <c r="F376" s="2">
        <f t="shared" si="57"/>
        <v>25.90479135620658</v>
      </c>
      <c r="G376" s="2">
        <f t="shared" si="58"/>
        <v>118.1895</v>
      </c>
      <c r="H376" s="2">
        <f t="shared" si="59"/>
        <v>4.9715342042275665</v>
      </c>
    </row>
    <row r="377" spans="2:8" hidden="1" x14ac:dyDescent="0.25">
      <c r="B377" s="2">
        <v>290</v>
      </c>
      <c r="C377" s="2">
        <f t="shared" si="54"/>
        <v>31.899999999999977</v>
      </c>
      <c r="D377" s="2">
        <f t="shared" si="55"/>
        <v>38.151970621647195</v>
      </c>
      <c r="E377" s="2">
        <f t="shared" si="56"/>
        <v>-4625.5000000000036</v>
      </c>
      <c r="F377" s="2">
        <f t="shared" si="57"/>
        <v>25.592679436481848</v>
      </c>
      <c r="G377" s="2">
        <f t="shared" si="58"/>
        <v>118.03</v>
      </c>
      <c r="H377" s="2">
        <f t="shared" si="59"/>
        <v>3.9111344087526732</v>
      </c>
    </row>
    <row r="378" spans="2:8" hidden="1" x14ac:dyDescent="0.25">
      <c r="B378" s="2">
        <v>291</v>
      </c>
      <c r="C378" s="2">
        <f t="shared" si="54"/>
        <v>30.942999999999984</v>
      </c>
      <c r="D378" s="2">
        <f t="shared" si="55"/>
        <v>37.859168741623286</v>
      </c>
      <c r="E378" s="2">
        <f t="shared" si="56"/>
        <v>-4681.4845000000023</v>
      </c>
      <c r="F378" s="2">
        <f t="shared" si="57"/>
        <v>25.280951516757113</v>
      </c>
      <c r="G378" s="2">
        <f t="shared" si="58"/>
        <v>117.87049999999999</v>
      </c>
      <c r="H378" s="2">
        <f t="shared" si="59"/>
        <v>2.8414146132777205</v>
      </c>
    </row>
    <row r="379" spans="2:8" hidden="1" x14ac:dyDescent="0.25">
      <c r="B379" s="2">
        <v>292</v>
      </c>
      <c r="C379" s="2">
        <f t="shared" si="54"/>
        <v>29.985999999999933</v>
      </c>
      <c r="D379" s="2">
        <f t="shared" si="55"/>
        <v>37.565704861599372</v>
      </c>
      <c r="E379" s="2">
        <f t="shared" si="56"/>
        <v>-4737.7880000000005</v>
      </c>
      <c r="F379" s="2">
        <f t="shared" si="57"/>
        <v>24.969607597032379</v>
      </c>
      <c r="G379" s="2">
        <f t="shared" si="58"/>
        <v>117.711</v>
      </c>
      <c r="H379" s="2">
        <f t="shared" si="59"/>
        <v>1.7623748178028791</v>
      </c>
    </row>
    <row r="380" spans="2:8" hidden="1" x14ac:dyDescent="0.25">
      <c r="B380" s="2">
        <v>293</v>
      </c>
      <c r="C380" s="2">
        <f t="shared" si="54"/>
        <v>29.02899999999994</v>
      </c>
      <c r="D380" s="2">
        <f t="shared" si="55"/>
        <v>37.271578981575459</v>
      </c>
      <c r="E380" s="2">
        <f t="shared" si="56"/>
        <v>-4794.4105000000036</v>
      </c>
      <c r="F380" s="2">
        <f t="shared" si="57"/>
        <v>24.658647677307645</v>
      </c>
      <c r="G380" s="2">
        <f t="shared" si="58"/>
        <v>117.5515</v>
      </c>
      <c r="H380" s="2">
        <f t="shared" si="59"/>
        <v>0.67401502232792154</v>
      </c>
    </row>
    <row r="381" spans="2:8" hidden="1" x14ac:dyDescent="0.25">
      <c r="B381" s="2">
        <v>294</v>
      </c>
      <c r="C381" s="2">
        <f t="shared" si="54"/>
        <v>28.071999999999946</v>
      </c>
      <c r="D381" s="2">
        <f t="shared" si="55"/>
        <v>36.976791101551569</v>
      </c>
      <c r="E381" s="2">
        <f t="shared" si="56"/>
        <v>-4851.3520000000008</v>
      </c>
      <c r="F381" s="2">
        <f t="shared" si="57"/>
        <v>24.348071757582908</v>
      </c>
      <c r="G381" s="2">
        <f t="shared" si="58"/>
        <v>117.392</v>
      </c>
      <c r="H381" s="2">
        <f t="shared" si="59"/>
        <v>-0.42366477314692474</v>
      </c>
    </row>
    <row r="382" spans="2:8" hidden="1" x14ac:dyDescent="0.25">
      <c r="B382" s="2">
        <v>295</v>
      </c>
      <c r="C382" s="2">
        <f t="shared" si="54"/>
        <v>27.114999999999952</v>
      </c>
      <c r="D382" s="2">
        <f t="shared" si="55"/>
        <v>36.681341221527653</v>
      </c>
      <c r="E382" s="2">
        <f t="shared" si="56"/>
        <v>-4908.6125000000011</v>
      </c>
      <c r="F382" s="2">
        <f t="shared" si="57"/>
        <v>24.037879837858174</v>
      </c>
      <c r="G382" s="2">
        <f t="shared" si="58"/>
        <v>117.23249999999999</v>
      </c>
      <c r="H382" s="2">
        <f t="shared" si="59"/>
        <v>-1.5306645686218303</v>
      </c>
    </row>
    <row r="383" spans="2:8" hidden="1" x14ac:dyDescent="0.25">
      <c r="B383" s="2">
        <v>296</v>
      </c>
      <c r="C383" s="2">
        <f t="shared" si="54"/>
        <v>26.157999999999959</v>
      </c>
      <c r="D383" s="2">
        <f t="shared" si="55"/>
        <v>36.385229341503745</v>
      </c>
      <c r="E383" s="2">
        <f t="shared" si="56"/>
        <v>-4966.1920000000027</v>
      </c>
      <c r="F383" s="2">
        <f t="shared" si="57"/>
        <v>23.728071918133441</v>
      </c>
      <c r="G383" s="2">
        <f t="shared" si="58"/>
        <v>117.07299999999999</v>
      </c>
      <c r="H383" s="2">
        <f t="shared" si="59"/>
        <v>-2.6469843640967383</v>
      </c>
    </row>
    <row r="384" spans="2:8" hidden="1" x14ac:dyDescent="0.25">
      <c r="B384" s="2">
        <v>297</v>
      </c>
      <c r="C384" s="2">
        <f t="shared" si="54"/>
        <v>25.200999999999965</v>
      </c>
      <c r="D384" s="2">
        <f t="shared" si="55"/>
        <v>36.088455461479825</v>
      </c>
      <c r="E384" s="2">
        <f t="shared" si="56"/>
        <v>-5024.0905000000021</v>
      </c>
      <c r="F384" s="2">
        <f t="shared" si="57"/>
        <v>23.418647998408705</v>
      </c>
      <c r="G384" s="2">
        <f t="shared" si="58"/>
        <v>116.9135</v>
      </c>
      <c r="H384" s="2">
        <f t="shared" si="59"/>
        <v>-3.7726241595716488</v>
      </c>
    </row>
    <row r="385" spans="2:8" hidden="1" x14ac:dyDescent="0.25">
      <c r="B385" s="2">
        <v>298</v>
      </c>
      <c r="C385" s="2">
        <f t="shared" si="54"/>
        <v>24.243999999999971</v>
      </c>
      <c r="D385" s="2">
        <f t="shared" si="55"/>
        <v>35.791019581455913</v>
      </c>
      <c r="E385" s="2">
        <f t="shared" si="56"/>
        <v>-5082.3079999999991</v>
      </c>
      <c r="F385" s="2">
        <f t="shared" si="57"/>
        <v>23.109608078683969</v>
      </c>
      <c r="G385" s="2">
        <f t="shared" si="58"/>
        <v>116.75399999999999</v>
      </c>
      <c r="H385" s="2">
        <f t="shared" si="59"/>
        <v>-4.9075839550465048</v>
      </c>
    </row>
    <row r="386" spans="2:8" hidden="1" x14ac:dyDescent="0.25">
      <c r="B386" s="2">
        <v>299</v>
      </c>
      <c r="C386" s="2">
        <f t="shared" si="54"/>
        <v>23.286999999999978</v>
      </c>
      <c r="D386" s="2">
        <f t="shared" si="55"/>
        <v>35.492921701432003</v>
      </c>
      <c r="E386" s="2">
        <f t="shared" si="56"/>
        <v>-5140.8445000000029</v>
      </c>
      <c r="F386" s="2">
        <f t="shared" si="57"/>
        <v>22.800952158959237</v>
      </c>
      <c r="G386" s="2">
        <f t="shared" si="58"/>
        <v>116.5945</v>
      </c>
      <c r="H386" s="2">
        <f t="shared" si="59"/>
        <v>-6.0518637505214201</v>
      </c>
    </row>
    <row r="387" spans="2:8" hidden="1" x14ac:dyDescent="0.25">
      <c r="B387" s="2">
        <v>300</v>
      </c>
      <c r="C387" s="2">
        <f t="shared" si="54"/>
        <v>22.329999999999984</v>
      </c>
      <c r="D387" s="2">
        <f t="shared" si="55"/>
        <v>35.194161821408088</v>
      </c>
      <c r="E387" s="2">
        <f t="shared" si="56"/>
        <v>-5199.7000000000007</v>
      </c>
      <c r="F387" s="2">
        <f t="shared" si="57"/>
        <v>22.492680239234502</v>
      </c>
      <c r="G387" s="2">
        <f t="shared" si="58"/>
        <v>116.435</v>
      </c>
      <c r="H387" s="2">
        <f t="shared" si="59"/>
        <v>-7.2054635459963379</v>
      </c>
    </row>
    <row r="388" spans="2:8" hidden="1" x14ac:dyDescent="0.25">
      <c r="B388" s="2">
        <v>301</v>
      </c>
      <c r="C388" s="2">
        <f t="shared" si="54"/>
        <v>21.372999999999934</v>
      </c>
      <c r="D388" s="2">
        <f t="shared" si="55"/>
        <v>34.894739941384195</v>
      </c>
      <c r="E388" s="2">
        <f t="shared" si="56"/>
        <v>-5258.8745000000035</v>
      </c>
      <c r="F388" s="2">
        <f t="shared" si="57"/>
        <v>22.184792319509768</v>
      </c>
      <c r="G388" s="2">
        <f t="shared" si="58"/>
        <v>116.27549999999999</v>
      </c>
      <c r="H388" s="2">
        <f t="shared" si="59"/>
        <v>-8.3683833414712581</v>
      </c>
    </row>
    <row r="389" spans="2:8" hidden="1" x14ac:dyDescent="0.25">
      <c r="B389" s="2">
        <v>302</v>
      </c>
      <c r="C389" s="2">
        <f t="shared" si="54"/>
        <v>20.41599999999994</v>
      </c>
      <c r="D389" s="2">
        <f t="shared" si="55"/>
        <v>34.594656061360283</v>
      </c>
      <c r="E389" s="2">
        <f t="shared" si="56"/>
        <v>-5318.3680000000022</v>
      </c>
      <c r="F389" s="2">
        <f t="shared" si="57"/>
        <v>21.877288399785034</v>
      </c>
      <c r="G389" s="2">
        <f t="shared" si="58"/>
        <v>116.11599999999999</v>
      </c>
      <c r="H389" s="2">
        <f t="shared" si="59"/>
        <v>-9.5406231369461239</v>
      </c>
    </row>
    <row r="390" spans="2:8" hidden="1" x14ac:dyDescent="0.25">
      <c r="B390" s="2">
        <v>303</v>
      </c>
      <c r="C390" s="2">
        <f t="shared" si="54"/>
        <v>19.458999999999946</v>
      </c>
      <c r="D390" s="2">
        <f t="shared" si="55"/>
        <v>34.293910181336372</v>
      </c>
      <c r="E390" s="2">
        <f t="shared" si="56"/>
        <v>-5378.1805000000004</v>
      </c>
      <c r="F390" s="2">
        <f t="shared" si="57"/>
        <v>21.570168480060286</v>
      </c>
      <c r="G390" s="2">
        <f t="shared" si="58"/>
        <v>115.95650000000001</v>
      </c>
      <c r="H390" s="2">
        <f t="shared" si="59"/>
        <v>-10.722182932421049</v>
      </c>
    </row>
    <row r="391" spans="2:8" hidden="1" x14ac:dyDescent="0.25">
      <c r="B391" s="2">
        <v>304</v>
      </c>
      <c r="C391" s="2">
        <f t="shared" si="54"/>
        <v>18.501999999999953</v>
      </c>
      <c r="D391" s="2">
        <f t="shared" si="55"/>
        <v>33.992502301312456</v>
      </c>
      <c r="E391" s="2">
        <f t="shared" si="56"/>
        <v>-5438.3120000000035</v>
      </c>
      <c r="F391" s="2">
        <f t="shared" si="57"/>
        <v>21.263432560335549</v>
      </c>
      <c r="G391" s="2">
        <f t="shared" si="58"/>
        <v>115.797</v>
      </c>
      <c r="H391" s="2">
        <f t="shared" si="59"/>
        <v>-11.913062727895976</v>
      </c>
    </row>
    <row r="392" spans="2:8" hidden="1" x14ac:dyDescent="0.25">
      <c r="B392" s="2">
        <v>305</v>
      </c>
      <c r="C392" s="2">
        <f t="shared" si="54"/>
        <v>17.544999999999959</v>
      </c>
      <c r="D392" s="2">
        <f t="shared" si="55"/>
        <v>33.690432421288548</v>
      </c>
      <c r="E392" s="2">
        <f t="shared" si="56"/>
        <v>-5498.7625000000025</v>
      </c>
      <c r="F392" s="2">
        <f t="shared" si="57"/>
        <v>20.957080640610815</v>
      </c>
      <c r="G392" s="2">
        <f t="shared" si="58"/>
        <v>115.63749999999999</v>
      </c>
      <c r="H392" s="2">
        <f t="shared" si="59"/>
        <v>-13.11326252337085</v>
      </c>
    </row>
    <row r="393" spans="2:8" hidden="1" x14ac:dyDescent="0.25">
      <c r="B393" s="2">
        <v>306</v>
      </c>
      <c r="C393" s="2">
        <f t="shared" si="54"/>
        <v>16.587999999999965</v>
      </c>
      <c r="D393" s="2">
        <f t="shared" si="55"/>
        <v>33.387700541264635</v>
      </c>
      <c r="E393" s="2">
        <f t="shared" si="56"/>
        <v>-5559.5320000000011</v>
      </c>
      <c r="F393" s="2">
        <f t="shared" si="57"/>
        <v>20.651112720886079</v>
      </c>
      <c r="G393" s="2">
        <f t="shared" si="58"/>
        <v>115.47799999999999</v>
      </c>
      <c r="H393" s="2">
        <f t="shared" si="59"/>
        <v>-14.322782318845782</v>
      </c>
    </row>
    <row r="394" spans="2:8" hidden="1" x14ac:dyDescent="0.25">
      <c r="B394" s="2">
        <v>307</v>
      </c>
      <c r="C394" s="2">
        <f t="shared" si="54"/>
        <v>15.630999999999972</v>
      </c>
      <c r="D394" s="2">
        <f t="shared" si="55"/>
        <v>33.084306661240717</v>
      </c>
      <c r="E394" s="2">
        <f t="shared" si="56"/>
        <v>-5620.6205000000027</v>
      </c>
      <c r="F394" s="2">
        <f t="shared" si="57"/>
        <v>20.345528801161347</v>
      </c>
      <c r="G394" s="2">
        <f t="shared" si="58"/>
        <v>115.3185</v>
      </c>
      <c r="H394" s="2">
        <f t="shared" si="59"/>
        <v>-15.541622114320603</v>
      </c>
    </row>
    <row r="395" spans="2:8" hidden="1" x14ac:dyDescent="0.25">
      <c r="B395" s="2">
        <v>308</v>
      </c>
      <c r="C395" s="2">
        <f t="shared" si="54"/>
        <v>14.673999999999978</v>
      </c>
      <c r="D395" s="2">
        <f t="shared" si="55"/>
        <v>32.780250781216822</v>
      </c>
      <c r="E395" s="2">
        <f t="shared" si="56"/>
        <v>-5682.0280000000021</v>
      </c>
      <c r="F395" s="2">
        <f t="shared" si="57"/>
        <v>20.040328881436611</v>
      </c>
      <c r="G395" s="2">
        <f t="shared" si="58"/>
        <v>115.15899999999999</v>
      </c>
      <c r="H395" s="2">
        <f t="shared" si="59"/>
        <v>-16.76978190979554</v>
      </c>
    </row>
    <row r="396" spans="2:8" hidden="1" x14ac:dyDescent="0.25">
      <c r="B396" s="2">
        <v>309</v>
      </c>
      <c r="C396" s="2">
        <f t="shared" si="54"/>
        <v>13.716999999999985</v>
      </c>
      <c r="D396" s="2">
        <f t="shared" si="55"/>
        <v>32.475532901192906</v>
      </c>
      <c r="E396" s="2">
        <f t="shared" si="56"/>
        <v>-5743.7545000000009</v>
      </c>
      <c r="F396" s="2">
        <f t="shared" si="57"/>
        <v>19.735512961711876</v>
      </c>
      <c r="G396" s="2">
        <f t="shared" si="58"/>
        <v>114.9995</v>
      </c>
      <c r="H396" s="2">
        <f t="shared" si="59"/>
        <v>-18.007261705270423</v>
      </c>
    </row>
    <row r="397" spans="2:8" hidden="1" x14ac:dyDescent="0.25">
      <c r="B397" s="2">
        <v>310</v>
      </c>
      <c r="C397" s="2">
        <f t="shared" si="54"/>
        <v>12.759999999999934</v>
      </c>
      <c r="D397" s="2">
        <f t="shared" si="55"/>
        <v>32.170153021169</v>
      </c>
      <c r="E397" s="2">
        <f t="shared" si="56"/>
        <v>-5805.8000000000029</v>
      </c>
      <c r="F397" s="2">
        <f t="shared" si="57"/>
        <v>19.431081041987142</v>
      </c>
      <c r="G397" s="2">
        <f t="shared" si="58"/>
        <v>114.84</v>
      </c>
      <c r="H397" s="2">
        <f t="shared" si="59"/>
        <v>-19.254061500745365</v>
      </c>
    </row>
    <row r="398" spans="2:8" hidden="1" x14ac:dyDescent="0.25">
      <c r="B398" s="2">
        <v>311</v>
      </c>
      <c r="C398" s="2">
        <f t="shared" si="54"/>
        <v>11.80299999999994</v>
      </c>
      <c r="D398" s="2">
        <f t="shared" si="55"/>
        <v>31.864111141145088</v>
      </c>
      <c r="E398" s="2">
        <f t="shared" si="56"/>
        <v>-5868.1645000000008</v>
      </c>
      <c r="F398" s="2">
        <f t="shared" si="57"/>
        <v>19.127033122262407</v>
      </c>
      <c r="G398" s="2">
        <f t="shared" si="58"/>
        <v>114.68049999999999</v>
      </c>
      <c r="H398" s="2">
        <f t="shared" si="59"/>
        <v>-20.510181296220196</v>
      </c>
    </row>
    <row r="399" spans="2:8" hidden="1" x14ac:dyDescent="0.25">
      <c r="B399" s="2">
        <v>312</v>
      </c>
      <c r="C399" s="2">
        <f t="shared" si="54"/>
        <v>10.845999999999947</v>
      </c>
      <c r="D399" s="2">
        <f t="shared" si="55"/>
        <v>31.557407261121178</v>
      </c>
      <c r="E399" s="2">
        <f t="shared" si="56"/>
        <v>-5930.848</v>
      </c>
      <c r="F399" s="2">
        <f t="shared" si="57"/>
        <v>18.823369202537673</v>
      </c>
      <c r="G399" s="2">
        <f t="shared" si="58"/>
        <v>114.52099999999999</v>
      </c>
      <c r="H399" s="2">
        <f t="shared" si="59"/>
        <v>-21.775621091695143</v>
      </c>
    </row>
    <row r="400" spans="2:8" hidden="1" x14ac:dyDescent="0.25">
      <c r="B400" s="2">
        <v>313</v>
      </c>
      <c r="C400" s="2">
        <f t="shared" si="54"/>
        <v>9.8889999999999532</v>
      </c>
      <c r="D400" s="2">
        <f t="shared" si="55"/>
        <v>31.250041381097269</v>
      </c>
      <c r="E400" s="2">
        <f t="shared" si="56"/>
        <v>-5993.8505000000023</v>
      </c>
      <c r="F400" s="2">
        <f t="shared" si="57"/>
        <v>18.52008928281294</v>
      </c>
      <c r="G400" s="2">
        <f t="shared" si="58"/>
        <v>114.36149999999999</v>
      </c>
      <c r="H400" s="2">
        <f t="shared" si="59"/>
        <v>-23.050380887170036</v>
      </c>
    </row>
    <row r="401" spans="2:8" hidden="1" x14ac:dyDescent="0.25">
      <c r="B401" s="2">
        <v>314</v>
      </c>
      <c r="C401" s="2">
        <f t="shared" si="54"/>
        <v>8.9319999999999595</v>
      </c>
      <c r="D401" s="2">
        <f t="shared" si="55"/>
        <v>30.942013501073355</v>
      </c>
      <c r="E401" s="2">
        <f t="shared" si="56"/>
        <v>-6057.1720000000005</v>
      </c>
      <c r="F401" s="2">
        <f t="shared" si="57"/>
        <v>18.217193363088203</v>
      </c>
      <c r="G401" s="2">
        <f t="shared" si="58"/>
        <v>114.202</v>
      </c>
      <c r="H401" s="2">
        <f t="shared" si="59"/>
        <v>-24.334460682644874</v>
      </c>
    </row>
    <row r="402" spans="2:8" hidden="1" x14ac:dyDescent="0.25">
      <c r="B402" s="2">
        <v>315</v>
      </c>
      <c r="C402" s="2">
        <f t="shared" si="54"/>
        <v>7.9749999999999659</v>
      </c>
      <c r="D402" s="2">
        <f t="shared" si="55"/>
        <v>30.633323621049449</v>
      </c>
      <c r="E402" s="2">
        <f t="shared" si="56"/>
        <v>-6120.8125000000036</v>
      </c>
      <c r="F402" s="2">
        <f t="shared" si="57"/>
        <v>17.91468144336347</v>
      </c>
      <c r="G402" s="2">
        <f t="shared" si="58"/>
        <v>114.04249999999999</v>
      </c>
      <c r="H402" s="2">
        <f t="shared" si="59"/>
        <v>-25.627860478119885</v>
      </c>
    </row>
    <row r="403" spans="2:8" hidden="1" x14ac:dyDescent="0.25">
      <c r="B403" s="2">
        <v>316</v>
      </c>
      <c r="C403" s="2">
        <f t="shared" si="54"/>
        <v>7.0179999999999723</v>
      </c>
      <c r="D403" s="2">
        <f t="shared" si="55"/>
        <v>30.323971741025538</v>
      </c>
      <c r="E403" s="2">
        <f t="shared" si="56"/>
        <v>-6184.7720000000027</v>
      </c>
      <c r="F403" s="2">
        <f t="shared" si="57"/>
        <v>17.612553523638734</v>
      </c>
      <c r="G403" s="2">
        <f t="shared" si="58"/>
        <v>113.883</v>
      </c>
      <c r="H403" s="2">
        <f t="shared" si="59"/>
        <v>-26.930580273594728</v>
      </c>
    </row>
    <row r="404" spans="2:8" hidden="1" x14ac:dyDescent="0.25">
      <c r="B404" s="2">
        <v>317</v>
      </c>
      <c r="C404" s="2">
        <f t="shared" si="54"/>
        <v>6.0609999999999786</v>
      </c>
      <c r="D404" s="2">
        <f t="shared" si="55"/>
        <v>30.013957861001629</v>
      </c>
      <c r="E404" s="2">
        <f t="shared" si="56"/>
        <v>-6249.0505000000012</v>
      </c>
      <c r="F404" s="2">
        <f t="shared" si="57"/>
        <v>17.310809603913999</v>
      </c>
      <c r="G404" s="2">
        <f t="shared" si="58"/>
        <v>113.7235</v>
      </c>
      <c r="H404" s="2">
        <f t="shared" si="59"/>
        <v>-28.242620069069631</v>
      </c>
    </row>
    <row r="405" spans="2:8" hidden="1" x14ac:dyDescent="0.25">
      <c r="B405" s="2">
        <v>318</v>
      </c>
      <c r="C405" s="2">
        <f t="shared" si="54"/>
        <v>5.103999999999985</v>
      </c>
      <c r="D405" s="2">
        <f t="shared" si="55"/>
        <v>29.703281980977714</v>
      </c>
      <c r="E405" s="2">
        <f t="shared" si="56"/>
        <v>-6313.6480000000029</v>
      </c>
      <c r="F405" s="2">
        <f t="shared" si="57"/>
        <v>17.009449684189267</v>
      </c>
      <c r="G405" s="2">
        <f t="shared" si="58"/>
        <v>113.56399999999999</v>
      </c>
      <c r="H405" s="2">
        <f t="shared" si="59"/>
        <v>-29.563979864544478</v>
      </c>
    </row>
    <row r="406" spans="2:8" hidden="1" x14ac:dyDescent="0.25">
      <c r="B406" s="2">
        <v>319</v>
      </c>
      <c r="C406" s="2">
        <f t="shared" si="54"/>
        <v>4.1469999999999345</v>
      </c>
      <c r="D406" s="2">
        <f t="shared" si="55"/>
        <v>29.391944100953808</v>
      </c>
      <c r="E406" s="2">
        <f t="shared" si="56"/>
        <v>-6378.5645000000022</v>
      </c>
      <c r="F406" s="2">
        <f t="shared" si="57"/>
        <v>16.708473764464532</v>
      </c>
      <c r="G406" s="2">
        <f t="shared" si="58"/>
        <v>113.4045</v>
      </c>
      <c r="H406" s="2">
        <f t="shared" si="59"/>
        <v>-30.894659660019443</v>
      </c>
    </row>
    <row r="407" spans="2:8" hidden="1" x14ac:dyDescent="0.25">
      <c r="B407" s="2">
        <v>320</v>
      </c>
      <c r="C407" s="2">
        <f t="shared" si="54"/>
        <v>3.1899999999999409</v>
      </c>
      <c r="D407" s="2">
        <f t="shared" si="55"/>
        <v>29.079944220929896</v>
      </c>
      <c r="E407" s="2">
        <f t="shared" si="56"/>
        <v>-6443.8000000000011</v>
      </c>
      <c r="F407" s="2">
        <f t="shared" si="57"/>
        <v>16.407881844739798</v>
      </c>
      <c r="G407" s="2">
        <f t="shared" si="58"/>
        <v>113.245</v>
      </c>
      <c r="H407" s="2">
        <f t="shared" si="59"/>
        <v>-32.234659455494352</v>
      </c>
    </row>
    <row r="408" spans="2:8" hidden="1" x14ac:dyDescent="0.25">
      <c r="B408" s="2">
        <v>321</v>
      </c>
      <c r="C408" s="2">
        <f t="shared" si="54"/>
        <v>2.2329999999999472</v>
      </c>
      <c r="D408" s="2">
        <f t="shared" si="55"/>
        <v>28.767282340905986</v>
      </c>
      <c r="E408" s="2">
        <f t="shared" si="56"/>
        <v>-6509.3545000000013</v>
      </c>
      <c r="F408" s="2">
        <f t="shared" si="57"/>
        <v>16.10767392501506</v>
      </c>
      <c r="G408" s="2">
        <f t="shared" si="58"/>
        <v>113.0855</v>
      </c>
      <c r="H408" s="2">
        <f t="shared" si="59"/>
        <v>-33.583979250969207</v>
      </c>
    </row>
    <row r="409" spans="2:8" hidden="1" x14ac:dyDescent="0.25">
      <c r="B409" s="2">
        <v>322</v>
      </c>
      <c r="C409" s="2">
        <f t="shared" ref="C409:C452" si="60">Q$57+$B409*Q$58+Q$59*$B409^2</f>
        <v>1.2759999999999536</v>
      </c>
      <c r="D409" s="2">
        <f t="shared" ref="D409:D452" si="61">R$57+$B409*R$58+R$59*$B409^2</f>
        <v>28.45395846088207</v>
      </c>
      <c r="E409" s="2">
        <f t="shared" ref="E409:E452" si="62">S$57+$B409*S$58+S$59*$B409^2</f>
        <v>-6575.2280000000028</v>
      </c>
      <c r="F409" s="2">
        <f t="shared" ref="F409:F452" si="63">T$57+$B409*T$58+T$59*$B409^2</f>
        <v>15.807850005290327</v>
      </c>
      <c r="G409" s="2">
        <f t="shared" ref="G409:G452" si="64">U$57+$B409*U$58+U$59*$B409^2</f>
        <v>112.92599999999999</v>
      </c>
      <c r="H409" s="2">
        <f t="shared" ref="H409:H452" si="65">V$57+$B409*V$58+V$59*$B409^2</f>
        <v>-34.942619046444179</v>
      </c>
    </row>
    <row r="410" spans="2:8" hidden="1" x14ac:dyDescent="0.25">
      <c r="B410" s="2">
        <v>323</v>
      </c>
      <c r="C410" s="2">
        <f t="shared" si="60"/>
        <v>0.31899999999995998</v>
      </c>
      <c r="D410" s="2">
        <f t="shared" si="61"/>
        <v>28.139972580858171</v>
      </c>
      <c r="E410" s="2">
        <f t="shared" si="62"/>
        <v>-6641.4205000000002</v>
      </c>
      <c r="F410" s="2">
        <f t="shared" si="63"/>
        <v>15.508410085565593</v>
      </c>
      <c r="G410" s="2">
        <f t="shared" si="64"/>
        <v>112.76649999999999</v>
      </c>
      <c r="H410" s="2">
        <f t="shared" si="65"/>
        <v>-36.310578841919039</v>
      </c>
    </row>
    <row r="411" spans="2:8" hidden="1" x14ac:dyDescent="0.25">
      <c r="B411" s="2">
        <v>324</v>
      </c>
      <c r="C411" s="2">
        <f t="shared" si="60"/>
        <v>-0.63800000000003365</v>
      </c>
      <c r="D411" s="2">
        <f t="shared" si="61"/>
        <v>27.825324700834258</v>
      </c>
      <c r="E411" s="2">
        <f t="shared" si="62"/>
        <v>-6707.9320000000007</v>
      </c>
      <c r="F411" s="2">
        <f t="shared" si="63"/>
        <v>15.209354165840857</v>
      </c>
      <c r="G411" s="2">
        <f t="shared" si="64"/>
        <v>112.607</v>
      </c>
      <c r="H411" s="2">
        <f t="shared" si="65"/>
        <v>-37.687858637393902</v>
      </c>
    </row>
    <row r="412" spans="2:8" hidden="1" x14ac:dyDescent="0.25">
      <c r="B412" s="2">
        <v>325</v>
      </c>
      <c r="C412" s="2">
        <f t="shared" si="60"/>
        <v>-1.5950000000000273</v>
      </c>
      <c r="D412" s="2">
        <f t="shared" si="61"/>
        <v>27.510014820810348</v>
      </c>
      <c r="E412" s="2">
        <f t="shared" si="62"/>
        <v>-6774.7625000000007</v>
      </c>
      <c r="F412" s="2">
        <f t="shared" si="63"/>
        <v>14.910682246116124</v>
      </c>
      <c r="G412" s="2">
        <f t="shared" si="64"/>
        <v>112.44749999999999</v>
      </c>
      <c r="H412" s="2">
        <f t="shared" si="65"/>
        <v>-39.074458432868823</v>
      </c>
    </row>
    <row r="413" spans="2:8" hidden="1" x14ac:dyDescent="0.25">
      <c r="B413" s="2">
        <v>326</v>
      </c>
      <c r="C413" s="2">
        <f t="shared" si="60"/>
        <v>-2.5520000000000209</v>
      </c>
      <c r="D413" s="2">
        <f t="shared" si="61"/>
        <v>27.194042940786439</v>
      </c>
      <c r="E413" s="2">
        <f t="shared" si="62"/>
        <v>-6841.9120000000039</v>
      </c>
      <c r="F413" s="2">
        <f t="shared" si="63"/>
        <v>14.612394326391389</v>
      </c>
      <c r="G413" s="2">
        <f t="shared" si="64"/>
        <v>112.288</v>
      </c>
      <c r="H413" s="2">
        <f t="shared" si="65"/>
        <v>-40.470378228343804</v>
      </c>
    </row>
    <row r="414" spans="2:8" hidden="1" x14ac:dyDescent="0.25">
      <c r="B414" s="2">
        <v>327</v>
      </c>
      <c r="C414" s="2">
        <f t="shared" si="60"/>
        <v>-3.5090000000000146</v>
      </c>
      <c r="D414" s="2">
        <f t="shared" si="61"/>
        <v>26.877409060762524</v>
      </c>
      <c r="E414" s="2">
        <f t="shared" si="62"/>
        <v>-6909.3805000000029</v>
      </c>
      <c r="F414" s="2">
        <f t="shared" si="63"/>
        <v>14.314490406666653</v>
      </c>
      <c r="G414" s="2">
        <f t="shared" si="64"/>
        <v>112.1285</v>
      </c>
      <c r="H414" s="2">
        <f t="shared" si="65"/>
        <v>-41.875618023818674</v>
      </c>
    </row>
    <row r="415" spans="2:8" hidden="1" x14ac:dyDescent="0.25">
      <c r="B415" s="2">
        <v>328</v>
      </c>
      <c r="C415" s="2">
        <f t="shared" si="60"/>
        <v>-4.466000000000065</v>
      </c>
      <c r="D415" s="2">
        <f t="shared" si="61"/>
        <v>26.560113180738618</v>
      </c>
      <c r="E415" s="2">
        <f t="shared" si="62"/>
        <v>-6977.1680000000015</v>
      </c>
      <c r="F415" s="2">
        <f t="shared" si="63"/>
        <v>14.016970486941918</v>
      </c>
      <c r="G415" s="2">
        <f t="shared" si="64"/>
        <v>111.96899999999999</v>
      </c>
      <c r="H415" s="2">
        <f t="shared" si="65"/>
        <v>-43.290177819293547</v>
      </c>
    </row>
    <row r="416" spans="2:8" hidden="1" x14ac:dyDescent="0.25">
      <c r="B416" s="2">
        <v>329</v>
      </c>
      <c r="C416" s="2">
        <f t="shared" si="60"/>
        <v>-5.4230000000000587</v>
      </c>
      <c r="D416" s="2">
        <f t="shared" si="61"/>
        <v>26.242155300714707</v>
      </c>
      <c r="E416" s="2">
        <f t="shared" si="62"/>
        <v>-7045.2745000000032</v>
      </c>
      <c r="F416" s="2">
        <f t="shared" si="63"/>
        <v>13.719834567217184</v>
      </c>
      <c r="G416" s="2">
        <f t="shared" si="64"/>
        <v>111.80949999999999</v>
      </c>
      <c r="H416" s="2">
        <f t="shared" si="65"/>
        <v>-44.714057614768365</v>
      </c>
    </row>
    <row r="417" spans="2:8" hidden="1" x14ac:dyDescent="0.25">
      <c r="B417" s="2">
        <v>330</v>
      </c>
      <c r="C417" s="2">
        <f t="shared" si="60"/>
        <v>-6.3800000000000523</v>
      </c>
      <c r="D417" s="2">
        <f t="shared" si="61"/>
        <v>25.923535420690797</v>
      </c>
      <c r="E417" s="2">
        <f t="shared" si="62"/>
        <v>-7113.7000000000007</v>
      </c>
      <c r="F417" s="2">
        <f t="shared" si="63"/>
        <v>13.42308264749245</v>
      </c>
      <c r="G417" s="2">
        <f t="shared" si="64"/>
        <v>111.65</v>
      </c>
      <c r="H417" s="2">
        <f t="shared" si="65"/>
        <v>-46.147257410243355</v>
      </c>
    </row>
    <row r="418" spans="2:8" hidden="1" x14ac:dyDescent="0.25">
      <c r="B418" s="2">
        <v>331</v>
      </c>
      <c r="C418" s="2">
        <f t="shared" si="60"/>
        <v>-7.3370000000000459</v>
      </c>
      <c r="D418" s="2">
        <f t="shared" si="61"/>
        <v>25.604253540666889</v>
      </c>
      <c r="E418" s="2">
        <f t="shared" si="62"/>
        <v>-7182.4445000000014</v>
      </c>
      <c r="F418" s="2">
        <f t="shared" si="63"/>
        <v>13.126714727767716</v>
      </c>
      <c r="G418" s="2">
        <f t="shared" si="64"/>
        <v>111.4905</v>
      </c>
      <c r="H418" s="2">
        <f t="shared" si="65"/>
        <v>-47.589777205718235</v>
      </c>
    </row>
    <row r="419" spans="2:8" hidden="1" x14ac:dyDescent="0.25">
      <c r="B419" s="2">
        <v>332</v>
      </c>
      <c r="C419" s="2">
        <f t="shared" si="60"/>
        <v>-8.2940000000000396</v>
      </c>
      <c r="D419" s="2">
        <f t="shared" si="61"/>
        <v>25.284309660642982</v>
      </c>
      <c r="E419" s="2">
        <f t="shared" si="62"/>
        <v>-7251.5080000000016</v>
      </c>
      <c r="F419" s="2">
        <f t="shared" si="63"/>
        <v>12.830730808042983</v>
      </c>
      <c r="G419" s="2">
        <f t="shared" si="64"/>
        <v>111.33099999999999</v>
      </c>
      <c r="H419" s="2">
        <f t="shared" si="65"/>
        <v>-49.04161700119306</v>
      </c>
    </row>
    <row r="420" spans="2:8" hidden="1" x14ac:dyDescent="0.25">
      <c r="B420" s="2">
        <v>333</v>
      </c>
      <c r="C420" s="2">
        <f t="shared" si="60"/>
        <v>-9.2510000000000332</v>
      </c>
      <c r="D420" s="2">
        <f t="shared" si="61"/>
        <v>24.96370378061907</v>
      </c>
      <c r="E420" s="2">
        <f t="shared" si="62"/>
        <v>-7320.8905000000013</v>
      </c>
      <c r="F420" s="2">
        <f t="shared" si="63"/>
        <v>12.535130888318246</v>
      </c>
      <c r="G420" s="2">
        <f t="shared" si="64"/>
        <v>111.17149999999999</v>
      </c>
      <c r="H420" s="2">
        <f t="shared" si="65"/>
        <v>-50.502776796668002</v>
      </c>
    </row>
    <row r="421" spans="2:8" hidden="1" x14ac:dyDescent="0.25">
      <c r="B421" s="2">
        <v>334</v>
      </c>
      <c r="C421" s="2">
        <f t="shared" si="60"/>
        <v>-10.208000000000027</v>
      </c>
      <c r="D421" s="2">
        <f t="shared" si="61"/>
        <v>24.642435900595153</v>
      </c>
      <c r="E421" s="2">
        <f t="shared" si="62"/>
        <v>-7390.5920000000006</v>
      </c>
      <c r="F421" s="2">
        <f t="shared" si="63"/>
        <v>12.239914968593514</v>
      </c>
      <c r="G421" s="2">
        <f t="shared" si="64"/>
        <v>111.012</v>
      </c>
      <c r="H421" s="2">
        <f t="shared" si="65"/>
        <v>-51.973256592142945</v>
      </c>
    </row>
    <row r="422" spans="2:8" hidden="1" x14ac:dyDescent="0.25">
      <c r="B422" s="2">
        <v>335</v>
      </c>
      <c r="C422" s="2">
        <f t="shared" si="60"/>
        <v>-11.16500000000002</v>
      </c>
      <c r="D422" s="2">
        <f t="shared" si="61"/>
        <v>24.320506020571244</v>
      </c>
      <c r="E422" s="2">
        <f t="shared" si="62"/>
        <v>-7460.6125000000029</v>
      </c>
      <c r="F422" s="2">
        <f t="shared" si="63"/>
        <v>11.945083048868778</v>
      </c>
      <c r="G422" s="2">
        <f t="shared" si="64"/>
        <v>110.85249999999999</v>
      </c>
      <c r="H422" s="2">
        <f t="shared" si="65"/>
        <v>-53.453056387617892</v>
      </c>
    </row>
    <row r="423" spans="2:8" hidden="1" x14ac:dyDescent="0.25">
      <c r="B423" s="2">
        <v>336</v>
      </c>
      <c r="C423" s="2">
        <f t="shared" si="60"/>
        <v>-12.122000000000014</v>
      </c>
      <c r="D423" s="2">
        <f t="shared" si="61"/>
        <v>23.997914140547337</v>
      </c>
      <c r="E423" s="2">
        <f t="shared" si="62"/>
        <v>-7530.9520000000011</v>
      </c>
      <c r="F423" s="2">
        <f t="shared" si="63"/>
        <v>11.650635129144042</v>
      </c>
      <c r="G423" s="2">
        <f t="shared" si="64"/>
        <v>110.693</v>
      </c>
      <c r="H423" s="2">
        <f t="shared" si="65"/>
        <v>-54.942176183092727</v>
      </c>
    </row>
    <row r="424" spans="2:8" hidden="1" x14ac:dyDescent="0.25">
      <c r="B424" s="2">
        <v>337</v>
      </c>
      <c r="C424" s="2">
        <f t="shared" si="60"/>
        <v>-13.079000000000065</v>
      </c>
      <c r="D424" s="2">
        <f t="shared" si="61"/>
        <v>23.674660260523424</v>
      </c>
      <c r="E424" s="2">
        <f t="shared" si="62"/>
        <v>-7601.6105000000025</v>
      </c>
      <c r="F424" s="2">
        <f t="shared" si="63"/>
        <v>11.356571209419307</v>
      </c>
      <c r="G424" s="2">
        <f t="shared" si="64"/>
        <v>110.5335</v>
      </c>
      <c r="H424" s="2">
        <f t="shared" si="65"/>
        <v>-56.440615978567678</v>
      </c>
    </row>
    <row r="425" spans="2:8" hidden="1" x14ac:dyDescent="0.25">
      <c r="B425" s="2">
        <v>338</v>
      </c>
      <c r="C425" s="2">
        <f t="shared" si="60"/>
        <v>-14.036000000000058</v>
      </c>
      <c r="D425" s="2">
        <f t="shared" si="61"/>
        <v>23.350744380499513</v>
      </c>
      <c r="E425" s="2">
        <f t="shared" si="62"/>
        <v>-7672.5880000000034</v>
      </c>
      <c r="F425" s="2">
        <f t="shared" si="63"/>
        <v>11.062891289694573</v>
      </c>
      <c r="G425" s="2">
        <f t="shared" si="64"/>
        <v>110.374</v>
      </c>
      <c r="H425" s="2">
        <f t="shared" si="65"/>
        <v>-57.948375774042518</v>
      </c>
    </row>
    <row r="426" spans="2:8" hidden="1" x14ac:dyDescent="0.25">
      <c r="B426" s="2">
        <v>339</v>
      </c>
      <c r="C426" s="2">
        <f t="shared" si="60"/>
        <v>-14.993000000000052</v>
      </c>
      <c r="D426" s="2">
        <f t="shared" si="61"/>
        <v>23.026166500475611</v>
      </c>
      <c r="E426" s="2">
        <f t="shared" si="62"/>
        <v>-7743.8845000000001</v>
      </c>
      <c r="F426" s="2">
        <f t="shared" si="63"/>
        <v>10.769595369969839</v>
      </c>
      <c r="G426" s="2">
        <f t="shared" si="64"/>
        <v>110.21449999999999</v>
      </c>
      <c r="H426" s="2">
        <f t="shared" si="65"/>
        <v>-59.465455569517474</v>
      </c>
    </row>
    <row r="427" spans="2:8" hidden="1" x14ac:dyDescent="0.25">
      <c r="B427" s="2">
        <v>340</v>
      </c>
      <c r="C427" s="2">
        <f t="shared" si="60"/>
        <v>-15.950000000000045</v>
      </c>
      <c r="D427" s="2">
        <f t="shared" si="61"/>
        <v>22.700926620451696</v>
      </c>
      <c r="E427" s="2">
        <f t="shared" si="62"/>
        <v>-7815.5000000000036</v>
      </c>
      <c r="F427" s="2">
        <f t="shared" si="63"/>
        <v>10.476683450245105</v>
      </c>
      <c r="G427" s="2">
        <f t="shared" si="64"/>
        <v>110.05499999999999</v>
      </c>
      <c r="H427" s="2">
        <f t="shared" si="65"/>
        <v>-60.991855364992318</v>
      </c>
    </row>
    <row r="428" spans="2:8" hidden="1" x14ac:dyDescent="0.25">
      <c r="B428" s="2">
        <v>341</v>
      </c>
      <c r="C428" s="2">
        <f t="shared" si="60"/>
        <v>-16.907000000000039</v>
      </c>
      <c r="D428" s="2">
        <f t="shared" si="61"/>
        <v>22.375024740427783</v>
      </c>
      <c r="E428" s="2">
        <f t="shared" si="62"/>
        <v>-7887.434500000003</v>
      </c>
      <c r="F428" s="2">
        <f t="shared" si="63"/>
        <v>10.184155530520371</v>
      </c>
      <c r="G428" s="2">
        <f t="shared" si="64"/>
        <v>109.8955</v>
      </c>
      <c r="H428" s="2">
        <f t="shared" si="65"/>
        <v>-62.527575160467279</v>
      </c>
    </row>
    <row r="429" spans="2:8" hidden="1" x14ac:dyDescent="0.25">
      <c r="B429" s="2">
        <v>342</v>
      </c>
      <c r="C429" s="2">
        <f t="shared" si="60"/>
        <v>-17.864000000000033</v>
      </c>
      <c r="D429" s="2">
        <f t="shared" si="61"/>
        <v>22.048460860403878</v>
      </c>
      <c r="E429" s="2">
        <f t="shared" si="62"/>
        <v>-7959.6880000000019</v>
      </c>
      <c r="F429" s="2">
        <f t="shared" si="63"/>
        <v>9.8920116107956346</v>
      </c>
      <c r="G429" s="2">
        <f t="shared" si="64"/>
        <v>109.73599999999999</v>
      </c>
      <c r="H429" s="2">
        <f t="shared" si="65"/>
        <v>-64.072614955942129</v>
      </c>
    </row>
    <row r="430" spans="2:8" hidden="1" x14ac:dyDescent="0.25">
      <c r="B430" s="2">
        <v>343</v>
      </c>
      <c r="C430" s="2">
        <f t="shared" si="60"/>
        <v>-18.821000000000026</v>
      </c>
      <c r="D430" s="2">
        <f t="shared" si="61"/>
        <v>21.721234980379968</v>
      </c>
      <c r="E430" s="2">
        <f t="shared" si="62"/>
        <v>-8032.260500000004</v>
      </c>
      <c r="F430" s="2">
        <f t="shared" si="63"/>
        <v>9.6002516910709019</v>
      </c>
      <c r="G430" s="2">
        <f t="shared" si="64"/>
        <v>109.5765</v>
      </c>
      <c r="H430" s="2">
        <f t="shared" si="65"/>
        <v>-65.626974751416981</v>
      </c>
    </row>
    <row r="431" spans="2:8" hidden="1" x14ac:dyDescent="0.25">
      <c r="B431" s="2">
        <v>344</v>
      </c>
      <c r="C431" s="2">
        <f t="shared" si="60"/>
        <v>-19.77800000000002</v>
      </c>
      <c r="D431" s="2">
        <f t="shared" si="61"/>
        <v>21.393347100356053</v>
      </c>
      <c r="E431" s="2">
        <f t="shared" si="62"/>
        <v>-8105.1520000000019</v>
      </c>
      <c r="F431" s="2">
        <f t="shared" si="63"/>
        <v>9.3088757713461661</v>
      </c>
      <c r="G431" s="2">
        <f t="shared" si="64"/>
        <v>109.417</v>
      </c>
      <c r="H431" s="2">
        <f t="shared" si="65"/>
        <v>-67.190654546891949</v>
      </c>
    </row>
    <row r="432" spans="2:8" hidden="1" x14ac:dyDescent="0.25">
      <c r="B432" s="2">
        <v>345</v>
      </c>
      <c r="C432" s="2">
        <f t="shared" si="60"/>
        <v>-20.735000000000014</v>
      </c>
      <c r="D432" s="2">
        <f t="shared" si="61"/>
        <v>21.064797220332146</v>
      </c>
      <c r="E432" s="2">
        <f t="shared" si="62"/>
        <v>-8178.3624999999993</v>
      </c>
      <c r="F432" s="2">
        <f t="shared" si="63"/>
        <v>9.0178838516214341</v>
      </c>
      <c r="G432" s="2">
        <f t="shared" si="64"/>
        <v>109.25749999999999</v>
      </c>
      <c r="H432" s="2">
        <f t="shared" si="65"/>
        <v>-68.76365434236692</v>
      </c>
    </row>
    <row r="433" spans="2:8" hidden="1" x14ac:dyDescent="0.25">
      <c r="B433" s="2">
        <v>346</v>
      </c>
      <c r="C433" s="2">
        <f t="shared" si="60"/>
        <v>-21.692000000000064</v>
      </c>
      <c r="D433" s="2">
        <f t="shared" si="61"/>
        <v>20.735585340308241</v>
      </c>
      <c r="E433" s="2">
        <f t="shared" si="62"/>
        <v>-8251.8920000000035</v>
      </c>
      <c r="F433" s="2">
        <f t="shared" si="63"/>
        <v>8.727275931896699</v>
      </c>
      <c r="G433" s="2">
        <f t="shared" si="64"/>
        <v>109.098</v>
      </c>
      <c r="H433" s="2">
        <f t="shared" si="65"/>
        <v>-70.345974137841779</v>
      </c>
    </row>
    <row r="434" spans="2:8" hidden="1" x14ac:dyDescent="0.25">
      <c r="B434" s="2">
        <v>347</v>
      </c>
      <c r="C434" s="2">
        <f t="shared" si="60"/>
        <v>-22.649000000000058</v>
      </c>
      <c r="D434" s="2">
        <f t="shared" si="61"/>
        <v>20.40571146028433</v>
      </c>
      <c r="E434" s="2">
        <f t="shared" si="62"/>
        <v>-8325.7404999999999</v>
      </c>
      <c r="F434" s="2">
        <f t="shared" si="63"/>
        <v>8.4370520121719643</v>
      </c>
      <c r="G434" s="2">
        <f t="shared" si="64"/>
        <v>108.9385</v>
      </c>
      <c r="H434" s="2">
        <f t="shared" si="65"/>
        <v>-71.937613933316641</v>
      </c>
    </row>
    <row r="435" spans="2:8" hidden="1" x14ac:dyDescent="0.25">
      <c r="B435" s="2">
        <v>348</v>
      </c>
      <c r="C435" s="2">
        <f t="shared" si="60"/>
        <v>-23.606000000000051</v>
      </c>
      <c r="D435" s="2">
        <f t="shared" si="61"/>
        <v>20.075175580260414</v>
      </c>
      <c r="E435" s="2">
        <f t="shared" si="62"/>
        <v>-8399.9079999999994</v>
      </c>
      <c r="F435" s="2">
        <f t="shared" si="63"/>
        <v>8.14721209244723</v>
      </c>
      <c r="G435" s="2">
        <f t="shared" si="64"/>
        <v>108.779</v>
      </c>
      <c r="H435" s="2">
        <f t="shared" si="65"/>
        <v>-73.538573728791505</v>
      </c>
    </row>
    <row r="436" spans="2:8" hidden="1" x14ac:dyDescent="0.25">
      <c r="B436" s="2">
        <v>349</v>
      </c>
      <c r="C436" s="2">
        <f t="shared" si="60"/>
        <v>-24.563000000000045</v>
      </c>
      <c r="D436" s="2">
        <f t="shared" si="61"/>
        <v>19.743977700236506</v>
      </c>
      <c r="E436" s="2">
        <f t="shared" si="62"/>
        <v>-8474.3945000000022</v>
      </c>
      <c r="F436" s="2">
        <f t="shared" si="63"/>
        <v>7.857756172722496</v>
      </c>
      <c r="G436" s="2">
        <f t="shared" si="64"/>
        <v>108.61949999999999</v>
      </c>
      <c r="H436" s="2">
        <f t="shared" si="65"/>
        <v>-75.148853524266485</v>
      </c>
    </row>
    <row r="437" spans="2:8" hidden="1" x14ac:dyDescent="0.25">
      <c r="B437" s="2">
        <v>350</v>
      </c>
      <c r="C437" s="2">
        <f t="shared" si="60"/>
        <v>-25.520000000000039</v>
      </c>
      <c r="D437" s="2">
        <f t="shared" si="61"/>
        <v>19.4121178202126</v>
      </c>
      <c r="E437" s="2">
        <f t="shared" si="62"/>
        <v>-8549.2000000000007</v>
      </c>
      <c r="F437" s="2">
        <f t="shared" si="63"/>
        <v>7.5686842529977589</v>
      </c>
      <c r="G437" s="2">
        <f t="shared" si="64"/>
        <v>108.46</v>
      </c>
      <c r="H437" s="2">
        <f t="shared" si="65"/>
        <v>-76.768453319741354</v>
      </c>
    </row>
    <row r="438" spans="2:8" hidden="1" x14ac:dyDescent="0.25">
      <c r="B438" s="2">
        <v>351</v>
      </c>
      <c r="C438" s="2">
        <f t="shared" si="60"/>
        <v>-26.477000000000032</v>
      </c>
      <c r="D438" s="2">
        <f t="shared" si="61"/>
        <v>19.079595940188682</v>
      </c>
      <c r="E438" s="2">
        <f t="shared" si="62"/>
        <v>-8624.3245000000024</v>
      </c>
      <c r="F438" s="2">
        <f t="shared" si="63"/>
        <v>7.2799963332730258</v>
      </c>
      <c r="G438" s="2">
        <f t="shared" si="64"/>
        <v>108.3005</v>
      </c>
      <c r="H438" s="2">
        <f t="shared" si="65"/>
        <v>-78.397373115216226</v>
      </c>
    </row>
    <row r="439" spans="2:8" hidden="1" x14ac:dyDescent="0.25">
      <c r="B439" s="2">
        <v>352</v>
      </c>
      <c r="C439" s="2">
        <f t="shared" si="60"/>
        <v>-27.434000000000026</v>
      </c>
      <c r="D439" s="2">
        <f t="shared" si="61"/>
        <v>18.746412060164779</v>
      </c>
      <c r="E439" s="2">
        <f t="shared" si="62"/>
        <v>-8699.7680000000037</v>
      </c>
      <c r="F439" s="2">
        <f t="shared" si="63"/>
        <v>6.991692413548261</v>
      </c>
      <c r="G439" s="2">
        <f t="shared" si="64"/>
        <v>108.14099999999999</v>
      </c>
      <c r="H439" s="2">
        <f t="shared" si="65"/>
        <v>-80.035612910691214</v>
      </c>
    </row>
    <row r="440" spans="2:8" hidden="1" x14ac:dyDescent="0.25">
      <c r="B440" s="2">
        <v>353</v>
      </c>
      <c r="C440" s="2">
        <f t="shared" si="60"/>
        <v>-28.39100000000002</v>
      </c>
      <c r="D440" s="2">
        <f t="shared" si="61"/>
        <v>18.412566180140871</v>
      </c>
      <c r="E440" s="2">
        <f t="shared" si="62"/>
        <v>-8775.5305000000008</v>
      </c>
      <c r="F440" s="2">
        <f t="shared" si="63"/>
        <v>6.7037724938235286</v>
      </c>
      <c r="G440" s="2">
        <f t="shared" si="64"/>
        <v>107.9815</v>
      </c>
      <c r="H440" s="2">
        <f t="shared" si="65"/>
        <v>-81.68317270616609</v>
      </c>
    </row>
    <row r="441" spans="2:8" hidden="1" x14ac:dyDescent="0.25">
      <c r="B441" s="2">
        <v>354</v>
      </c>
      <c r="C441" s="2">
        <f t="shared" si="60"/>
        <v>-29.348000000000013</v>
      </c>
      <c r="D441" s="2">
        <f t="shared" si="61"/>
        <v>18.078058300116957</v>
      </c>
      <c r="E441" s="2">
        <f t="shared" si="62"/>
        <v>-8851.6120000000046</v>
      </c>
      <c r="F441" s="2">
        <f t="shared" si="63"/>
        <v>6.416236574098793</v>
      </c>
      <c r="G441" s="2">
        <f t="shared" si="64"/>
        <v>107.822</v>
      </c>
      <c r="H441" s="2">
        <f t="shared" si="65"/>
        <v>-83.340052501640969</v>
      </c>
    </row>
    <row r="442" spans="2:8" hidden="1" x14ac:dyDescent="0.25">
      <c r="B442" s="2">
        <v>355</v>
      </c>
      <c r="C442" s="2">
        <f t="shared" si="60"/>
        <v>-30.305000000000064</v>
      </c>
      <c r="D442" s="2">
        <f t="shared" si="61"/>
        <v>17.742888420093045</v>
      </c>
      <c r="E442" s="2">
        <f t="shared" si="62"/>
        <v>-8928.0125000000007</v>
      </c>
      <c r="F442" s="2">
        <f t="shared" si="63"/>
        <v>6.1290846543740578</v>
      </c>
      <c r="G442" s="2">
        <f t="shared" si="64"/>
        <v>107.66249999999999</v>
      </c>
      <c r="H442" s="2">
        <f t="shared" si="65"/>
        <v>-85.00625229711585</v>
      </c>
    </row>
    <row r="443" spans="2:8" hidden="1" x14ac:dyDescent="0.25">
      <c r="B443" s="2">
        <v>356</v>
      </c>
      <c r="C443" s="2">
        <f t="shared" si="60"/>
        <v>-31.262000000000057</v>
      </c>
      <c r="D443" s="2">
        <f t="shared" si="61"/>
        <v>17.407056540069135</v>
      </c>
      <c r="E443" s="2">
        <f t="shared" si="62"/>
        <v>-9004.732</v>
      </c>
      <c r="F443" s="2">
        <f t="shared" si="63"/>
        <v>5.842316734649323</v>
      </c>
      <c r="G443" s="2">
        <f t="shared" si="64"/>
        <v>107.50299999999999</v>
      </c>
      <c r="H443" s="2">
        <f t="shared" si="65"/>
        <v>-86.681772092590734</v>
      </c>
    </row>
    <row r="444" spans="2:8" hidden="1" x14ac:dyDescent="0.25">
      <c r="B444" s="2">
        <v>357</v>
      </c>
      <c r="C444" s="2">
        <f t="shared" si="60"/>
        <v>-32.219000000000051</v>
      </c>
      <c r="D444" s="2">
        <f t="shared" si="61"/>
        <v>17.070562660045226</v>
      </c>
      <c r="E444" s="2">
        <f t="shared" si="62"/>
        <v>-9081.7705000000024</v>
      </c>
      <c r="F444" s="2">
        <f t="shared" si="63"/>
        <v>5.5559328149245886</v>
      </c>
      <c r="G444" s="2">
        <f t="shared" si="64"/>
        <v>107.34350000000001</v>
      </c>
      <c r="H444" s="2">
        <f t="shared" si="65"/>
        <v>-88.36661188806562</v>
      </c>
    </row>
    <row r="445" spans="2:8" hidden="1" x14ac:dyDescent="0.25">
      <c r="B445" s="2">
        <v>358</v>
      </c>
      <c r="C445" s="2">
        <f t="shared" si="60"/>
        <v>-33.176000000000045</v>
      </c>
      <c r="D445" s="2">
        <f t="shared" si="61"/>
        <v>16.733406780021312</v>
      </c>
      <c r="E445" s="2">
        <f t="shared" si="62"/>
        <v>-9159.1280000000006</v>
      </c>
      <c r="F445" s="2">
        <f t="shared" si="63"/>
        <v>5.2699328951998545</v>
      </c>
      <c r="G445" s="2">
        <f t="shared" si="64"/>
        <v>107.184</v>
      </c>
      <c r="H445" s="2">
        <f t="shared" si="65"/>
        <v>-90.060771683540509</v>
      </c>
    </row>
    <row r="446" spans="2:8" hidden="1" x14ac:dyDescent="0.25">
      <c r="B446" s="2">
        <v>359</v>
      </c>
      <c r="C446" s="2">
        <f t="shared" si="60"/>
        <v>-34.133000000000038</v>
      </c>
      <c r="D446" s="2">
        <f t="shared" si="61"/>
        <v>16.395588899997406</v>
      </c>
      <c r="E446" s="2">
        <f t="shared" si="62"/>
        <v>-9236.804500000002</v>
      </c>
      <c r="F446" s="2">
        <f t="shared" si="63"/>
        <v>4.9843169754751209</v>
      </c>
      <c r="G446" s="2">
        <f t="shared" si="64"/>
        <v>107.02449999999999</v>
      </c>
      <c r="H446" s="2">
        <f t="shared" si="65"/>
        <v>-91.7642514790154</v>
      </c>
    </row>
    <row r="447" spans="2:8" hidden="1" x14ac:dyDescent="0.25">
      <c r="B447" s="2">
        <v>360</v>
      </c>
      <c r="C447" s="2">
        <f t="shared" si="60"/>
        <v>-35.090000000000032</v>
      </c>
      <c r="D447" s="2">
        <f t="shared" si="61"/>
        <v>16.057109019973495</v>
      </c>
      <c r="E447" s="2">
        <f t="shared" si="62"/>
        <v>-9314.8000000000029</v>
      </c>
      <c r="F447" s="2">
        <f t="shared" si="63"/>
        <v>4.6990850557503876</v>
      </c>
      <c r="G447" s="2">
        <f t="shared" si="64"/>
        <v>106.86499999999999</v>
      </c>
      <c r="H447" s="2">
        <f t="shared" si="65"/>
        <v>-93.477051274490407</v>
      </c>
    </row>
    <row r="448" spans="2:8" hidden="1" x14ac:dyDescent="0.25">
      <c r="B448" s="2">
        <v>361</v>
      </c>
      <c r="C448" s="2">
        <f t="shared" si="60"/>
        <v>-36.047000000000025</v>
      </c>
      <c r="D448" s="2">
        <f t="shared" si="61"/>
        <v>15.717967139949586</v>
      </c>
      <c r="E448" s="2">
        <f t="shared" si="62"/>
        <v>-9393.1144999999997</v>
      </c>
      <c r="F448" s="2">
        <f t="shared" si="63"/>
        <v>4.4142371360256512</v>
      </c>
      <c r="G448" s="2">
        <f t="shared" si="64"/>
        <v>106.7055</v>
      </c>
      <c r="H448" s="2">
        <f t="shared" si="65"/>
        <v>-95.199171069965246</v>
      </c>
    </row>
    <row r="449" spans="2:8" hidden="1" x14ac:dyDescent="0.25">
      <c r="B449" s="2">
        <v>362</v>
      </c>
      <c r="C449" s="2">
        <f t="shared" si="60"/>
        <v>-37.004000000000019</v>
      </c>
      <c r="D449" s="2">
        <f t="shared" si="61"/>
        <v>15.378163259925678</v>
      </c>
      <c r="E449" s="2">
        <f t="shared" si="62"/>
        <v>-9471.7480000000032</v>
      </c>
      <c r="F449" s="2">
        <f t="shared" si="63"/>
        <v>4.1297732163009186</v>
      </c>
      <c r="G449" s="2">
        <f t="shared" si="64"/>
        <v>106.54599999999999</v>
      </c>
      <c r="H449" s="2">
        <f t="shared" si="65"/>
        <v>-96.93061086544003</v>
      </c>
    </row>
    <row r="450" spans="2:8" hidden="1" x14ac:dyDescent="0.25">
      <c r="B450" s="2">
        <v>363</v>
      </c>
      <c r="C450" s="2">
        <f t="shared" si="60"/>
        <v>-37.961000000000013</v>
      </c>
      <c r="D450" s="2">
        <f t="shared" si="61"/>
        <v>15.037697379901765</v>
      </c>
      <c r="E450" s="2">
        <f t="shared" si="62"/>
        <v>-9550.7005000000026</v>
      </c>
      <c r="F450" s="2">
        <f t="shared" si="63"/>
        <v>3.845693296576183</v>
      </c>
      <c r="G450" s="2">
        <f t="shared" si="64"/>
        <v>106.3865</v>
      </c>
      <c r="H450" s="2">
        <f t="shared" si="65"/>
        <v>-98.671370660914931</v>
      </c>
    </row>
    <row r="451" spans="2:8" hidden="1" x14ac:dyDescent="0.25">
      <c r="B451" s="2">
        <v>364</v>
      </c>
      <c r="C451" s="2">
        <f t="shared" si="60"/>
        <v>-38.918000000000063</v>
      </c>
      <c r="D451" s="2">
        <f t="shared" si="61"/>
        <v>14.696569499877853</v>
      </c>
      <c r="E451" s="2">
        <f t="shared" si="62"/>
        <v>-9629.9720000000016</v>
      </c>
      <c r="F451" s="2">
        <f t="shared" si="63"/>
        <v>3.5619973768514477</v>
      </c>
      <c r="G451" s="2">
        <f t="shared" si="64"/>
        <v>106.227</v>
      </c>
      <c r="H451" s="2">
        <f t="shared" si="65"/>
        <v>-100.42145045638995</v>
      </c>
    </row>
    <row r="452" spans="2:8" hidden="1" x14ac:dyDescent="0.25">
      <c r="B452" s="2">
        <v>365</v>
      </c>
      <c r="C452" s="2">
        <f t="shared" si="60"/>
        <v>-39.875000000000057</v>
      </c>
      <c r="D452" s="2">
        <f t="shared" si="61"/>
        <v>14.354779619853943</v>
      </c>
      <c r="E452" s="2">
        <f t="shared" si="62"/>
        <v>-9709.5625000000036</v>
      </c>
      <c r="F452" s="2">
        <f t="shared" si="63"/>
        <v>3.2786854571267128</v>
      </c>
      <c r="G452" s="2">
        <f t="shared" si="64"/>
        <v>106.0675</v>
      </c>
      <c r="H452" s="2">
        <f t="shared" si="65"/>
        <v>-102.18085025186474</v>
      </c>
    </row>
  </sheetData>
  <sheetProtection sheet="1" objects="1" scenarios="1"/>
  <protectedRanges>
    <protectedRange sqref="C3 C5 C7 C9 C12:C15 C20:C24 C27 F27" name="Grey cells"/>
  </protectedRanges>
  <sortState xmlns:xlrd2="http://schemas.microsoft.com/office/spreadsheetml/2017/richdata2" ref="N68:P80">
    <sortCondition ref="N65:N77"/>
  </sortState>
  <mergeCells count="11">
    <mergeCell ref="B1:F1"/>
    <mergeCell ref="C7:F7"/>
    <mergeCell ref="AJ96:AK96"/>
    <mergeCell ref="AC93:AD93"/>
    <mergeCell ref="AE93:AF93"/>
    <mergeCell ref="AD72:AE72"/>
    <mergeCell ref="B18:F18"/>
    <mergeCell ref="B33:F33"/>
    <mergeCell ref="B34:F34"/>
    <mergeCell ref="B10:F10"/>
    <mergeCell ref="B16:F16"/>
  </mergeCells>
  <phoneticPr fontId="0" type="noConversion"/>
  <conditionalFormatting sqref="G12:M12">
    <cfRule type="expression" dxfId="3" priority="8">
      <formula>$G$12=""</formula>
    </cfRule>
  </conditionalFormatting>
  <conditionalFormatting sqref="G24:N24">
    <cfRule type="expression" dxfId="2" priority="7">
      <formula>$G$24=""</formula>
    </cfRule>
  </conditionalFormatting>
  <dataValidations count="6">
    <dataValidation allowBlank="1" showInputMessage="1" showErrorMessage="1" prompt="High yield environments consistently produce yields of greater than 190 bushels per acre. Soils are deep with excellent water holding capacity. Irrigation is common." sqref="F5" xr:uid="{00000000-0002-0000-0100-000000000000}"/>
    <dataValidation type="list" allowBlank="1" showInputMessage="1" showErrorMessage="1" sqref="D5:E5" xr:uid="{00000000-0002-0000-0100-000001000000}">
      <formula1>#REF!</formula1>
    </dataValidation>
    <dataValidation type="list" allowBlank="1" showInputMessage="1" showErrorMessage="1" sqref="C3" xr:uid="{00000000-0002-0000-0100-000002000000}">
      <formula1>$L$76:$L$77</formula1>
    </dataValidation>
    <dataValidation type="list" allowBlank="1" showInputMessage="1" showErrorMessage="1" sqref="C5" xr:uid="{00000000-0002-0000-0100-000004000000}">
      <formula1>$L$81:$L$82</formula1>
    </dataValidation>
    <dataValidation type="list" allowBlank="1" showInputMessage="1" showErrorMessage="1" sqref="C7:F8" xr:uid="{00000000-0002-0000-0100-000003000000}">
      <formula1>$AB$57:$AB$59</formula1>
    </dataValidation>
    <dataValidation type="list" allowBlank="1" showInputMessage="1" showErrorMessage="1" sqref="C9" xr:uid="{109A1185-3A83-4BCE-BD0A-C2492840F0E0}">
      <formula1>$AG$54:$AG$56</formula1>
    </dataValidation>
  </dataValidations>
  <printOptions headings="1"/>
  <pageMargins left="1" right="0.75" top="1" bottom="1" header="0.5" footer="0.5"/>
  <pageSetup orientation="portrait" r:id="rId1"/>
  <headerFooter alignWithMargins="0">
    <oddFooter>&amp;C&amp;F:&amp;A</oddFooter>
  </headerFooter>
  <ignoredErrors>
    <ignoredError sqref="F31" formulaRange="1"/>
  </ignoredErrors>
  <drawing r:id="rId2"/>
  <legacyDrawing r:id="rId3"/>
  <tableParts count="6">
    <tablePart r:id="rId4"/>
    <tablePart r:id="rId5"/>
    <tablePart r:id="rId6"/>
    <tablePart r:id="rId7"/>
    <tablePart r:id="rId8"/>
    <tablePart r:id="rId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G172"/>
  <sheetViews>
    <sheetView showGridLines="0" zoomScale="115" zoomScaleNormal="115" workbookViewId="0">
      <selection activeCell="C26" sqref="C26"/>
    </sheetView>
  </sheetViews>
  <sheetFormatPr defaultColWidth="0" defaultRowHeight="14.25" zeroHeight="1" x14ac:dyDescent="0.25"/>
  <cols>
    <col min="1" max="1" width="1.42578125" style="47" customWidth="1"/>
    <col min="2" max="2" width="47.5703125" style="47" customWidth="1"/>
    <col min="3" max="3" width="11.85546875" style="47" bestFit="1" customWidth="1"/>
    <col min="4" max="4" width="8.42578125" style="47" customWidth="1"/>
    <col min="5" max="5" width="1.5703125" style="47" customWidth="1"/>
    <col min="6" max="6" width="11.5703125" style="47" customWidth="1"/>
    <col min="7" max="7" width="8.42578125" style="47" customWidth="1"/>
    <col min="8" max="8" width="1.5703125" style="47" customWidth="1"/>
    <col min="9" max="9" width="10.42578125" style="47" customWidth="1"/>
    <col min="10" max="11" width="8.85546875" style="47" customWidth="1"/>
    <col min="12" max="13" width="9" style="47" hidden="1" customWidth="1"/>
    <col min="14" max="16" width="8.85546875" style="47" hidden="1" customWidth="1"/>
    <col min="17" max="18" width="9.42578125" style="47" hidden="1" customWidth="1"/>
    <col min="19" max="19" width="10.28515625" style="47" hidden="1" customWidth="1"/>
    <col min="20" max="20" width="19" style="47" hidden="1" customWidth="1"/>
    <col min="21" max="21" width="11.42578125" style="47" hidden="1" customWidth="1"/>
    <col min="22" max="22" width="10.85546875" style="47" hidden="1" customWidth="1"/>
    <col min="23" max="23" width="8.85546875" style="47" hidden="1" customWidth="1"/>
    <col min="24" max="29" width="9" style="47" hidden="1" customWidth="1"/>
    <col min="30" max="31" width="8.85546875" style="47" hidden="1" customWidth="1"/>
    <col min="32" max="32" width="9" style="47" hidden="1" customWidth="1"/>
    <col min="33" max="33" width="0" style="47" hidden="1" customWidth="1"/>
    <col min="34" max="16384" width="8.85546875" style="47" hidden="1"/>
  </cols>
  <sheetData>
    <row r="1" spans="2:21" ht="15" thickBot="1" x14ac:dyDescent="0.3"/>
    <row r="2" spans="2:21" ht="20.25" x14ac:dyDescent="0.35">
      <c r="B2" s="209" t="s">
        <v>48</v>
      </c>
      <c r="C2" s="210"/>
      <c r="D2" s="210"/>
      <c r="E2" s="210"/>
      <c r="F2" s="210"/>
      <c r="G2" s="210"/>
      <c r="H2" s="210"/>
      <c r="I2" s="210"/>
      <c r="J2" s="211"/>
    </row>
    <row r="3" spans="2:21" ht="6.75" customHeight="1" x14ac:dyDescent="0.25">
      <c r="B3" s="140"/>
      <c r="J3" s="141"/>
    </row>
    <row r="4" spans="2:21" x14ac:dyDescent="0.25">
      <c r="B4" s="142" t="s">
        <v>19</v>
      </c>
      <c r="C4" s="208" t="s">
        <v>94</v>
      </c>
      <c r="D4" s="208"/>
      <c r="E4" s="208"/>
      <c r="F4" s="208"/>
      <c r="J4" s="141"/>
    </row>
    <row r="5" spans="2:21" ht="6.75" customHeight="1" x14ac:dyDescent="0.25">
      <c r="B5" s="140"/>
      <c r="J5" s="141"/>
    </row>
    <row r="6" spans="2:21" x14ac:dyDescent="0.25">
      <c r="B6" s="161" t="s">
        <v>29</v>
      </c>
      <c r="C6" s="133"/>
      <c r="D6" s="133"/>
      <c r="E6" s="133"/>
      <c r="F6" s="133"/>
      <c r="G6" s="133"/>
      <c r="H6" s="133"/>
      <c r="I6" s="133"/>
      <c r="J6" s="162"/>
    </row>
    <row r="7" spans="2:21" s="90" customFormat="1" ht="5.25" customHeight="1" x14ac:dyDescent="0.25">
      <c r="B7" s="159"/>
      <c r="C7" s="160"/>
      <c r="D7" s="160"/>
      <c r="E7" s="160"/>
      <c r="F7" s="47"/>
      <c r="G7" s="47"/>
      <c r="H7" s="47"/>
      <c r="I7" s="47"/>
      <c r="J7" s="141"/>
    </row>
    <row r="8" spans="2:21" x14ac:dyDescent="0.25">
      <c r="B8" s="146" t="s">
        <v>23</v>
      </c>
      <c r="C8" s="135">
        <v>5.4</v>
      </c>
      <c r="D8" s="91" t="s">
        <v>31</v>
      </c>
      <c r="E8" s="91"/>
      <c r="J8" s="141"/>
    </row>
    <row r="9" spans="2:21" x14ac:dyDescent="0.25">
      <c r="B9" s="146" t="s">
        <v>30</v>
      </c>
      <c r="C9" s="136">
        <v>40</v>
      </c>
      <c r="D9" s="91" t="s">
        <v>32</v>
      </c>
      <c r="E9" s="91"/>
      <c r="J9" s="141"/>
    </row>
    <row r="10" spans="2:21" ht="5.25" customHeight="1" x14ac:dyDescent="0.25">
      <c r="B10" s="220"/>
      <c r="C10" s="221"/>
      <c r="D10" s="221"/>
      <c r="E10" s="221"/>
      <c r="F10" s="221"/>
      <c r="G10" s="221"/>
      <c r="H10" s="221"/>
      <c r="I10" s="221"/>
      <c r="J10" s="222"/>
    </row>
    <row r="11" spans="2:21" x14ac:dyDescent="0.25">
      <c r="B11" s="140"/>
      <c r="J11" s="141"/>
    </row>
    <row r="12" spans="2:21" x14ac:dyDescent="0.25">
      <c r="B12" s="140"/>
      <c r="C12" s="49"/>
      <c r="D12" s="49"/>
      <c r="E12" s="49"/>
      <c r="F12" s="49"/>
      <c r="G12" s="49"/>
      <c r="H12" s="49"/>
      <c r="I12" s="147" t="s">
        <v>35</v>
      </c>
      <c r="J12" s="141"/>
    </row>
    <row r="13" spans="2:21" x14ac:dyDescent="0.25">
      <c r="B13" s="163" t="s">
        <v>25</v>
      </c>
      <c r="C13" s="164" t="s">
        <v>4</v>
      </c>
      <c r="D13" s="164"/>
      <c r="E13" s="164"/>
      <c r="F13" s="164" t="s">
        <v>24</v>
      </c>
      <c r="G13" s="164"/>
      <c r="H13" s="164"/>
      <c r="I13" s="164" t="s">
        <v>24</v>
      </c>
      <c r="J13" s="165"/>
    </row>
    <row r="14" spans="2:21" s="90" customFormat="1" ht="5.25" customHeight="1" x14ac:dyDescent="0.25">
      <c r="B14" s="143"/>
      <c r="C14" s="144"/>
      <c r="D14" s="144"/>
      <c r="E14" s="144"/>
      <c r="F14" s="144"/>
      <c r="G14" s="144"/>
      <c r="H14" s="144"/>
      <c r="I14" s="144"/>
      <c r="J14" s="145"/>
      <c r="K14" s="47"/>
      <c r="L14" s="47"/>
      <c r="M14" s="47"/>
      <c r="N14" s="47"/>
      <c r="O14" s="47"/>
      <c r="P14" s="47"/>
      <c r="Q14" s="47"/>
      <c r="R14" s="47"/>
      <c r="S14" s="47"/>
      <c r="T14" s="47"/>
      <c r="U14" s="47"/>
    </row>
    <row r="15" spans="2:21" x14ac:dyDescent="0.25">
      <c r="B15" s="146" t="s">
        <v>37</v>
      </c>
      <c r="C15" s="137">
        <v>45809</v>
      </c>
      <c r="D15" s="148"/>
      <c r="E15" s="91"/>
      <c r="F15" s="137">
        <v>45823</v>
      </c>
      <c r="H15" s="92"/>
      <c r="I15" s="137">
        <v>45839</v>
      </c>
      <c r="J15" s="149"/>
    </row>
    <row r="16" spans="2:21" x14ac:dyDescent="0.25">
      <c r="B16" s="146" t="s">
        <v>2</v>
      </c>
      <c r="C16" s="138">
        <v>175</v>
      </c>
      <c r="D16" s="91" t="s">
        <v>33</v>
      </c>
      <c r="E16" s="91"/>
      <c r="F16" s="138">
        <v>55</v>
      </c>
      <c r="G16" s="91" t="s">
        <v>33</v>
      </c>
      <c r="H16" s="91"/>
      <c r="I16" s="138">
        <v>30</v>
      </c>
      <c r="J16" s="150" t="s">
        <v>33</v>
      </c>
    </row>
    <row r="17" spans="2:10" x14ac:dyDescent="0.25">
      <c r="B17" s="146" t="s">
        <v>22</v>
      </c>
      <c r="C17" s="93">
        <f ca="1">MIN(C16,IF(C4=AB63,Y63,IF(C4=AB64,Y65,Y67)))*C16</f>
        <v>145.90429845904296</v>
      </c>
      <c r="D17" s="91" t="s">
        <v>33</v>
      </c>
      <c r="E17" s="91"/>
      <c r="F17" s="93">
        <f ca="1">MIN(F16,IF(C4=AB63,Z63,IF(C4=AB64,Z65,Z67)))*F16</f>
        <v>54.339607373702101</v>
      </c>
      <c r="G17" s="91" t="s">
        <v>33</v>
      </c>
      <c r="H17" s="91"/>
      <c r="I17" s="93"/>
      <c r="J17" s="150"/>
    </row>
    <row r="18" spans="2:10" x14ac:dyDescent="0.25">
      <c r="B18" s="146" t="s">
        <v>5</v>
      </c>
      <c r="C18" s="135">
        <v>4.5</v>
      </c>
      <c r="D18" s="91" t="s">
        <v>31</v>
      </c>
      <c r="E18" s="91"/>
      <c r="F18" s="135">
        <v>10.25</v>
      </c>
      <c r="G18" s="91" t="s">
        <v>31</v>
      </c>
      <c r="H18" s="91"/>
      <c r="I18" s="94">
        <f>F18</f>
        <v>10.25</v>
      </c>
      <c r="J18" s="150" t="s">
        <v>31</v>
      </c>
    </row>
    <row r="19" spans="2:10" x14ac:dyDescent="0.25">
      <c r="B19" s="146" t="s">
        <v>15</v>
      </c>
      <c r="C19" s="92">
        <f ca="1">C17*$C$18</f>
        <v>656.56934306569337</v>
      </c>
      <c r="D19" s="91" t="s">
        <v>32</v>
      </c>
      <c r="E19" s="91"/>
      <c r="F19" s="92">
        <f ca="1">F18*F17</f>
        <v>556.98097558044651</v>
      </c>
      <c r="G19" s="91" t="s">
        <v>32</v>
      </c>
      <c r="H19" s="91"/>
      <c r="I19" s="92">
        <f>I16*I18</f>
        <v>307.5</v>
      </c>
      <c r="J19" s="150" t="s">
        <v>32</v>
      </c>
    </row>
    <row r="20" spans="2:10" ht="3.75" customHeight="1" x14ac:dyDescent="0.25">
      <c r="B20" s="151"/>
      <c r="C20" s="92"/>
      <c r="D20" s="91"/>
      <c r="E20" s="91"/>
      <c r="F20" s="92"/>
      <c r="G20" s="92"/>
      <c r="H20" s="92"/>
      <c r="I20" s="92"/>
      <c r="J20" s="141"/>
    </row>
    <row r="21" spans="2:10" x14ac:dyDescent="0.25">
      <c r="B21" s="166" t="s">
        <v>26</v>
      </c>
      <c r="C21" s="167"/>
      <c r="D21" s="167"/>
      <c r="E21" s="167"/>
      <c r="F21" s="167"/>
      <c r="G21" s="167"/>
      <c r="H21" s="167"/>
      <c r="I21" s="167"/>
      <c r="J21" s="168"/>
    </row>
    <row r="22" spans="2:10" ht="5.25" customHeight="1" x14ac:dyDescent="0.25">
      <c r="B22" s="143"/>
      <c r="C22" s="152"/>
      <c r="D22" s="152"/>
      <c r="E22" s="152"/>
      <c r="F22" s="152"/>
      <c r="G22" s="152"/>
      <c r="H22" s="152"/>
      <c r="I22" s="152"/>
      <c r="J22" s="145"/>
    </row>
    <row r="23" spans="2:10" x14ac:dyDescent="0.25">
      <c r="B23" s="146" t="s">
        <v>7</v>
      </c>
      <c r="C23" s="135">
        <v>100</v>
      </c>
      <c r="D23" s="91" t="s">
        <v>32</v>
      </c>
      <c r="E23" s="91"/>
      <c r="F23" s="135">
        <v>60</v>
      </c>
      <c r="G23" s="91" t="s">
        <v>32</v>
      </c>
      <c r="H23" s="91"/>
      <c r="I23" s="135">
        <v>70</v>
      </c>
      <c r="J23" s="150" t="s">
        <v>32</v>
      </c>
    </row>
    <row r="24" spans="2:10" x14ac:dyDescent="0.25">
      <c r="B24" s="146" t="s">
        <v>34</v>
      </c>
      <c r="C24" s="139">
        <v>100</v>
      </c>
      <c r="D24" s="91" t="s">
        <v>32</v>
      </c>
      <c r="E24" s="91"/>
      <c r="F24" s="139">
        <v>30</v>
      </c>
      <c r="G24" s="91" t="s">
        <v>32</v>
      </c>
      <c r="H24" s="91"/>
      <c r="I24" s="139">
        <v>35</v>
      </c>
      <c r="J24" s="150" t="s">
        <v>32</v>
      </c>
    </row>
    <row r="25" spans="2:10" x14ac:dyDescent="0.25">
      <c r="B25" s="146" t="s">
        <v>38</v>
      </c>
      <c r="C25" s="139">
        <v>120</v>
      </c>
      <c r="D25" s="91" t="s">
        <v>32</v>
      </c>
      <c r="E25" s="91"/>
      <c r="F25" s="139">
        <v>85</v>
      </c>
      <c r="G25" s="91" t="s">
        <v>32</v>
      </c>
      <c r="H25" s="91"/>
      <c r="I25" s="139">
        <v>80</v>
      </c>
      <c r="J25" s="150" t="s">
        <v>32</v>
      </c>
    </row>
    <row r="26" spans="2:10" x14ac:dyDescent="0.25">
      <c r="B26" s="146" t="s">
        <v>9</v>
      </c>
      <c r="C26" s="139">
        <v>80</v>
      </c>
      <c r="D26" s="91" t="s">
        <v>32</v>
      </c>
      <c r="E26" s="91"/>
      <c r="F26" s="139">
        <v>110</v>
      </c>
      <c r="G26" s="91" t="s">
        <v>32</v>
      </c>
      <c r="H26" s="91"/>
      <c r="I26" s="139">
        <v>80</v>
      </c>
      <c r="J26" s="150" t="s">
        <v>32</v>
      </c>
    </row>
    <row r="27" spans="2:10" x14ac:dyDescent="0.25">
      <c r="B27" s="146" t="s">
        <v>10</v>
      </c>
      <c r="C27" s="139">
        <v>50</v>
      </c>
      <c r="D27" s="91" t="s">
        <v>32</v>
      </c>
      <c r="E27" s="91"/>
      <c r="F27" s="139">
        <v>10</v>
      </c>
      <c r="G27" s="91" t="s">
        <v>32</v>
      </c>
      <c r="H27" s="91"/>
      <c r="I27" s="139">
        <v>10</v>
      </c>
      <c r="J27" s="150" t="s">
        <v>32</v>
      </c>
    </row>
    <row r="28" spans="2:10" ht="6" customHeight="1" x14ac:dyDescent="0.25">
      <c r="B28" s="146"/>
      <c r="C28" s="95"/>
      <c r="D28" s="96"/>
      <c r="E28" s="96"/>
      <c r="F28" s="95"/>
      <c r="G28" s="96"/>
      <c r="H28" s="96"/>
      <c r="I28" s="95"/>
      <c r="J28" s="150"/>
    </row>
    <row r="29" spans="2:10" x14ac:dyDescent="0.25">
      <c r="B29" s="142" t="s">
        <v>49</v>
      </c>
      <c r="C29" s="92">
        <f>SUM(C23:C27)</f>
        <v>450</v>
      </c>
      <c r="D29" s="91" t="s">
        <v>32</v>
      </c>
      <c r="E29" s="91"/>
      <c r="F29" s="92">
        <f>SUM(F23:F27)</f>
        <v>295</v>
      </c>
      <c r="G29" s="91" t="s">
        <v>32</v>
      </c>
      <c r="H29" s="91"/>
      <c r="I29" s="92">
        <f>SUM(I23:I27)</f>
        <v>275</v>
      </c>
      <c r="J29" s="150" t="s">
        <v>32</v>
      </c>
    </row>
    <row r="30" spans="2:10" x14ac:dyDescent="0.25">
      <c r="B30" s="142" t="s">
        <v>16</v>
      </c>
      <c r="C30" s="92">
        <f ca="1">C19-C29</f>
        <v>206.56934306569337</v>
      </c>
      <c r="D30" s="91" t="s">
        <v>32</v>
      </c>
      <c r="E30" s="91"/>
      <c r="F30" s="92">
        <f ca="1">F19-F29</f>
        <v>261.98097558044651</v>
      </c>
      <c r="G30" s="91" t="s">
        <v>32</v>
      </c>
      <c r="H30" s="91"/>
      <c r="I30" s="92">
        <f>I19-I29</f>
        <v>32.5</v>
      </c>
      <c r="J30" s="150" t="s">
        <v>32</v>
      </c>
    </row>
    <row r="31" spans="2:10" ht="5.25" customHeight="1" x14ac:dyDescent="0.25">
      <c r="B31" s="223"/>
      <c r="C31" s="224"/>
      <c r="D31" s="224"/>
      <c r="E31" s="224"/>
      <c r="F31" s="224"/>
      <c r="G31" s="224"/>
      <c r="H31" s="224"/>
      <c r="I31" s="224"/>
      <c r="J31" s="225"/>
    </row>
    <row r="32" spans="2:10" ht="4.5" customHeight="1" x14ac:dyDescent="0.25">
      <c r="B32" s="140"/>
      <c r="J32" s="141"/>
    </row>
    <row r="33" spans="2:33" ht="3" customHeight="1" x14ac:dyDescent="0.25">
      <c r="B33" s="140"/>
      <c r="I33" s="153"/>
      <c r="J33" s="154"/>
    </row>
    <row r="34" spans="2:33" ht="12.75" customHeight="1" x14ac:dyDescent="0.25">
      <c r="B34" s="161" t="s">
        <v>36</v>
      </c>
      <c r="C34" s="133"/>
      <c r="D34" s="133"/>
      <c r="E34" s="133"/>
      <c r="F34" s="133"/>
      <c r="G34" s="133"/>
      <c r="H34" s="133"/>
      <c r="I34" s="133"/>
      <c r="J34" s="162"/>
    </row>
    <row r="35" spans="2:33" ht="6.75" customHeight="1" x14ac:dyDescent="0.25">
      <c r="B35" s="155"/>
      <c r="C35" s="156"/>
      <c r="D35" s="156"/>
      <c r="E35" s="156"/>
      <c r="F35" s="156"/>
      <c r="G35" s="156"/>
      <c r="H35" s="156"/>
      <c r="I35" s="156"/>
      <c r="J35" s="157"/>
    </row>
    <row r="36" spans="2:33" ht="12.75" customHeight="1" x14ac:dyDescent="0.25">
      <c r="B36" s="212" t="str">
        <f ca="1">CONCATENATE("If double crop soybeans is not an option and wheat yields are expected to be less than "&amp;ROUND(MAX(L73,L74),0)&amp;" bushels/acre, consider abandoning the wheat and planting "&amp;VLOOKUP(MAX(L73:L74),L73:M74,2)&amp;".")</f>
        <v>If double crop soybeans is not an option and wheat yields are expected to be less than 56 bushels/acre, consider abandoning the wheat and planting soybean.</v>
      </c>
      <c r="C36" s="213"/>
      <c r="D36" s="213"/>
      <c r="E36" s="213"/>
      <c r="F36" s="213"/>
      <c r="G36" s="213"/>
      <c r="H36" s="213"/>
      <c r="I36" s="213"/>
      <c r="J36" s="214"/>
    </row>
    <row r="37" spans="2:33" x14ac:dyDescent="0.25">
      <c r="B37" s="212"/>
      <c r="C37" s="213"/>
      <c r="D37" s="213"/>
      <c r="E37" s="213"/>
      <c r="F37" s="213"/>
      <c r="G37" s="213"/>
      <c r="H37" s="213"/>
      <c r="I37" s="213"/>
      <c r="J37" s="214"/>
    </row>
    <row r="38" spans="2:33" ht="12.75" customHeight="1" x14ac:dyDescent="0.25">
      <c r="B38" s="158"/>
      <c r="C38" s="90"/>
      <c r="D38" s="90"/>
      <c r="E38" s="90"/>
      <c r="F38" s="90"/>
      <c r="G38" s="90"/>
      <c r="H38" s="90"/>
      <c r="J38" s="141"/>
    </row>
    <row r="39" spans="2:33" ht="12.75" customHeight="1" x14ac:dyDescent="0.25">
      <c r="B39" s="212" t="str">
        <f ca="1">CONCATENATE("If you are planning to double crop wheat and soybeans but wheat yields are expected to be less than "&amp;ROUND(MAX(L76:L77),0)&amp;" bushels/acre, consider abandoning the wheat and planting "&amp;VLOOKUP(MAX(L76:L77),L76:M77,2)&amp;" at the earlier date.")</f>
        <v>If you are planning to double crop wheat and soybeans but wheat yields are expected to be less than 50 bushels/acre, consider abandoning the wheat and planting soybean at the earlier date.</v>
      </c>
      <c r="C39" s="213"/>
      <c r="D39" s="213"/>
      <c r="E39" s="213"/>
      <c r="F39" s="213"/>
      <c r="G39" s="213"/>
      <c r="H39" s="213"/>
      <c r="I39" s="213"/>
      <c r="J39" s="214"/>
    </row>
    <row r="40" spans="2:33" x14ac:dyDescent="0.25">
      <c r="B40" s="212"/>
      <c r="C40" s="213"/>
      <c r="D40" s="213"/>
      <c r="E40" s="213"/>
      <c r="F40" s="213"/>
      <c r="G40" s="213"/>
      <c r="H40" s="213"/>
      <c r="I40" s="213"/>
      <c r="J40" s="214"/>
    </row>
    <row r="41" spans="2:33" ht="5.25" customHeight="1" thickBot="1" x14ac:dyDescent="0.3">
      <c r="B41" s="217"/>
      <c r="C41" s="218"/>
      <c r="D41" s="218"/>
      <c r="E41" s="218"/>
      <c r="F41" s="218"/>
      <c r="G41" s="218"/>
      <c r="H41" s="218"/>
      <c r="I41" s="218"/>
      <c r="J41" s="219"/>
    </row>
    <row r="42" spans="2:33" ht="5.25" customHeight="1" x14ac:dyDescent="0.25">
      <c r="B42" s="49"/>
      <c r="C42" s="49"/>
      <c r="D42" s="49"/>
      <c r="E42" s="49"/>
      <c r="F42" s="49"/>
      <c r="G42" s="49"/>
      <c r="H42" s="49"/>
      <c r="I42" s="49"/>
      <c r="J42" s="49"/>
    </row>
    <row r="43" spans="2:33" ht="5.25" customHeight="1" x14ac:dyDescent="0.25">
      <c r="B43" s="49"/>
      <c r="C43" s="49"/>
      <c r="D43" s="49"/>
      <c r="E43" s="49"/>
      <c r="F43" s="49"/>
      <c r="G43" s="49"/>
      <c r="H43" s="49"/>
      <c r="I43" s="49"/>
      <c r="J43" s="49"/>
    </row>
    <row r="44" spans="2:33" ht="5.25" customHeight="1" x14ac:dyDescent="0.25">
      <c r="B44" s="49"/>
      <c r="C44" s="49"/>
      <c r="D44" s="49"/>
      <c r="E44" s="49"/>
      <c r="F44" s="49"/>
      <c r="G44" s="49"/>
      <c r="H44" s="49"/>
      <c r="I44" s="49"/>
      <c r="J44" s="49"/>
    </row>
    <row r="45" spans="2:33" ht="5.25" customHeight="1" x14ac:dyDescent="0.25">
      <c r="B45" s="49"/>
      <c r="C45" s="49"/>
      <c r="D45" s="49"/>
      <c r="E45" s="49"/>
      <c r="F45" s="49"/>
      <c r="G45" s="49"/>
      <c r="H45" s="49"/>
      <c r="I45" s="49"/>
      <c r="J45" s="49"/>
    </row>
    <row r="46" spans="2:33" hidden="1" x14ac:dyDescent="0.25">
      <c r="L46" s="97"/>
      <c r="M46" s="97"/>
      <c r="N46" s="97"/>
      <c r="O46" s="97"/>
      <c r="P46" s="97"/>
      <c r="Q46" s="97"/>
      <c r="R46" s="97"/>
      <c r="S46" s="97"/>
      <c r="T46" s="97"/>
      <c r="U46" s="97"/>
      <c r="V46" s="97"/>
      <c r="W46" s="97"/>
      <c r="X46" s="97" t="s">
        <v>75</v>
      </c>
      <c r="Y46" s="97" t="s">
        <v>85</v>
      </c>
      <c r="Z46" s="97"/>
      <c r="AA46" s="97"/>
      <c r="AB46" s="97"/>
      <c r="AC46" s="97" t="s">
        <v>87</v>
      </c>
      <c r="AD46" s="97"/>
      <c r="AE46" s="97"/>
      <c r="AF46" s="97">
        <v>15.95</v>
      </c>
      <c r="AG46" s="97"/>
    </row>
    <row r="47" spans="2:33" hidden="1" x14ac:dyDescent="0.25">
      <c r="L47" s="97"/>
      <c r="M47" s="97"/>
      <c r="N47" s="97"/>
      <c r="O47" s="97"/>
      <c r="P47" s="97"/>
      <c r="Q47" s="97"/>
      <c r="R47" s="97"/>
      <c r="S47" s="97"/>
      <c r="T47" s="97"/>
      <c r="U47" s="97"/>
      <c r="V47" s="97"/>
      <c r="W47" s="97"/>
      <c r="X47" s="97" t="s">
        <v>76</v>
      </c>
      <c r="Y47" s="97" t="s">
        <v>77</v>
      </c>
      <c r="Z47" s="97" t="s">
        <v>78</v>
      </c>
      <c r="AA47" s="97" t="s">
        <v>79</v>
      </c>
      <c r="AB47" s="97" t="s">
        <v>80</v>
      </c>
      <c r="AC47" s="97" t="s">
        <v>81</v>
      </c>
      <c r="AD47" s="97"/>
      <c r="AE47" s="97"/>
      <c r="AF47" s="97"/>
      <c r="AG47" s="97"/>
    </row>
    <row r="48" spans="2:33" hidden="1" x14ac:dyDescent="0.25">
      <c r="L48" s="97"/>
      <c r="M48" s="97"/>
      <c r="N48" s="97"/>
      <c r="O48" s="97"/>
      <c r="P48" s="97"/>
      <c r="Q48" s="97"/>
      <c r="R48" s="97"/>
      <c r="S48" s="97"/>
      <c r="T48" s="97"/>
      <c r="U48" s="97"/>
      <c r="V48" s="97"/>
      <c r="W48" s="97" t="s">
        <v>82</v>
      </c>
      <c r="X48" s="97">
        <v>19.399999999999999</v>
      </c>
      <c r="Y48" s="97">
        <v>-116</v>
      </c>
      <c r="Z48" s="97">
        <v>10.3</v>
      </c>
      <c r="AA48" s="98">
        <v>95.131425828581101</v>
      </c>
      <c r="AB48" s="98">
        <v>132.196656156655</v>
      </c>
      <c r="AC48" s="98">
        <v>-79.127524903526293</v>
      </c>
      <c r="AD48" s="97"/>
      <c r="AE48" s="97"/>
      <c r="AF48" s="97"/>
      <c r="AG48" s="97"/>
    </row>
    <row r="49" spans="4:33" hidden="1" x14ac:dyDescent="0.25">
      <c r="L49" s="97"/>
      <c r="M49" s="97"/>
      <c r="N49" s="97"/>
      <c r="O49" s="97"/>
      <c r="P49" s="97"/>
      <c r="Q49" s="97"/>
      <c r="R49" s="97"/>
      <c r="S49" s="97"/>
      <c r="T49" s="97"/>
      <c r="U49" s="97"/>
      <c r="V49" s="97"/>
      <c r="W49" s="97" t="s">
        <v>83</v>
      </c>
      <c r="X49" s="97">
        <v>-0.06</v>
      </c>
      <c r="Y49" s="97">
        <v>2.2999999999999998</v>
      </c>
      <c r="Z49" s="97">
        <v>-0.01</v>
      </c>
      <c r="AA49" s="98">
        <v>-0.10049088002391</v>
      </c>
      <c r="AB49" s="98">
        <v>-0.423279919724735</v>
      </c>
      <c r="AC49" s="98">
        <v>1.6377402045250999</v>
      </c>
      <c r="AD49" s="97"/>
      <c r="AE49" s="97"/>
      <c r="AF49" s="97"/>
      <c r="AG49" s="97"/>
    </row>
    <row r="50" spans="4:33" hidden="1" x14ac:dyDescent="0.25">
      <c r="L50" s="97"/>
      <c r="M50" s="97"/>
      <c r="N50" s="97"/>
      <c r="O50" s="97"/>
      <c r="P50" s="97"/>
      <c r="Q50" s="97"/>
      <c r="R50" s="97"/>
      <c r="S50" s="97"/>
      <c r="T50" s="97"/>
      <c r="U50" s="97"/>
      <c r="V50" s="97"/>
      <c r="W50" s="97" t="s">
        <v>84</v>
      </c>
      <c r="X50" s="97"/>
      <c r="Y50" s="97">
        <v>-0.01</v>
      </c>
      <c r="Z50" s="97"/>
      <c r="AA50" s="98">
        <v>3.3100000000000002E-4</v>
      </c>
      <c r="AB50" s="98">
        <v>1.92E-4</v>
      </c>
      <c r="AC50" s="98">
        <v>-4.6600000000000001E-3</v>
      </c>
      <c r="AD50" s="97"/>
      <c r="AE50" s="97"/>
      <c r="AF50" s="97"/>
      <c r="AG50" s="97"/>
    </row>
    <row r="51" spans="4:33" hidden="1" x14ac:dyDescent="0.25">
      <c r="L51" s="97"/>
      <c r="M51" s="97"/>
      <c r="N51" s="97"/>
      <c r="O51" s="97"/>
      <c r="P51" s="97" t="s">
        <v>61</v>
      </c>
      <c r="Q51" s="97">
        <v>2024</v>
      </c>
      <c r="R51" s="97"/>
      <c r="S51" s="97"/>
      <c r="T51" s="97"/>
      <c r="U51" s="97"/>
      <c r="V51" s="97"/>
      <c r="W51" s="97" t="s">
        <v>86</v>
      </c>
      <c r="X51" s="97">
        <v>0.15</v>
      </c>
      <c r="Y51" s="97">
        <v>0.01</v>
      </c>
      <c r="Z51" s="97">
        <v>0.87</v>
      </c>
      <c r="AA51" s="97"/>
      <c r="AB51" s="97"/>
      <c r="AC51" s="97"/>
      <c r="AD51" s="97"/>
      <c r="AE51" s="97"/>
      <c r="AF51" s="97"/>
      <c r="AG51" s="97"/>
    </row>
    <row r="52" spans="4:33" hidden="1" x14ac:dyDescent="0.25">
      <c r="L52" s="97"/>
      <c r="M52" s="97"/>
      <c r="N52" s="97"/>
      <c r="O52" s="97"/>
      <c r="P52" s="97" t="s">
        <v>62</v>
      </c>
      <c r="Q52" s="97">
        <f ca="1">YEAR(NOW())</f>
        <v>2025</v>
      </c>
      <c r="R52" s="97"/>
      <c r="S52" s="97"/>
      <c r="T52" s="97"/>
      <c r="U52" s="97"/>
      <c r="V52" s="97"/>
      <c r="W52" s="97"/>
      <c r="X52" s="97"/>
      <c r="Y52" s="97"/>
      <c r="Z52" s="97"/>
      <c r="AA52" s="97"/>
      <c r="AB52" s="97"/>
      <c r="AC52" s="97"/>
      <c r="AD52" s="97"/>
      <c r="AE52" s="97"/>
      <c r="AF52" s="97"/>
      <c r="AG52" s="97"/>
    </row>
    <row r="53" spans="4:33" hidden="1" x14ac:dyDescent="0.25">
      <c r="L53" s="97"/>
      <c r="M53" s="97"/>
      <c r="N53" s="97"/>
      <c r="O53" s="97"/>
      <c r="P53" s="97" t="s">
        <v>63</v>
      </c>
      <c r="Q53" s="97">
        <f ca="1">Q52-Q51</f>
        <v>1</v>
      </c>
      <c r="R53" s="97"/>
      <c r="S53" s="97"/>
      <c r="T53" s="97"/>
      <c r="U53" s="97"/>
      <c r="V53" s="97"/>
      <c r="W53" s="97" t="s">
        <v>100</v>
      </c>
      <c r="X53" s="97" t="s">
        <v>4</v>
      </c>
      <c r="Y53" s="97" t="s">
        <v>99</v>
      </c>
      <c r="Z53" s="97"/>
      <c r="AA53" s="97"/>
      <c r="AB53" s="97"/>
      <c r="AC53" s="97"/>
      <c r="AD53" s="97"/>
      <c r="AE53" s="97"/>
      <c r="AF53" s="97"/>
      <c r="AG53" s="97"/>
    </row>
    <row r="54" spans="4:33" hidden="1" x14ac:dyDescent="0.25">
      <c r="L54" s="97"/>
      <c r="M54" s="97"/>
      <c r="N54" s="97"/>
      <c r="O54" s="97"/>
      <c r="P54" s="97" t="s">
        <v>51</v>
      </c>
      <c r="Q54" s="99"/>
      <c r="R54" s="99"/>
      <c r="S54" s="99">
        <f ca="1">DATE(YEAR(C15)-Q53,MONTH(C15),DAY(C15))</f>
        <v>45444</v>
      </c>
      <c r="T54" s="99">
        <f ca="1">DATE(YEAR(F15)-Q53,MONTH(F15),DAY(F15))</f>
        <v>45458</v>
      </c>
      <c r="U54" s="97"/>
      <c r="V54" s="97"/>
      <c r="W54" s="97" t="s">
        <v>96</v>
      </c>
      <c r="X54" s="97">
        <v>95</v>
      </c>
      <c r="Y54" s="97">
        <v>105</v>
      </c>
      <c r="Z54" s="97"/>
      <c r="AA54" s="97"/>
      <c r="AB54" s="97"/>
      <c r="AC54" s="97"/>
      <c r="AD54" s="97"/>
      <c r="AE54" s="97"/>
      <c r="AF54" s="97"/>
      <c r="AG54" s="97"/>
    </row>
    <row r="55" spans="4:33" hidden="1" x14ac:dyDescent="0.25">
      <c r="D55" s="100"/>
      <c r="E55" s="100"/>
      <c r="L55" s="97"/>
      <c r="M55" s="97"/>
      <c r="N55" s="97"/>
      <c r="O55" s="97"/>
      <c r="P55" s="97" t="s">
        <v>89</v>
      </c>
      <c r="Q55" s="99">
        <v>45292</v>
      </c>
      <c r="R55" s="97"/>
      <c r="S55" s="99">
        <f ca="1">DATE(YEAR(C15)-Q53,MONTH(Q55),DAY(Q55))</f>
        <v>45292</v>
      </c>
      <c r="T55" s="99">
        <f ca="1">DATE(YEAR(C15)-Q53,MONTH(Q55),DAY(Q55))</f>
        <v>45292</v>
      </c>
      <c r="U55" s="101"/>
      <c r="V55" s="101"/>
      <c r="W55" s="97" t="s">
        <v>97</v>
      </c>
      <c r="X55" s="97">
        <v>115</v>
      </c>
      <c r="Y55" s="97">
        <v>105</v>
      </c>
      <c r="Z55" s="97"/>
      <c r="AA55" s="97"/>
      <c r="AB55" s="97"/>
      <c r="AC55" s="97"/>
      <c r="AD55" s="97"/>
      <c r="AE55" s="97"/>
      <c r="AF55" s="97"/>
      <c r="AG55" s="97"/>
    </row>
    <row r="56" spans="4:33" hidden="1" x14ac:dyDescent="0.25">
      <c r="L56" s="97"/>
      <c r="M56" s="97"/>
      <c r="N56" s="97"/>
      <c r="O56" s="97"/>
      <c r="P56" s="97"/>
      <c r="Q56" s="99"/>
      <c r="R56" s="97"/>
      <c r="S56" s="97">
        <f ca="1">S54-S55</f>
        <v>152</v>
      </c>
      <c r="T56" s="97">
        <f ca="1">T54-T55</f>
        <v>166</v>
      </c>
      <c r="U56" s="97"/>
      <c r="V56" s="97"/>
      <c r="W56" s="97" t="s">
        <v>98</v>
      </c>
      <c r="X56" s="97">
        <v>90</v>
      </c>
      <c r="Y56" s="97">
        <v>105</v>
      </c>
      <c r="Z56" s="97"/>
      <c r="AA56" s="97"/>
      <c r="AB56" s="97"/>
      <c r="AC56" s="97"/>
      <c r="AD56" s="97"/>
      <c r="AE56" s="97"/>
      <c r="AF56" s="97"/>
      <c r="AG56" s="97"/>
    </row>
    <row r="57" spans="4:33" hidden="1" x14ac:dyDescent="0.25">
      <c r="L57" s="97"/>
      <c r="M57" s="97"/>
      <c r="N57" s="97"/>
      <c r="O57" s="97"/>
      <c r="P57" s="97"/>
      <c r="Q57" s="97"/>
      <c r="R57" s="97"/>
      <c r="S57" s="97"/>
      <c r="T57" s="97"/>
      <c r="U57" s="97"/>
      <c r="V57" s="97"/>
      <c r="W57" s="97"/>
      <c r="X57" s="97"/>
      <c r="Y57" s="97"/>
      <c r="Z57" s="97"/>
      <c r="AA57" s="97"/>
      <c r="AB57" s="97"/>
      <c r="AC57" s="97"/>
      <c r="AD57" s="97"/>
      <c r="AE57" s="97"/>
      <c r="AF57" s="97"/>
      <c r="AG57" s="97"/>
    </row>
    <row r="58" spans="4:33" hidden="1" x14ac:dyDescent="0.25">
      <c r="L58" s="97"/>
      <c r="M58" s="97"/>
      <c r="N58" s="97"/>
      <c r="O58" s="97"/>
      <c r="P58" s="97"/>
      <c r="Q58" s="97"/>
      <c r="R58" s="97"/>
      <c r="S58" s="97"/>
      <c r="T58" s="97"/>
      <c r="U58" s="97"/>
      <c r="V58" s="97"/>
      <c r="W58" s="97"/>
      <c r="X58" s="97"/>
      <c r="Y58" s="97"/>
      <c r="Z58" s="97"/>
      <c r="AA58" s="97"/>
      <c r="AB58" s="97"/>
      <c r="AC58" s="97"/>
      <c r="AD58" s="97"/>
      <c r="AE58" s="97"/>
      <c r="AF58" s="97"/>
      <c r="AG58" s="97"/>
    </row>
    <row r="59" spans="4:33" hidden="1" x14ac:dyDescent="0.25">
      <c r="L59" s="97"/>
      <c r="M59" s="97"/>
      <c r="N59" s="97"/>
      <c r="O59" s="97"/>
      <c r="P59" s="97" t="s">
        <v>71</v>
      </c>
      <c r="Q59" s="97"/>
      <c r="R59" s="97"/>
      <c r="S59" s="97"/>
      <c r="T59" s="97"/>
      <c r="U59" s="97"/>
      <c r="V59" s="97"/>
      <c r="W59" s="97"/>
      <c r="X59" s="97"/>
      <c r="Y59" s="97"/>
      <c r="Z59" s="97"/>
      <c r="AA59" s="97"/>
      <c r="AB59" s="97"/>
      <c r="AC59" s="97"/>
      <c r="AD59" s="97"/>
      <c r="AE59" s="97"/>
      <c r="AF59" s="97"/>
      <c r="AG59" s="97"/>
    </row>
    <row r="60" spans="4:33" ht="15" hidden="1" thickBot="1" x14ac:dyDescent="0.3">
      <c r="L60" s="97"/>
      <c r="M60" s="97"/>
      <c r="N60" s="97"/>
      <c r="O60" s="97"/>
      <c r="P60" s="97" t="s">
        <v>65</v>
      </c>
      <c r="Q60" s="97"/>
      <c r="R60" s="97"/>
      <c r="S60" s="97"/>
      <c r="T60" s="97"/>
      <c r="U60" s="97"/>
      <c r="V60" s="97"/>
      <c r="W60" s="97"/>
      <c r="X60" s="97"/>
      <c r="Y60" s="97"/>
      <c r="Z60" s="97"/>
      <c r="AA60" s="97"/>
      <c r="AB60" s="97"/>
      <c r="AC60" s="97"/>
      <c r="AD60" s="97"/>
      <c r="AE60" s="97"/>
      <c r="AF60" s="97"/>
      <c r="AG60" s="97"/>
    </row>
    <row r="61" spans="4:33" ht="15" hidden="1" thickBot="1" x14ac:dyDescent="0.3">
      <c r="L61" s="97"/>
      <c r="M61" s="102"/>
      <c r="N61" s="97"/>
      <c r="O61" s="97"/>
      <c r="P61" s="97"/>
      <c r="Q61" s="103" t="s">
        <v>18</v>
      </c>
      <c r="R61" s="104"/>
      <c r="S61" s="103" t="s">
        <v>92</v>
      </c>
      <c r="T61" s="104"/>
      <c r="U61" s="103" t="s">
        <v>93</v>
      </c>
      <c r="V61" s="104"/>
      <c r="W61" s="97"/>
      <c r="X61" s="97" t="s">
        <v>56</v>
      </c>
      <c r="Y61" s="97"/>
      <c r="Z61" s="97"/>
      <c r="AA61" s="97"/>
      <c r="AB61" s="97" t="s">
        <v>90</v>
      </c>
      <c r="AC61" s="97"/>
      <c r="AD61" s="97"/>
      <c r="AE61" s="97"/>
      <c r="AF61" s="97"/>
      <c r="AG61" s="97"/>
    </row>
    <row r="62" spans="4:33" hidden="1" x14ac:dyDescent="0.25">
      <c r="L62" s="97"/>
      <c r="M62" s="102"/>
      <c r="N62" s="97"/>
      <c r="O62" s="97"/>
      <c r="P62" s="97" t="s">
        <v>52</v>
      </c>
      <c r="Q62" s="105" t="s">
        <v>4</v>
      </c>
      <c r="R62" s="106" t="s">
        <v>24</v>
      </c>
      <c r="S62" s="105" t="s">
        <v>4</v>
      </c>
      <c r="T62" s="106" t="s">
        <v>24</v>
      </c>
      <c r="U62" s="105" t="s">
        <v>4</v>
      </c>
      <c r="V62" s="106" t="s">
        <v>24</v>
      </c>
      <c r="W62" s="97"/>
      <c r="X62" s="107" t="s">
        <v>47</v>
      </c>
      <c r="Y62" s="108" t="s">
        <v>4</v>
      </c>
      <c r="Z62" s="97" t="s">
        <v>24</v>
      </c>
      <c r="AA62" s="97"/>
      <c r="AB62" s="97"/>
      <c r="AC62" s="97"/>
      <c r="AD62" s="97"/>
      <c r="AE62" s="97"/>
      <c r="AF62" s="97"/>
      <c r="AG62" s="97"/>
    </row>
    <row r="63" spans="4:33" hidden="1" x14ac:dyDescent="0.25">
      <c r="L63" s="97"/>
      <c r="M63" s="102"/>
      <c r="N63" s="97"/>
      <c r="O63" s="97" t="s">
        <v>55</v>
      </c>
      <c r="P63" s="97" t="s">
        <v>72</v>
      </c>
      <c r="Q63" s="109">
        <f>X48*AF46</f>
        <v>309.42999999999995</v>
      </c>
      <c r="R63" s="110">
        <v>95.13</v>
      </c>
      <c r="S63" s="109">
        <f>Y48*AF46</f>
        <v>-1850.1999999999998</v>
      </c>
      <c r="T63" s="110">
        <v>132.19665620000001</v>
      </c>
      <c r="U63" s="109">
        <f>Z48*AF46</f>
        <v>164.285</v>
      </c>
      <c r="V63" s="110">
        <v>132.19665620000001</v>
      </c>
      <c r="W63" s="97"/>
      <c r="X63" s="111" t="s">
        <v>18</v>
      </c>
      <c r="Y63" s="112">
        <f ca="1">MIN(1,(Q63+$S$56*Q64+$S$56^2*Q65)/Y64)</f>
        <v>0.83373884833738832</v>
      </c>
      <c r="Z63" s="112">
        <f ca="1">MIN(1,(R63+$T$56*R64+($T$56*R65)^2)/Z64)</f>
        <v>0.98799286134003816</v>
      </c>
      <c r="AA63" s="97"/>
      <c r="AB63" s="97" t="s">
        <v>94</v>
      </c>
      <c r="AC63" s="97"/>
      <c r="AD63" s="97"/>
      <c r="AE63" s="97"/>
      <c r="AF63" s="97"/>
      <c r="AG63" s="97"/>
    </row>
    <row r="64" spans="4:33" hidden="1" x14ac:dyDescent="0.25">
      <c r="L64" s="97"/>
      <c r="M64" s="97"/>
      <c r="N64" s="97"/>
      <c r="O64" s="97" t="s">
        <v>54</v>
      </c>
      <c r="P64" s="97" t="s">
        <v>73</v>
      </c>
      <c r="Q64" s="109">
        <f>X49*AF46</f>
        <v>-0.95699999999999996</v>
      </c>
      <c r="R64" s="110">
        <v>-0.10049088</v>
      </c>
      <c r="S64" s="109">
        <f>Y49*AF46</f>
        <v>36.684999999999995</v>
      </c>
      <c r="T64" s="110">
        <v>-0.42327991999999998</v>
      </c>
      <c r="U64" s="109">
        <f>Z49*AF46</f>
        <v>-0.1595</v>
      </c>
      <c r="V64" s="110">
        <v>-0.42327991999999998</v>
      </c>
      <c r="W64" s="97"/>
      <c r="X64" s="97" t="s">
        <v>91</v>
      </c>
      <c r="Y64" s="113">
        <f>(Q63+X54*Q64+X55^2*Q65)*0.9</f>
        <v>196.66349999999997</v>
      </c>
      <c r="Z64" s="113">
        <f>(R63+Y54*R64+Y54^2*R65)*0.9</f>
        <v>79.404959340000005</v>
      </c>
      <c r="AA64" s="97"/>
      <c r="AB64" s="97" t="s">
        <v>88</v>
      </c>
      <c r="AC64" s="97"/>
      <c r="AD64" s="97"/>
      <c r="AE64" s="97"/>
      <c r="AF64" s="97"/>
      <c r="AG64" s="97"/>
    </row>
    <row r="65" spans="11:33" ht="17.25" hidden="1" x14ac:dyDescent="0.25">
      <c r="L65" s="97"/>
      <c r="M65" s="97"/>
      <c r="N65" s="114"/>
      <c r="O65" s="115" t="s">
        <v>53</v>
      </c>
      <c r="P65" s="97" t="s">
        <v>74</v>
      </c>
      <c r="Q65" s="116">
        <v>0</v>
      </c>
      <c r="R65" s="110">
        <v>3.3100000000000002E-4</v>
      </c>
      <c r="S65" s="109">
        <f>Y50*AF46</f>
        <v>-0.1595</v>
      </c>
      <c r="T65" s="110">
        <v>1.92E-4</v>
      </c>
      <c r="U65" s="109">
        <f>AA50*AH46</f>
        <v>0</v>
      </c>
      <c r="V65" s="110">
        <v>1.92E-4</v>
      </c>
      <c r="W65" s="97"/>
      <c r="X65" s="97" t="s">
        <v>88</v>
      </c>
      <c r="Y65" s="112">
        <f ca="1">MIN(1,(S63+$S$56*S64+($S$56^2*S65))/Y66)</f>
        <v>0.17504273504273063</v>
      </c>
      <c r="Z65" s="112">
        <f ca="1">MIN(1,(T63+$T$56*T64+($T$56*T65)^2)/Z66)</f>
        <v>0.76572147342041719</v>
      </c>
      <c r="AA65" s="97"/>
      <c r="AB65" s="97" t="s">
        <v>95</v>
      </c>
      <c r="AC65" s="97"/>
      <c r="AD65" s="97"/>
      <c r="AE65" s="97"/>
      <c r="AF65" s="97"/>
      <c r="AG65" s="97"/>
    </row>
    <row r="66" spans="11:33" ht="17.25" hidden="1" x14ac:dyDescent="0.25">
      <c r="L66" s="97"/>
      <c r="M66" s="97"/>
      <c r="N66" s="114"/>
      <c r="O66" s="115"/>
      <c r="P66" s="97" t="s">
        <v>57</v>
      </c>
      <c r="Q66" s="117">
        <v>45383</v>
      </c>
      <c r="R66" s="118">
        <v>45392</v>
      </c>
      <c r="S66" s="117">
        <v>45371</v>
      </c>
      <c r="T66" s="118">
        <v>45392</v>
      </c>
      <c r="U66" s="117">
        <v>45392</v>
      </c>
      <c r="V66" s="118">
        <v>45392</v>
      </c>
      <c r="W66" s="97"/>
      <c r="X66" s="97" t="s">
        <v>91</v>
      </c>
      <c r="Y66" s="113">
        <f>(S63+X55*S64+(X55^2*S65))*0.9</f>
        <v>233.26875000000001</v>
      </c>
      <c r="Z66" s="113">
        <f>(T63+Y55*T64+(Y55^2*T65))*0.9</f>
        <v>80.882158140000016</v>
      </c>
      <c r="AA66" s="97"/>
      <c r="AB66" s="97"/>
      <c r="AC66" s="97"/>
      <c r="AD66" s="97"/>
      <c r="AE66" s="97"/>
      <c r="AF66" s="97"/>
      <c r="AG66" s="97"/>
    </row>
    <row r="67" spans="11:33" ht="17.25" hidden="1" x14ac:dyDescent="0.25">
      <c r="L67" s="97"/>
      <c r="M67" s="97"/>
      <c r="N67" s="114"/>
      <c r="O67" s="115"/>
      <c r="P67" s="97" t="s">
        <v>58</v>
      </c>
      <c r="Q67" s="117">
        <v>45458</v>
      </c>
      <c r="R67" s="118">
        <v>45478</v>
      </c>
      <c r="S67" s="117">
        <v>45422</v>
      </c>
      <c r="T67" s="118">
        <v>45474</v>
      </c>
      <c r="U67" s="117">
        <v>45458</v>
      </c>
      <c r="V67" s="118">
        <v>45488</v>
      </c>
      <c r="W67" s="97"/>
      <c r="X67" s="97" t="s">
        <v>95</v>
      </c>
      <c r="Y67" s="112">
        <f ca="1">MIN(1,(U63+$S$56*U64+($S$56^2*U65))/Y68)</f>
        <v>1</v>
      </c>
      <c r="Z67" s="112">
        <f ca="1">MIN(1,(V63+$T$56*V64+($T$56*V65)^2)/Z68)</f>
        <v>0.76572147342041719</v>
      </c>
      <c r="AA67" s="97"/>
      <c r="AB67" s="97" t="s">
        <v>101</v>
      </c>
      <c r="AC67" s="97"/>
      <c r="AD67" s="97"/>
      <c r="AE67" s="97"/>
      <c r="AF67" s="97"/>
      <c r="AG67" s="97"/>
    </row>
    <row r="68" spans="11:33" ht="17.25" hidden="1" x14ac:dyDescent="0.25">
      <c r="L68" s="97"/>
      <c r="M68" s="97"/>
      <c r="N68" s="114"/>
      <c r="O68" s="115"/>
      <c r="P68" s="97" t="s">
        <v>59</v>
      </c>
      <c r="Q68" s="117">
        <f>DATE(YEAR(Q66)+$Q$45,MONTH(Q66),DAY(Q66))</f>
        <v>45383</v>
      </c>
      <c r="R68" s="118">
        <f t="shared" ref="R68:V69" si="0">DATE(YEAR(R66)+$Q$45,MONTH(R66),DAY(R66))</f>
        <v>45392</v>
      </c>
      <c r="S68" s="117">
        <f t="shared" si="0"/>
        <v>45371</v>
      </c>
      <c r="T68" s="118">
        <f t="shared" si="0"/>
        <v>45392</v>
      </c>
      <c r="U68" s="117">
        <f t="shared" si="0"/>
        <v>45392</v>
      </c>
      <c r="V68" s="118">
        <f t="shared" si="0"/>
        <v>45392</v>
      </c>
      <c r="W68" s="97"/>
      <c r="X68" s="97" t="s">
        <v>91</v>
      </c>
      <c r="Y68" s="113">
        <f>(U63+X56*U64+(X56^2*U65))*0.9</f>
        <v>134.93700000000001</v>
      </c>
      <c r="Z68" s="113">
        <f>(V63+Y56*V64+(Y56^2*V65))*0.9</f>
        <v>80.882158140000016</v>
      </c>
      <c r="AA68" s="97"/>
      <c r="AB68" s="97"/>
      <c r="AC68" s="97"/>
      <c r="AD68" s="97"/>
      <c r="AE68" s="97"/>
      <c r="AF68" s="97"/>
      <c r="AG68" s="97"/>
    </row>
    <row r="69" spans="11:33" ht="17.25" hidden="1" x14ac:dyDescent="0.25">
      <c r="L69" s="97"/>
      <c r="M69" s="97"/>
      <c r="N69" s="114"/>
      <c r="O69" s="115"/>
      <c r="P69" s="97" t="s">
        <v>60</v>
      </c>
      <c r="Q69" s="117">
        <f>DATE(YEAR(Q67)+$Q$45,MONTH(Q67),DAY(Q67))</f>
        <v>45458</v>
      </c>
      <c r="R69" s="118">
        <f t="shared" si="0"/>
        <v>45478</v>
      </c>
      <c r="S69" s="117">
        <f t="shared" si="0"/>
        <v>45422</v>
      </c>
      <c r="T69" s="118">
        <f t="shared" si="0"/>
        <v>45474</v>
      </c>
      <c r="U69" s="117">
        <f t="shared" si="0"/>
        <v>45458</v>
      </c>
      <c r="V69" s="118">
        <f t="shared" si="0"/>
        <v>45488</v>
      </c>
      <c r="W69" s="97"/>
      <c r="X69" s="97"/>
      <c r="Y69" s="97"/>
      <c r="Z69" s="97"/>
      <c r="AA69" s="97"/>
      <c r="AB69" s="97"/>
      <c r="AC69" s="97"/>
      <c r="AD69" s="97"/>
      <c r="AE69" s="97"/>
      <c r="AF69" s="97"/>
      <c r="AG69" s="97"/>
    </row>
    <row r="70" spans="11:33" ht="18" hidden="1" thickBot="1" x14ac:dyDescent="0.3">
      <c r="L70" s="97"/>
      <c r="M70" s="97"/>
      <c r="N70" s="114"/>
      <c r="O70" s="115"/>
      <c r="P70" s="97"/>
      <c r="Q70" s="119"/>
      <c r="R70" s="120"/>
      <c r="S70" s="119"/>
      <c r="T70" s="120"/>
      <c r="U70" s="119"/>
      <c r="V70" s="120"/>
      <c r="W70" s="97"/>
      <c r="X70" s="97"/>
      <c r="Y70" s="108"/>
      <c r="Z70" s="97"/>
      <c r="AA70" s="97"/>
      <c r="AB70" s="97"/>
      <c r="AC70" s="97"/>
      <c r="AD70" s="97"/>
      <c r="AE70" s="97"/>
      <c r="AF70" s="97"/>
      <c r="AG70" s="97"/>
    </row>
    <row r="71" spans="11:33" ht="17.25" hidden="1" x14ac:dyDescent="0.25">
      <c r="N71" s="114"/>
      <c r="O71" s="115"/>
      <c r="P71" s="97"/>
      <c r="Q71" s="97"/>
      <c r="R71" s="97"/>
      <c r="S71" s="97"/>
      <c r="T71" s="97"/>
      <c r="U71" s="97"/>
      <c r="V71" s="97"/>
      <c r="W71" s="97"/>
      <c r="X71" s="97"/>
      <c r="Y71" s="102"/>
      <c r="Z71" s="102"/>
      <c r="AA71" s="97"/>
      <c r="AB71" s="97"/>
      <c r="AC71" s="97"/>
      <c r="AD71" s="97"/>
      <c r="AE71" s="97"/>
      <c r="AF71" s="97"/>
      <c r="AG71" s="97"/>
    </row>
    <row r="72" spans="11:33" ht="17.25" hidden="1" x14ac:dyDescent="0.25">
      <c r="K72" s="47" t="s">
        <v>103</v>
      </c>
      <c r="L72" s="97" t="s">
        <v>104</v>
      </c>
      <c r="M72" s="97"/>
      <c r="N72" s="114"/>
      <c r="O72" s="115"/>
      <c r="P72" s="97"/>
      <c r="Q72" s="97"/>
      <c r="R72" s="97"/>
      <c r="S72" s="97"/>
      <c r="T72" s="97"/>
      <c r="U72" s="97"/>
      <c r="V72" s="97"/>
      <c r="W72" s="97"/>
      <c r="X72" s="97"/>
      <c r="Y72" s="102"/>
      <c r="Z72" s="102"/>
      <c r="AA72" s="97"/>
      <c r="AB72" s="97"/>
      <c r="AC72" s="97"/>
      <c r="AD72" s="97"/>
      <c r="AE72" s="97"/>
      <c r="AF72" s="97"/>
      <c r="AG72" s="97"/>
    </row>
    <row r="73" spans="11:33" ht="17.25" hidden="1" x14ac:dyDescent="0.25">
      <c r="L73" s="100">
        <f ca="1">(C30+$C$9)/$C$8</f>
        <v>45.660989456609883</v>
      </c>
      <c r="M73" s="47" t="s">
        <v>27</v>
      </c>
      <c r="N73" s="114"/>
      <c r="O73" s="115"/>
      <c r="P73" s="97"/>
      <c r="Q73" s="97"/>
      <c r="R73" s="97"/>
      <c r="S73" s="97"/>
      <c r="T73" s="97"/>
      <c r="U73" s="97"/>
      <c r="V73" s="97"/>
      <c r="W73" s="97"/>
      <c r="X73" s="97"/>
      <c r="Y73" s="121"/>
      <c r="Z73" s="121"/>
      <c r="AA73" s="97"/>
      <c r="AB73" s="97"/>
      <c r="AC73" s="97"/>
      <c r="AD73" s="97"/>
      <c r="AE73" s="97"/>
      <c r="AF73" s="97"/>
      <c r="AG73" s="97"/>
    </row>
    <row r="74" spans="11:33" ht="17.25" hidden="1" x14ac:dyDescent="0.25">
      <c r="L74" s="100">
        <f ca="1">(F30+$C$9)/$C$8</f>
        <v>55.922402885267871</v>
      </c>
      <c r="M74" s="47" t="s">
        <v>11</v>
      </c>
      <c r="N74" s="114"/>
      <c r="O74" s="115"/>
      <c r="P74" s="97"/>
      <c r="Q74" s="97"/>
      <c r="R74" s="97"/>
      <c r="S74" s="97"/>
      <c r="T74" s="97"/>
      <c r="U74" s="97"/>
      <c r="V74" s="97"/>
      <c r="W74" s="122"/>
      <c r="X74" s="97"/>
      <c r="Y74" s="121"/>
      <c r="Z74" s="121"/>
      <c r="AA74" s="97"/>
      <c r="AB74" s="97"/>
      <c r="AC74" s="97"/>
      <c r="AD74" s="97"/>
      <c r="AE74" s="97"/>
      <c r="AF74" s="97"/>
      <c r="AG74" s="97"/>
    </row>
    <row r="75" spans="11:33" ht="17.25" hidden="1" x14ac:dyDescent="0.25">
      <c r="L75" s="97" t="s">
        <v>28</v>
      </c>
      <c r="M75" s="97"/>
      <c r="N75" s="114"/>
      <c r="O75" s="115"/>
      <c r="P75" s="97"/>
      <c r="Q75" s="97"/>
      <c r="R75" s="97"/>
      <c r="S75" s="97"/>
      <c r="T75" s="97"/>
      <c r="U75" s="97"/>
      <c r="V75" s="97"/>
      <c r="W75" s="97"/>
      <c r="X75" s="97"/>
      <c r="Y75" s="97"/>
      <c r="Z75" s="97"/>
      <c r="AA75" s="97"/>
      <c r="AB75" s="97"/>
      <c r="AC75" s="97"/>
      <c r="AD75" s="97"/>
      <c r="AE75" s="97"/>
      <c r="AF75" s="97"/>
      <c r="AG75" s="97"/>
    </row>
    <row r="76" spans="11:33" hidden="1" x14ac:dyDescent="0.25">
      <c r="L76" s="123">
        <f ca="1">(C30-I30+C9)/$C$8</f>
        <v>39.642470938091364</v>
      </c>
      <c r="M76" s="47" t="s">
        <v>27</v>
      </c>
      <c r="N76" s="97"/>
      <c r="O76" s="97"/>
      <c r="P76" s="97"/>
      <c r="Q76" s="97"/>
      <c r="R76" s="97"/>
      <c r="S76" s="97"/>
      <c r="T76" s="97"/>
      <c r="U76" s="97"/>
      <c r="V76" s="97"/>
      <c r="W76" s="97" t="s">
        <v>66</v>
      </c>
      <c r="X76" s="97"/>
      <c r="Y76" s="97"/>
      <c r="Z76" s="97"/>
      <c r="AA76" s="97"/>
      <c r="AB76" s="97"/>
      <c r="AC76" s="97"/>
      <c r="AD76" s="97"/>
      <c r="AE76" s="97"/>
      <c r="AF76" s="97"/>
      <c r="AG76" s="97"/>
    </row>
    <row r="77" spans="11:33" hidden="1" x14ac:dyDescent="0.25">
      <c r="L77" s="123">
        <f ca="1">(F30-I30+C9)/$C$8</f>
        <v>49.903884366749352</v>
      </c>
      <c r="M77" s="47" t="s">
        <v>11</v>
      </c>
      <c r="N77" s="97"/>
      <c r="O77" s="97"/>
      <c r="P77" s="97"/>
      <c r="Q77" s="97"/>
      <c r="R77" s="97"/>
      <c r="S77" s="97"/>
      <c r="T77" s="97"/>
      <c r="U77" s="97"/>
      <c r="V77" s="97"/>
      <c r="W77" s="97"/>
      <c r="X77" s="109"/>
      <c r="Y77" s="110"/>
      <c r="Z77" s="109"/>
      <c r="AA77" s="110"/>
      <c r="AB77" s="97"/>
      <c r="AC77" s="97"/>
      <c r="AD77" s="97"/>
      <c r="AE77" s="97"/>
      <c r="AF77" s="97"/>
      <c r="AG77" s="97"/>
    </row>
    <row r="78" spans="11:33" ht="17.25" hidden="1" x14ac:dyDescent="0.25">
      <c r="L78" s="97" t="s">
        <v>50</v>
      </c>
      <c r="M78" s="97"/>
      <c r="N78" s="97"/>
      <c r="O78" s="97"/>
      <c r="P78" s="97"/>
      <c r="Q78" s="97"/>
      <c r="R78" s="97"/>
      <c r="S78" s="97"/>
      <c r="T78" s="97"/>
      <c r="U78" s="97"/>
      <c r="V78" s="97"/>
      <c r="W78" s="97"/>
      <c r="X78" s="109"/>
      <c r="Y78" s="110"/>
      <c r="Z78" s="109"/>
      <c r="AA78" s="110"/>
      <c r="AB78" s="97"/>
      <c r="AC78" s="97"/>
      <c r="AD78" s="215"/>
      <c r="AE78" s="215"/>
      <c r="AF78" s="97"/>
      <c r="AG78" s="97"/>
    </row>
    <row r="79" spans="11:33" ht="17.25" hidden="1" x14ac:dyDescent="0.25">
      <c r="L79" s="124">
        <f>ROUND(F38-C38,2)</f>
        <v>0</v>
      </c>
      <c r="M79" s="97"/>
      <c r="N79" s="97"/>
      <c r="O79" s="97"/>
      <c r="P79" s="97"/>
      <c r="Q79" s="97"/>
      <c r="R79" s="97"/>
      <c r="S79" s="97"/>
      <c r="T79" s="97"/>
      <c r="U79" s="97"/>
      <c r="V79" s="97"/>
      <c r="W79" s="97"/>
      <c r="X79" s="109"/>
      <c r="Y79" s="110"/>
      <c r="Z79" s="109"/>
      <c r="AA79" s="110"/>
      <c r="AB79" s="97"/>
      <c r="AC79" s="97"/>
      <c r="AD79" s="115"/>
      <c r="AE79" s="115"/>
      <c r="AF79" s="97"/>
      <c r="AG79" s="97"/>
    </row>
    <row r="80" spans="11:33" ht="17.25" hidden="1" x14ac:dyDescent="0.25">
      <c r="L80" s="97"/>
      <c r="M80" s="97"/>
      <c r="N80" s="97"/>
      <c r="O80" s="97"/>
      <c r="P80" s="97"/>
      <c r="Q80" s="97"/>
      <c r="R80" s="97"/>
      <c r="S80" s="97"/>
      <c r="T80" s="97"/>
      <c r="U80" s="97"/>
      <c r="V80" s="97"/>
      <c r="W80" s="97"/>
      <c r="X80" s="109"/>
      <c r="Y80" s="110"/>
      <c r="Z80" s="109"/>
      <c r="AA80" s="110"/>
      <c r="AB80" s="97"/>
      <c r="AC80" s="97"/>
      <c r="AD80" s="125"/>
      <c r="AE80" s="115"/>
      <c r="AF80" s="99"/>
      <c r="AG80" s="97"/>
    </row>
    <row r="81" spans="12:33" ht="17.25" hidden="1" x14ac:dyDescent="0.25">
      <c r="L81" s="107" t="s">
        <v>43</v>
      </c>
      <c r="M81" s="97"/>
      <c r="N81" s="97"/>
      <c r="O81" s="97"/>
      <c r="P81" s="97"/>
      <c r="Q81" s="97"/>
      <c r="R81" s="97"/>
      <c r="S81" s="97"/>
      <c r="T81" s="97"/>
      <c r="U81" s="97"/>
      <c r="V81" s="97"/>
      <c r="W81" s="97"/>
      <c r="X81" s="109"/>
      <c r="Y81" s="110"/>
      <c r="Z81" s="109"/>
      <c r="AA81" s="110"/>
      <c r="AB81" s="97"/>
      <c r="AC81" s="97"/>
      <c r="AD81" s="125"/>
      <c r="AE81" s="115"/>
      <c r="AF81" s="99"/>
      <c r="AG81" s="97"/>
    </row>
    <row r="82" spans="12:33" ht="17.25" hidden="1" x14ac:dyDescent="0.25">
      <c r="L82" s="47" t="s">
        <v>4</v>
      </c>
      <c r="M82" s="47" t="b">
        <f>IF(C16="Southeast and Southwest MO",(OR(C31&lt;S68,C31&gt;S69)),(OR(C31&lt;Q68,C31&gt;Q69)))</f>
        <v>1</v>
      </c>
      <c r="N82" s="97"/>
      <c r="O82" s="97" t="str">
        <f>IF(C16=AB64,"No data available for planting before "&amp;TEXT(S68,"mmm-dd")&amp;" and after "&amp;TEXT(S69,"mmm-dd")&amp;".  Estimate of yields may not be reliable.",IF(C16=AB63,"No data available for planting before "&amp;TEXT(Q68,"mmm-dd")&amp;" and after "&amp;TEXT(Q69,"mmm-dd")&amp;".  Estimate of yields may not be reliable.","No data available for planting before "&amp;TEXT(U68,"mmm-dd")&amp;" and after "&amp;TEXT(U69,"mmm-dd")&amp;".  Estimate of yields may not be reliable."))</f>
        <v>No data available for planting before Apr-10 and after Jun-15.  Estimate of yields may not be reliable.</v>
      </c>
      <c r="P82" s="97"/>
      <c r="Q82" s="97"/>
      <c r="R82" s="97"/>
      <c r="S82" s="97"/>
      <c r="T82" s="97"/>
      <c r="U82" s="97"/>
      <c r="V82" s="97"/>
      <c r="W82" s="97"/>
      <c r="X82" s="97"/>
      <c r="Y82" s="97"/>
      <c r="Z82" s="97"/>
      <c r="AA82" s="97"/>
      <c r="AB82" s="97"/>
      <c r="AC82" s="97"/>
      <c r="AD82" s="125"/>
      <c r="AE82" s="115"/>
      <c r="AF82" s="99"/>
      <c r="AG82" s="97"/>
    </row>
    <row r="83" spans="12:33" ht="17.25" hidden="1" x14ac:dyDescent="0.25">
      <c r="L83" s="47" t="s">
        <v>24</v>
      </c>
      <c r="M83" s="47" t="b">
        <f>IF(C16="Southeast and Southwest MO",(OR(C31&lt;T68,C31&gt;T69)),(OR(C31&lt;R68,C31&gt;R69)))</f>
        <v>1</v>
      </c>
      <c r="N83" s="97"/>
      <c r="O83" s="97" t="str">
        <f>IF(C16=AB64,"No data available for planting before "&amp;TEXT(T68,"mmm-dd")&amp;" and after "&amp;TEXT(T69,"mmm-dd")&amp;".  Estimate of yields may not be reliable.",IF(C16=AB63,"No data available for planting before "&amp;TEXT(R68,"mmm-dd")&amp;" and after "&amp;TEXT(R69,"mmm-dd")&amp;".  Estimate of yields may not be reliable.","No data available for planting before "&amp;TEXT(V68,"mmm-dd")&amp;" and after "&amp;TEXT(V69,"mmm-dd")&amp;".  Estimate of yields may not be reliable."))</f>
        <v>No data available for planting before Apr-10 and after Jul-15.  Estimate of yields may not be reliable.</v>
      </c>
      <c r="P83" s="97"/>
      <c r="Q83" s="97"/>
      <c r="R83" s="97"/>
      <c r="S83" s="97"/>
      <c r="T83" s="115"/>
      <c r="U83" s="115"/>
      <c r="V83" s="115"/>
      <c r="W83" s="97"/>
      <c r="X83" s="97"/>
      <c r="Y83" s="97"/>
      <c r="Z83" s="97"/>
      <c r="AA83" s="97"/>
      <c r="AB83" s="97"/>
      <c r="AC83" s="97"/>
      <c r="AD83" s="125"/>
      <c r="AE83" s="115"/>
      <c r="AF83" s="99"/>
      <c r="AG83" s="97"/>
    </row>
    <row r="84" spans="12:33" ht="17.25" hidden="1" x14ac:dyDescent="0.25">
      <c r="L84" s="97" t="s">
        <v>4</v>
      </c>
      <c r="M84" s="97"/>
      <c r="N84" s="97"/>
      <c r="O84" s="97"/>
      <c r="P84" s="97"/>
      <c r="Q84" s="97"/>
      <c r="R84" s="97"/>
      <c r="S84" s="97"/>
      <c r="T84" s="101"/>
      <c r="U84" s="101"/>
      <c r="V84" s="101"/>
      <c r="W84" s="97"/>
      <c r="X84" s="97"/>
      <c r="Y84" s="97"/>
      <c r="Z84" s="97"/>
      <c r="AA84" s="97"/>
      <c r="AB84" s="97"/>
      <c r="AC84" s="97"/>
      <c r="AD84" s="125"/>
      <c r="AE84" s="115"/>
      <c r="AF84" s="114"/>
      <c r="AG84" s="115"/>
    </row>
    <row r="85" spans="12:33" ht="17.25" hidden="1" x14ac:dyDescent="0.25">
      <c r="L85" s="97"/>
      <c r="M85" s="97"/>
      <c r="N85" s="97"/>
      <c r="O85" s="97"/>
      <c r="P85" s="97"/>
      <c r="Q85" s="97"/>
      <c r="R85" s="97"/>
      <c r="S85" s="97"/>
      <c r="T85" s="97"/>
      <c r="U85" s="97"/>
      <c r="V85" s="97"/>
      <c r="W85" s="97"/>
      <c r="X85" s="97"/>
      <c r="Y85" s="97"/>
      <c r="Z85" s="97"/>
      <c r="AA85" s="97"/>
      <c r="AB85" s="97"/>
      <c r="AC85" s="97"/>
      <c r="AD85" s="125"/>
      <c r="AE85" s="115"/>
      <c r="AF85" s="114"/>
      <c r="AG85" s="115"/>
    </row>
    <row r="86" spans="12:33" ht="17.25" hidden="1" x14ac:dyDescent="0.25">
      <c r="L86" s="107" t="s">
        <v>64</v>
      </c>
      <c r="M86" s="97"/>
      <c r="N86" s="97"/>
      <c r="O86" s="97"/>
      <c r="P86" s="97"/>
      <c r="Q86" s="97"/>
      <c r="R86" s="97"/>
      <c r="S86" s="97"/>
      <c r="T86" s="97"/>
      <c r="U86" s="97"/>
      <c r="V86" s="97"/>
      <c r="W86" s="97"/>
      <c r="X86" s="97"/>
      <c r="Y86" s="97"/>
      <c r="Z86" s="97"/>
      <c r="AA86" s="97"/>
      <c r="AB86" s="97"/>
      <c r="AC86" s="97"/>
      <c r="AD86" s="125"/>
      <c r="AE86" s="115"/>
      <c r="AF86" s="114"/>
      <c r="AG86" s="115"/>
    </row>
    <row r="87" spans="12:33" ht="17.25" hidden="1" x14ac:dyDescent="0.25">
      <c r="L87" s="97" t="str">
        <f>IF(C12="corn","Normal","30 inch row")</f>
        <v>30 inch row</v>
      </c>
      <c r="M87" s="97"/>
      <c r="N87" s="97"/>
      <c r="O87" s="97"/>
      <c r="P87" s="97"/>
      <c r="Q87" s="97"/>
      <c r="R87" s="97"/>
      <c r="S87" s="97"/>
      <c r="T87" s="97"/>
      <c r="U87" s="97"/>
      <c r="V87" s="97"/>
      <c r="W87" s="97"/>
      <c r="X87" s="97"/>
      <c r="Y87" s="97"/>
      <c r="Z87" s="97"/>
      <c r="AA87" s="97"/>
      <c r="AB87" s="97"/>
      <c r="AC87" s="97"/>
      <c r="AD87" s="125"/>
      <c r="AE87" s="115"/>
      <c r="AF87" s="114"/>
      <c r="AG87" s="115"/>
    </row>
    <row r="88" spans="12:33" ht="17.25" hidden="1" x14ac:dyDescent="0.25">
      <c r="L88" s="97" t="str">
        <f>IF(C12="corn","High","7 inch row")</f>
        <v>7 inch row</v>
      </c>
      <c r="M88" s="97"/>
      <c r="N88" s="97"/>
      <c r="O88" s="97"/>
      <c r="P88" s="126"/>
      <c r="Q88" s="97"/>
      <c r="R88" s="97"/>
      <c r="S88" s="97"/>
      <c r="T88" s="97"/>
      <c r="U88" s="97"/>
      <c r="V88" s="97"/>
      <c r="W88" s="97"/>
      <c r="X88" s="97"/>
      <c r="Y88" s="97"/>
      <c r="Z88" s="97"/>
      <c r="AA88" s="97"/>
      <c r="AB88" s="97"/>
      <c r="AC88" s="97"/>
      <c r="AD88" s="125"/>
      <c r="AE88" s="115"/>
      <c r="AF88" s="114"/>
      <c r="AG88" s="115"/>
    </row>
    <row r="89" spans="12:33" ht="17.25" hidden="1" x14ac:dyDescent="0.25">
      <c r="L89" s="97"/>
      <c r="M89" s="97"/>
      <c r="N89" s="97"/>
      <c r="O89" s="97"/>
      <c r="P89" s="102"/>
      <c r="Q89" s="97"/>
      <c r="R89" s="97"/>
      <c r="S89" s="97"/>
      <c r="T89" s="97"/>
      <c r="U89" s="97"/>
      <c r="V89" s="97"/>
      <c r="W89" s="97"/>
      <c r="X89" s="97"/>
      <c r="Y89" s="97"/>
      <c r="Z89" s="97"/>
      <c r="AA89" s="97"/>
      <c r="AB89" s="97"/>
      <c r="AC89" s="97"/>
      <c r="AD89" s="125"/>
      <c r="AE89" s="115"/>
      <c r="AF89" s="99"/>
      <c r="AG89" s="115"/>
    </row>
    <row r="90" spans="12:33" ht="17.25" hidden="1" x14ac:dyDescent="0.25">
      <c r="L90" s="97"/>
      <c r="M90" s="97"/>
      <c r="N90" s="97"/>
      <c r="O90" s="97"/>
      <c r="P90" s="97"/>
      <c r="Q90" s="97"/>
      <c r="R90" s="97"/>
      <c r="S90" s="97"/>
      <c r="T90" s="97"/>
      <c r="U90" s="97"/>
      <c r="V90" s="97"/>
      <c r="W90" s="97"/>
      <c r="X90" s="97"/>
      <c r="Y90" s="97"/>
      <c r="Z90" s="97"/>
      <c r="AA90" s="97"/>
      <c r="AB90" s="97"/>
      <c r="AC90" s="97"/>
      <c r="AD90" s="97"/>
      <c r="AE90" s="127"/>
      <c r="AF90" s="115"/>
      <c r="AG90" s="115"/>
    </row>
    <row r="91" spans="12:33" ht="17.25" hidden="1" x14ac:dyDescent="0.25">
      <c r="L91" s="97"/>
      <c r="M91" s="97"/>
      <c r="N91" s="97"/>
      <c r="O91" s="97"/>
      <c r="P91" s="97"/>
      <c r="Q91" s="97"/>
      <c r="R91" s="97"/>
      <c r="S91" s="97"/>
      <c r="T91" s="97"/>
      <c r="U91" s="97"/>
      <c r="V91" s="97"/>
      <c r="W91" s="97"/>
      <c r="X91" s="97"/>
      <c r="Y91" s="97"/>
      <c r="Z91" s="97"/>
      <c r="AA91" s="97"/>
      <c r="AB91" s="97"/>
      <c r="AC91" s="97"/>
      <c r="AD91" s="97"/>
      <c r="AE91" s="127"/>
      <c r="AF91" s="115"/>
      <c r="AG91" s="115"/>
    </row>
    <row r="92" spans="12:33" ht="17.25" hidden="1" x14ac:dyDescent="0.25">
      <c r="L92" s="97"/>
      <c r="M92" s="97"/>
      <c r="N92" s="97"/>
      <c r="O92" s="97"/>
      <c r="P92" s="97"/>
      <c r="Q92" s="97"/>
      <c r="R92" s="97"/>
      <c r="S92" s="97"/>
      <c r="T92" s="97"/>
      <c r="U92" s="97"/>
      <c r="V92" s="97"/>
      <c r="W92" s="97"/>
      <c r="X92" s="97"/>
      <c r="Y92" s="97"/>
      <c r="Z92" s="97"/>
      <c r="AA92" s="97"/>
      <c r="AB92" s="97"/>
      <c r="AC92" s="97"/>
      <c r="AD92" s="97"/>
      <c r="AE92" s="127"/>
      <c r="AF92" s="115"/>
      <c r="AG92" s="115"/>
    </row>
    <row r="93" spans="12:33" ht="17.25" hidden="1" x14ac:dyDescent="0.25">
      <c r="L93" s="97"/>
      <c r="M93" s="97"/>
      <c r="N93" s="128"/>
      <c r="O93" s="126"/>
      <c r="P93" s="97"/>
      <c r="Q93" s="97"/>
      <c r="R93" s="97"/>
      <c r="S93" s="97"/>
      <c r="T93" s="97"/>
      <c r="U93" s="97"/>
      <c r="V93" s="97"/>
      <c r="W93" s="115"/>
      <c r="X93" s="97"/>
      <c r="Y93" s="97"/>
      <c r="Z93" s="97"/>
      <c r="AA93" s="97"/>
      <c r="AB93" s="115"/>
      <c r="AC93" s="115"/>
      <c r="AD93" s="97"/>
      <c r="AE93" s="127"/>
      <c r="AF93" s="115"/>
      <c r="AG93" s="115"/>
    </row>
    <row r="94" spans="12:33" ht="17.25" hidden="1" x14ac:dyDescent="0.25">
      <c r="L94" s="102"/>
      <c r="M94" s="102"/>
      <c r="N94" s="102"/>
      <c r="O94" s="102"/>
      <c r="P94" s="97"/>
      <c r="Q94" s="97"/>
      <c r="R94" s="97"/>
      <c r="S94" s="97"/>
      <c r="T94" s="97"/>
      <c r="U94" s="97"/>
      <c r="V94" s="97"/>
      <c r="W94" s="102"/>
      <c r="X94" s="97"/>
      <c r="Y94" s="97"/>
      <c r="Z94" s="97"/>
      <c r="AA94" s="97"/>
      <c r="AB94" s="102"/>
      <c r="AC94" s="102"/>
      <c r="AD94" s="102"/>
      <c r="AE94" s="102"/>
      <c r="AF94" s="115"/>
      <c r="AG94" s="115"/>
    </row>
    <row r="95" spans="12:33" ht="17.25" hidden="1" x14ac:dyDescent="0.25">
      <c r="L95" s="97"/>
      <c r="M95" s="97"/>
      <c r="N95" s="97"/>
      <c r="O95" s="97"/>
      <c r="P95" s="97"/>
      <c r="Q95" s="97"/>
      <c r="R95" s="97"/>
      <c r="S95" s="97"/>
      <c r="T95" s="97"/>
      <c r="U95" s="97"/>
      <c r="V95" s="97"/>
      <c r="W95" s="129"/>
      <c r="X95" s="115"/>
      <c r="Y95" s="115"/>
      <c r="Z95" s="97"/>
      <c r="AA95" s="97"/>
      <c r="AB95" s="97"/>
      <c r="AC95" s="97"/>
      <c r="AD95" s="97"/>
      <c r="AE95" s="97"/>
      <c r="AF95" s="97"/>
      <c r="AG95" s="97"/>
    </row>
    <row r="96" spans="12:33" hidden="1" x14ac:dyDescent="0.25">
      <c r="L96" s="97"/>
      <c r="M96" s="97"/>
      <c r="N96" s="97"/>
      <c r="O96" s="97"/>
      <c r="P96" s="97"/>
      <c r="Q96" s="97"/>
      <c r="R96" s="97"/>
      <c r="S96" s="97"/>
      <c r="T96" s="97"/>
      <c r="U96" s="97"/>
      <c r="V96" s="97"/>
      <c r="W96" s="97"/>
      <c r="X96" s="102"/>
      <c r="Y96" s="102"/>
      <c r="Z96" s="102"/>
      <c r="AA96" s="102"/>
      <c r="AB96" s="97"/>
      <c r="AC96" s="97"/>
      <c r="AD96" s="97"/>
      <c r="AE96" s="97"/>
      <c r="AF96" s="97"/>
      <c r="AG96" s="97"/>
    </row>
    <row r="97" spans="12:33" hidden="1" x14ac:dyDescent="0.25">
      <c r="L97" s="97"/>
      <c r="M97" s="97"/>
      <c r="N97" s="97"/>
      <c r="O97" s="97"/>
      <c r="P97" s="97"/>
      <c r="Q97" s="97"/>
      <c r="R97" s="97"/>
      <c r="S97" s="97"/>
      <c r="T97" s="97"/>
      <c r="U97" s="97"/>
      <c r="V97" s="97"/>
      <c r="W97" s="97"/>
      <c r="X97" s="97"/>
      <c r="Y97" s="97"/>
      <c r="Z97" s="97"/>
      <c r="AA97" s="97"/>
      <c r="AB97" s="97"/>
      <c r="AC97" s="97"/>
      <c r="AD97" s="97"/>
      <c r="AE97" s="97"/>
      <c r="AF97" s="97"/>
      <c r="AG97" s="97"/>
    </row>
    <row r="98" spans="12:33" hidden="1" x14ac:dyDescent="0.25">
      <c r="L98" s="97"/>
      <c r="M98" s="97"/>
      <c r="N98" s="97"/>
      <c r="O98" s="97"/>
      <c r="P98" s="97"/>
      <c r="Q98" s="97"/>
      <c r="R98" s="97"/>
      <c r="S98" s="97"/>
      <c r="T98" s="97"/>
      <c r="U98" s="97"/>
      <c r="V98" s="97"/>
      <c r="W98" s="97"/>
      <c r="X98" s="97"/>
      <c r="Y98" s="97"/>
      <c r="Z98" s="97"/>
      <c r="AA98" s="97"/>
      <c r="AB98" s="97"/>
      <c r="AC98" s="97"/>
      <c r="AD98" s="97"/>
      <c r="AE98" s="97"/>
      <c r="AF98" s="97"/>
      <c r="AG98" s="97"/>
    </row>
    <row r="99" spans="12:33" hidden="1" x14ac:dyDescent="0.25">
      <c r="L99" s="97"/>
      <c r="M99" s="97"/>
      <c r="N99" s="97"/>
      <c r="O99" s="97"/>
      <c r="P99" s="97"/>
      <c r="Q99" s="97"/>
      <c r="R99" s="97"/>
      <c r="S99" s="97"/>
      <c r="T99" s="97"/>
      <c r="U99" s="97"/>
      <c r="V99" s="97"/>
      <c r="W99" s="97"/>
      <c r="X99" s="97"/>
      <c r="Y99" s="97"/>
      <c r="Z99" s="97"/>
      <c r="AA99" s="97"/>
      <c r="AB99" s="97"/>
      <c r="AC99" s="97"/>
      <c r="AD99" s="97"/>
      <c r="AE99" s="97"/>
      <c r="AF99" s="97"/>
      <c r="AG99" s="97"/>
    </row>
    <row r="100" spans="12:33" hidden="1" x14ac:dyDescent="0.25">
      <c r="L100" s="97"/>
      <c r="M100" s="97"/>
      <c r="N100" s="97"/>
      <c r="O100" s="97"/>
      <c r="P100" s="97"/>
      <c r="Q100" s="97"/>
      <c r="R100" s="97"/>
      <c r="S100" s="97"/>
      <c r="T100" s="97"/>
      <c r="U100" s="97"/>
      <c r="V100" s="97"/>
      <c r="W100" s="97"/>
      <c r="X100" s="97"/>
      <c r="Y100" s="97"/>
      <c r="Z100" s="97"/>
      <c r="AA100" s="97"/>
      <c r="AB100" s="97"/>
      <c r="AC100" s="97"/>
      <c r="AD100" s="97"/>
      <c r="AE100" s="97"/>
      <c r="AF100" s="97"/>
      <c r="AG100" s="97"/>
    </row>
    <row r="101" spans="12:33" hidden="1" x14ac:dyDescent="0.25">
      <c r="L101" s="97"/>
      <c r="M101" s="97"/>
      <c r="N101" s="97"/>
      <c r="O101" s="97"/>
      <c r="P101" s="97"/>
      <c r="Q101" s="97"/>
      <c r="R101" s="97"/>
      <c r="S101" s="97"/>
      <c r="T101" s="97"/>
      <c r="U101" s="97"/>
      <c r="V101" s="97"/>
      <c r="W101" s="97"/>
      <c r="X101" s="97"/>
      <c r="Y101" s="97"/>
      <c r="Z101" s="97"/>
      <c r="AA101" s="97"/>
      <c r="AB101" s="97"/>
      <c r="AC101" s="97"/>
      <c r="AD101" s="97"/>
      <c r="AE101" s="97"/>
      <c r="AF101" s="97"/>
      <c r="AG101" s="97"/>
    </row>
    <row r="102" spans="12:33" ht="17.25" hidden="1" x14ac:dyDescent="0.25">
      <c r="L102" s="97"/>
      <c r="M102" s="97"/>
      <c r="N102" s="97"/>
      <c r="O102" s="97"/>
      <c r="P102" s="97"/>
      <c r="Q102" s="97"/>
      <c r="R102" s="97"/>
      <c r="S102" s="97"/>
      <c r="T102" s="97"/>
      <c r="U102" s="97"/>
      <c r="V102" s="97"/>
      <c r="W102" s="97"/>
      <c r="X102" s="97"/>
      <c r="Y102" s="97"/>
      <c r="Z102" s="97"/>
      <c r="AA102" s="97"/>
      <c r="AB102" s="97"/>
      <c r="AC102" s="216"/>
      <c r="AD102" s="216"/>
      <c r="AE102" s="216"/>
      <c r="AF102" s="216"/>
      <c r="AG102" s="97"/>
    </row>
    <row r="103" spans="12:33" ht="17.25" hidden="1" x14ac:dyDescent="0.25">
      <c r="L103" s="97"/>
      <c r="M103" s="97"/>
      <c r="N103" s="97"/>
      <c r="O103" s="97"/>
      <c r="P103" s="97"/>
      <c r="Q103" s="97"/>
      <c r="R103" s="97"/>
      <c r="S103" s="97"/>
      <c r="T103" s="97"/>
      <c r="U103" s="97"/>
      <c r="V103" s="97"/>
      <c r="W103" s="97"/>
      <c r="X103" s="97"/>
      <c r="Y103" s="97"/>
      <c r="Z103" s="97"/>
      <c r="AA103" s="97"/>
      <c r="AB103" s="97"/>
      <c r="AC103" s="130"/>
      <c r="AD103" s="130"/>
      <c r="AE103" s="130"/>
      <c r="AF103" s="130"/>
      <c r="AG103" s="97"/>
    </row>
    <row r="104" spans="12:33" ht="17.25" hidden="1" x14ac:dyDescent="0.25">
      <c r="L104" s="97"/>
      <c r="M104" s="97"/>
      <c r="N104" s="97"/>
      <c r="O104" s="131"/>
      <c r="P104" s="97"/>
      <c r="Q104" s="97"/>
      <c r="R104" s="97"/>
      <c r="S104" s="97"/>
      <c r="T104" s="97"/>
      <c r="U104" s="97"/>
      <c r="V104" s="97"/>
      <c r="W104" s="101"/>
      <c r="X104" s="97"/>
      <c r="Y104" s="97"/>
      <c r="Z104" s="97"/>
      <c r="AA104" s="97"/>
      <c r="AB104" s="97"/>
      <c r="AC104" s="125"/>
      <c r="AD104" s="115"/>
      <c r="AE104" s="125"/>
      <c r="AF104" s="115"/>
      <c r="AG104" s="97"/>
    </row>
    <row r="105" spans="12:33" ht="17.25" hidden="1" x14ac:dyDescent="0.25">
      <c r="L105" s="97"/>
      <c r="M105" s="97"/>
      <c r="N105" s="97"/>
      <c r="O105" s="131"/>
      <c r="P105" s="97"/>
      <c r="Q105" s="97"/>
      <c r="R105" s="97"/>
      <c r="S105" s="97"/>
      <c r="T105" s="97"/>
      <c r="U105" s="97"/>
      <c r="V105" s="97"/>
      <c r="W105" s="101"/>
      <c r="X105" s="97"/>
      <c r="Y105" s="97"/>
      <c r="Z105" s="97"/>
      <c r="AA105" s="97"/>
      <c r="AB105" s="97"/>
      <c r="AC105" s="125"/>
      <c r="AD105" s="115"/>
      <c r="AE105" s="125"/>
      <c r="AF105" s="115"/>
      <c r="AG105" s="97"/>
    </row>
    <row r="106" spans="12:33" ht="17.25" hidden="1" x14ac:dyDescent="0.25">
      <c r="L106" s="97"/>
      <c r="M106" s="97"/>
      <c r="N106" s="97"/>
      <c r="O106" s="131"/>
      <c r="P106" s="97"/>
      <c r="Q106" s="97"/>
      <c r="R106" s="97"/>
      <c r="S106" s="97"/>
      <c r="T106" s="97"/>
      <c r="U106" s="97"/>
      <c r="V106" s="97"/>
      <c r="W106" s="101"/>
      <c r="X106" s="97"/>
      <c r="Y106" s="97"/>
      <c r="Z106" s="97"/>
      <c r="AA106" s="97"/>
      <c r="AB106" s="97"/>
      <c r="AC106" s="125"/>
      <c r="AD106" s="115"/>
      <c r="AE106" s="125"/>
      <c r="AF106" s="115"/>
      <c r="AG106" s="97"/>
    </row>
    <row r="107" spans="12:33" ht="17.25" hidden="1" x14ac:dyDescent="0.25">
      <c r="L107" s="97"/>
      <c r="M107" s="97"/>
      <c r="N107" s="97"/>
      <c r="O107" s="131"/>
      <c r="P107" s="97"/>
      <c r="Q107" s="97"/>
      <c r="R107" s="97"/>
      <c r="S107" s="97"/>
      <c r="T107" s="97"/>
      <c r="U107" s="97"/>
      <c r="V107" s="97"/>
      <c r="W107" s="101"/>
      <c r="X107" s="97"/>
      <c r="Y107" s="97"/>
      <c r="Z107" s="97"/>
      <c r="AA107" s="97"/>
      <c r="AB107" s="97"/>
      <c r="AC107" s="125"/>
      <c r="AD107" s="115"/>
      <c r="AE107" s="125"/>
      <c r="AF107" s="115"/>
      <c r="AG107" s="97"/>
    </row>
    <row r="108" spans="12:33" ht="17.25" hidden="1" x14ac:dyDescent="0.25">
      <c r="L108" s="97"/>
      <c r="M108" s="97"/>
      <c r="N108" s="97"/>
      <c r="O108" s="131"/>
      <c r="P108" s="97"/>
      <c r="Q108" s="97"/>
      <c r="R108" s="97"/>
      <c r="S108" s="97"/>
      <c r="T108" s="97"/>
      <c r="U108" s="97"/>
      <c r="V108" s="97"/>
      <c r="W108" s="101"/>
      <c r="X108" s="97"/>
      <c r="Y108" s="97"/>
      <c r="Z108" s="97"/>
      <c r="AA108" s="97"/>
      <c r="AB108" s="97"/>
      <c r="AC108" s="125"/>
      <c r="AD108" s="115"/>
      <c r="AE108" s="125"/>
      <c r="AF108" s="115"/>
      <c r="AG108" s="97"/>
    </row>
    <row r="109" spans="12:33" ht="17.25" hidden="1" x14ac:dyDescent="0.25">
      <c r="L109" s="97"/>
      <c r="M109" s="97"/>
      <c r="N109" s="97"/>
      <c r="O109" s="131"/>
      <c r="P109" s="97"/>
      <c r="Q109" s="97"/>
      <c r="R109" s="97"/>
      <c r="S109" s="97"/>
      <c r="T109" s="97"/>
      <c r="U109" s="97"/>
      <c r="V109" s="97"/>
      <c r="W109" s="101"/>
      <c r="X109" s="97"/>
      <c r="Y109" s="97"/>
      <c r="Z109" s="97"/>
      <c r="AA109" s="97"/>
      <c r="AB109" s="97"/>
      <c r="AC109" s="125"/>
      <c r="AD109" s="115"/>
      <c r="AE109" s="125"/>
      <c r="AF109" s="115"/>
      <c r="AG109" s="97"/>
    </row>
    <row r="110" spans="12:33" ht="17.25" hidden="1" x14ac:dyDescent="0.25">
      <c r="L110" s="97"/>
      <c r="M110" s="97"/>
      <c r="N110" s="97"/>
      <c r="O110" s="131"/>
      <c r="P110" s="97"/>
      <c r="Q110" s="97"/>
      <c r="R110" s="97"/>
      <c r="S110" s="97"/>
      <c r="T110" s="97"/>
      <c r="U110" s="97"/>
      <c r="V110" s="97"/>
      <c r="W110" s="101"/>
      <c r="X110" s="97"/>
      <c r="Y110" s="97"/>
      <c r="Z110" s="97"/>
      <c r="AA110" s="97"/>
      <c r="AB110" s="97"/>
      <c r="AC110" s="125"/>
      <c r="AD110" s="115"/>
      <c r="AE110" s="125"/>
      <c r="AF110" s="115"/>
      <c r="AG110" s="97"/>
    </row>
    <row r="111" spans="12:33" ht="17.25" hidden="1" x14ac:dyDescent="0.25">
      <c r="L111" s="97"/>
      <c r="M111" s="97"/>
      <c r="N111" s="97"/>
      <c r="O111" s="131"/>
      <c r="P111" s="97"/>
      <c r="Q111" s="97"/>
      <c r="R111" s="97"/>
      <c r="S111" s="97"/>
      <c r="T111" s="97"/>
      <c r="U111" s="97"/>
      <c r="V111" s="97"/>
      <c r="W111" s="101"/>
      <c r="X111" s="97"/>
      <c r="Y111" s="97"/>
      <c r="Z111" s="97"/>
      <c r="AA111" s="97"/>
      <c r="AB111" s="97"/>
      <c r="AC111" s="125"/>
      <c r="AD111" s="115"/>
      <c r="AE111" s="125"/>
      <c r="AF111" s="115"/>
      <c r="AG111" s="97"/>
    </row>
    <row r="112" spans="12:33" ht="17.25" hidden="1" x14ac:dyDescent="0.25">
      <c r="L112" s="97"/>
      <c r="M112" s="97"/>
      <c r="N112" s="97"/>
      <c r="O112" s="131"/>
      <c r="P112" s="97"/>
      <c r="Q112" s="97"/>
      <c r="R112" s="97"/>
      <c r="S112" s="97"/>
      <c r="T112" s="97"/>
      <c r="U112" s="97"/>
      <c r="V112" s="97"/>
      <c r="W112" s="101"/>
      <c r="X112" s="97"/>
      <c r="Y112" s="97"/>
      <c r="Z112" s="97"/>
      <c r="AA112" s="97"/>
      <c r="AB112" s="97"/>
      <c r="AC112" s="125"/>
      <c r="AD112" s="115"/>
      <c r="AE112" s="125"/>
      <c r="AF112" s="115"/>
      <c r="AG112" s="97"/>
    </row>
    <row r="113" spans="12:33" ht="17.25" hidden="1" x14ac:dyDescent="0.25">
      <c r="L113" s="97"/>
      <c r="M113" s="97"/>
      <c r="N113" s="97"/>
      <c r="O113" s="131"/>
      <c r="P113" s="97"/>
      <c r="Q113" s="97"/>
      <c r="R113" s="97"/>
      <c r="S113" s="97"/>
      <c r="T113" s="97"/>
      <c r="U113" s="97"/>
      <c r="V113" s="97"/>
      <c r="W113" s="101"/>
      <c r="X113" s="97"/>
      <c r="Y113" s="97"/>
      <c r="Z113" s="97"/>
      <c r="AA113" s="97"/>
      <c r="AB113" s="97"/>
      <c r="AC113" s="125"/>
      <c r="AD113" s="115"/>
      <c r="AE113" s="125"/>
      <c r="AF113" s="115"/>
      <c r="AG113" s="97"/>
    </row>
    <row r="114" spans="12:33" hidden="1" x14ac:dyDescent="0.25">
      <c r="L114" s="97"/>
      <c r="M114" s="97"/>
      <c r="N114" s="97"/>
      <c r="O114" s="97"/>
      <c r="P114" s="97"/>
      <c r="Q114" s="97"/>
      <c r="R114" s="97"/>
      <c r="S114" s="97"/>
      <c r="T114" s="97"/>
      <c r="U114" s="97"/>
      <c r="V114" s="97"/>
      <c r="W114" s="101"/>
      <c r="X114" s="97"/>
      <c r="Y114" s="97"/>
      <c r="Z114" s="97"/>
      <c r="AA114" s="97"/>
      <c r="AB114" s="97"/>
      <c r="AC114" s="97"/>
      <c r="AD114" s="97"/>
      <c r="AE114" s="97"/>
      <c r="AF114" s="97"/>
      <c r="AG114" s="97"/>
    </row>
    <row r="115" spans="12:33" hidden="1" x14ac:dyDescent="0.25">
      <c r="L115" s="97"/>
      <c r="M115" s="97"/>
      <c r="N115" s="97"/>
      <c r="O115" s="97"/>
      <c r="P115" s="97"/>
      <c r="Q115" s="97"/>
      <c r="R115" s="97"/>
      <c r="S115" s="97"/>
      <c r="T115" s="97"/>
      <c r="U115" s="97"/>
      <c r="V115" s="97"/>
      <c r="W115" s="101"/>
      <c r="X115" s="97"/>
      <c r="Y115" s="97"/>
      <c r="Z115" s="97"/>
      <c r="AA115" s="97"/>
      <c r="AB115" s="97"/>
      <c r="AC115" s="97"/>
      <c r="AD115" s="97"/>
      <c r="AE115" s="97"/>
      <c r="AF115" s="97"/>
      <c r="AG115" s="97"/>
    </row>
    <row r="116" spans="12:33" hidden="1" x14ac:dyDescent="0.25">
      <c r="L116" s="97"/>
      <c r="M116" s="97"/>
      <c r="N116" s="97"/>
      <c r="O116" s="97"/>
      <c r="P116" s="97"/>
      <c r="Q116" s="97"/>
      <c r="R116" s="97"/>
      <c r="S116" s="97"/>
      <c r="T116" s="97"/>
      <c r="U116" s="97"/>
      <c r="V116" s="97"/>
      <c r="W116" s="101"/>
      <c r="X116" s="97"/>
      <c r="Y116" s="97"/>
      <c r="Z116" s="97"/>
      <c r="AA116" s="97"/>
      <c r="AB116" s="97"/>
      <c r="AC116" s="97"/>
      <c r="AD116" s="97"/>
      <c r="AE116" s="97"/>
      <c r="AF116" s="97"/>
      <c r="AG116" s="97"/>
    </row>
    <row r="117" spans="12:33" hidden="1" x14ac:dyDescent="0.25">
      <c r="L117" s="97"/>
      <c r="M117" s="97"/>
      <c r="N117" s="97"/>
      <c r="O117" s="97"/>
      <c r="P117" s="97"/>
      <c r="Q117" s="97"/>
      <c r="R117" s="97"/>
      <c r="S117" s="97"/>
      <c r="T117" s="97"/>
      <c r="U117" s="97"/>
      <c r="V117" s="97"/>
      <c r="W117" s="101"/>
      <c r="X117" s="97"/>
      <c r="Y117" s="97"/>
      <c r="Z117" s="97"/>
      <c r="AA117" s="97"/>
      <c r="AB117" s="97"/>
      <c r="AC117" s="97"/>
      <c r="AD117" s="97"/>
      <c r="AE117" s="97"/>
      <c r="AF117" s="97"/>
      <c r="AG117" s="97"/>
    </row>
    <row r="118" spans="12:33" hidden="1" x14ac:dyDescent="0.25">
      <c r="L118" s="97"/>
      <c r="M118" s="97"/>
      <c r="N118" s="97"/>
      <c r="O118" s="97"/>
      <c r="P118" s="97"/>
      <c r="Q118" s="97"/>
      <c r="R118" s="97"/>
      <c r="S118" s="97"/>
      <c r="T118" s="97"/>
      <c r="U118" s="97"/>
      <c r="V118" s="97"/>
      <c r="W118" s="101"/>
      <c r="X118" s="97"/>
      <c r="Y118" s="97"/>
      <c r="Z118" s="97"/>
      <c r="AA118" s="97"/>
      <c r="AB118" s="97"/>
      <c r="AC118" s="97"/>
      <c r="AD118" s="97"/>
      <c r="AE118" s="97"/>
      <c r="AF118" s="97"/>
      <c r="AG118" s="97"/>
    </row>
    <row r="119" spans="12:33" hidden="1" x14ac:dyDescent="0.25">
      <c r="L119" s="97"/>
      <c r="M119" s="97"/>
      <c r="N119" s="97"/>
      <c r="O119" s="97"/>
      <c r="P119" s="97"/>
      <c r="Q119" s="97"/>
      <c r="R119" s="97"/>
      <c r="S119" s="97"/>
      <c r="T119" s="97"/>
      <c r="U119" s="97"/>
      <c r="V119" s="97"/>
      <c r="W119" s="101"/>
      <c r="X119" s="97"/>
      <c r="Y119" s="97"/>
      <c r="Z119" s="97"/>
      <c r="AA119" s="97"/>
      <c r="AB119" s="97"/>
      <c r="AC119" s="97"/>
      <c r="AD119" s="97"/>
      <c r="AE119" s="97"/>
      <c r="AF119" s="97"/>
      <c r="AG119" s="97"/>
    </row>
    <row r="120" spans="12:33" hidden="1" x14ac:dyDescent="0.25">
      <c r="L120" s="97"/>
      <c r="M120" s="97"/>
      <c r="N120" s="97"/>
      <c r="O120" s="97"/>
      <c r="P120" s="97"/>
      <c r="Q120" s="97"/>
      <c r="R120" s="97"/>
      <c r="S120" s="97"/>
      <c r="T120" s="97"/>
      <c r="U120" s="97"/>
      <c r="V120" s="97"/>
      <c r="W120" s="101"/>
      <c r="X120" s="97"/>
      <c r="Y120" s="97"/>
      <c r="Z120" s="97"/>
      <c r="AA120" s="97"/>
      <c r="AB120" s="97"/>
      <c r="AC120" s="131"/>
      <c r="AD120" s="97"/>
      <c r="AE120" s="97"/>
      <c r="AF120" s="97"/>
      <c r="AG120" s="97"/>
    </row>
    <row r="121" spans="12:33" hidden="1" x14ac:dyDescent="0.25">
      <c r="L121" s="97"/>
      <c r="M121" s="97"/>
      <c r="N121" s="97"/>
      <c r="O121" s="97"/>
      <c r="P121" s="97"/>
      <c r="Q121" s="97"/>
      <c r="R121" s="97"/>
      <c r="S121" s="97"/>
      <c r="T121" s="97"/>
      <c r="U121" s="97"/>
      <c r="V121" s="97"/>
      <c r="W121" s="101"/>
      <c r="X121" s="97"/>
      <c r="Y121" s="97"/>
      <c r="Z121" s="97"/>
      <c r="AA121" s="97"/>
      <c r="AB121" s="97"/>
      <c r="AC121" s="101"/>
      <c r="AD121" s="97"/>
      <c r="AE121" s="97"/>
      <c r="AF121" s="97"/>
      <c r="AG121" s="97"/>
    </row>
    <row r="122" spans="12:33" hidden="1" x14ac:dyDescent="0.25">
      <c r="L122" s="97"/>
      <c r="M122" s="97"/>
      <c r="N122" s="97"/>
      <c r="O122" s="97"/>
      <c r="P122" s="97"/>
      <c r="Q122" s="97"/>
      <c r="R122" s="97"/>
      <c r="S122" s="97"/>
      <c r="T122" s="97"/>
      <c r="U122" s="97"/>
      <c r="V122" s="97"/>
      <c r="W122" s="101"/>
      <c r="X122" s="97"/>
      <c r="Y122" s="97"/>
      <c r="Z122" s="97"/>
      <c r="AA122" s="97"/>
      <c r="AB122" s="97"/>
      <c r="AC122" s="97"/>
      <c r="AD122" s="97"/>
      <c r="AE122" s="97"/>
      <c r="AF122" s="97"/>
      <c r="AG122" s="97"/>
    </row>
    <row r="123" spans="12:33" hidden="1" x14ac:dyDescent="0.25">
      <c r="L123" s="97"/>
      <c r="M123" s="97"/>
      <c r="N123" s="97"/>
      <c r="O123" s="97"/>
      <c r="P123" s="97"/>
      <c r="Q123" s="97"/>
      <c r="R123" s="97"/>
      <c r="S123" s="97"/>
      <c r="T123" s="97"/>
      <c r="U123" s="97"/>
      <c r="V123" s="97"/>
      <c r="W123" s="101"/>
      <c r="X123" s="97"/>
      <c r="Y123" s="97"/>
      <c r="Z123" s="97"/>
      <c r="AA123" s="97"/>
      <c r="AB123" s="97"/>
      <c r="AC123" s="97"/>
      <c r="AD123" s="97"/>
      <c r="AE123" s="97"/>
      <c r="AF123" s="97"/>
      <c r="AG123" s="97"/>
    </row>
    <row r="124" spans="12:33" hidden="1" x14ac:dyDescent="0.25">
      <c r="L124" s="97"/>
      <c r="M124" s="97"/>
      <c r="N124" s="97"/>
      <c r="O124" s="97"/>
      <c r="P124" s="97"/>
      <c r="Q124" s="97"/>
      <c r="R124" s="97"/>
      <c r="S124" s="97"/>
      <c r="T124" s="97"/>
      <c r="U124" s="97"/>
      <c r="V124" s="97"/>
      <c r="W124" s="101"/>
      <c r="X124" s="97"/>
      <c r="Y124" s="97"/>
      <c r="Z124" s="97"/>
      <c r="AA124" s="97"/>
      <c r="AB124" s="97"/>
      <c r="AC124" s="97"/>
      <c r="AD124" s="97"/>
      <c r="AE124" s="97"/>
      <c r="AF124" s="97"/>
      <c r="AG124" s="97"/>
    </row>
    <row r="125" spans="12:33" hidden="1" x14ac:dyDescent="0.25">
      <c r="L125" s="97"/>
      <c r="M125" s="97"/>
      <c r="N125" s="97"/>
      <c r="O125" s="97"/>
      <c r="P125" s="97"/>
      <c r="Q125" s="97"/>
      <c r="R125" s="97"/>
      <c r="S125" s="97"/>
      <c r="T125" s="97"/>
      <c r="U125" s="97"/>
      <c r="V125" s="97"/>
      <c r="W125" s="101"/>
      <c r="X125" s="97"/>
      <c r="Y125" s="97"/>
      <c r="Z125" s="97"/>
      <c r="AA125" s="97"/>
      <c r="AB125" s="97"/>
      <c r="AC125" s="97"/>
      <c r="AD125" s="97"/>
      <c r="AE125" s="97"/>
      <c r="AF125" s="97"/>
      <c r="AG125" s="97"/>
    </row>
    <row r="126" spans="12:33" hidden="1" x14ac:dyDescent="0.25">
      <c r="L126" s="97"/>
      <c r="M126" s="97"/>
      <c r="N126" s="97"/>
      <c r="O126" s="97"/>
      <c r="P126" s="97"/>
      <c r="Q126" s="97"/>
      <c r="R126" s="97"/>
      <c r="S126" s="97"/>
      <c r="T126" s="97"/>
      <c r="U126" s="97"/>
      <c r="V126" s="97"/>
      <c r="W126" s="101"/>
      <c r="X126" s="97"/>
      <c r="Y126" s="97"/>
      <c r="Z126" s="97"/>
      <c r="AA126" s="97"/>
      <c r="AB126" s="97"/>
      <c r="AC126" s="97"/>
      <c r="AD126" s="97"/>
      <c r="AE126" s="97"/>
      <c r="AF126" s="97"/>
      <c r="AG126" s="97"/>
    </row>
    <row r="127" spans="12:33" hidden="1" x14ac:dyDescent="0.25">
      <c r="L127" s="97"/>
      <c r="M127" s="97"/>
      <c r="N127" s="97"/>
      <c r="O127" s="97"/>
      <c r="P127" s="97"/>
      <c r="Q127" s="97"/>
      <c r="R127" s="97"/>
      <c r="S127" s="97"/>
      <c r="T127" s="97"/>
      <c r="U127" s="97"/>
      <c r="V127" s="97"/>
      <c r="W127" s="101"/>
      <c r="X127" s="97"/>
      <c r="Y127" s="97"/>
      <c r="Z127" s="97"/>
      <c r="AA127" s="97"/>
      <c r="AB127" s="97"/>
      <c r="AC127" s="97"/>
      <c r="AD127" s="97"/>
      <c r="AE127" s="97"/>
      <c r="AF127" s="97"/>
      <c r="AG127" s="97"/>
    </row>
    <row r="128" spans="12:33" hidden="1" x14ac:dyDescent="0.25">
      <c r="L128" s="97"/>
      <c r="M128" s="97"/>
      <c r="N128" s="97"/>
      <c r="O128" s="97"/>
      <c r="P128" s="97"/>
      <c r="Q128" s="97"/>
      <c r="R128" s="97"/>
      <c r="S128" s="97"/>
      <c r="T128" s="97"/>
      <c r="U128" s="97"/>
      <c r="V128" s="97"/>
      <c r="W128" s="101"/>
      <c r="X128" s="97"/>
      <c r="Y128" s="97"/>
      <c r="Z128" s="97"/>
      <c r="AA128" s="97"/>
      <c r="AB128" s="97"/>
      <c r="AC128" s="97"/>
      <c r="AD128" s="97"/>
      <c r="AE128" s="97"/>
      <c r="AF128" s="97"/>
      <c r="AG128" s="97"/>
    </row>
    <row r="129" spans="12:33" hidden="1" x14ac:dyDescent="0.25">
      <c r="L129" s="97"/>
      <c r="M129" s="97"/>
      <c r="N129" s="97"/>
      <c r="O129" s="97"/>
      <c r="P129" s="97"/>
      <c r="Q129" s="97"/>
      <c r="R129" s="97"/>
      <c r="S129" s="97"/>
      <c r="T129" s="97"/>
      <c r="U129" s="97"/>
      <c r="V129" s="97"/>
      <c r="W129" s="99"/>
      <c r="X129" s="97"/>
      <c r="Y129" s="97"/>
      <c r="Z129" s="97"/>
      <c r="AA129" s="97"/>
      <c r="AB129" s="97"/>
      <c r="AC129" s="97"/>
      <c r="AD129" s="97"/>
      <c r="AE129" s="97"/>
      <c r="AF129" s="97"/>
      <c r="AG129" s="97"/>
    </row>
    <row r="130" spans="12:33" hidden="1" x14ac:dyDescent="0.25">
      <c r="L130" s="97"/>
      <c r="M130" s="97"/>
      <c r="N130" s="97"/>
      <c r="O130" s="97"/>
      <c r="P130" s="97"/>
      <c r="Q130" s="97"/>
      <c r="R130" s="97"/>
      <c r="S130" s="97"/>
      <c r="T130" s="97"/>
      <c r="U130" s="97"/>
      <c r="V130" s="97"/>
      <c r="W130" s="99"/>
      <c r="X130" s="97"/>
      <c r="Y130" s="97"/>
      <c r="Z130" s="97"/>
      <c r="AA130" s="97"/>
      <c r="AB130" s="97"/>
      <c r="AC130" s="97"/>
      <c r="AD130" s="97"/>
      <c r="AE130" s="97"/>
      <c r="AF130" s="97"/>
      <c r="AG130" s="97"/>
    </row>
    <row r="131" spans="12:33" hidden="1" x14ac:dyDescent="0.25">
      <c r="L131" s="97"/>
      <c r="M131" s="97"/>
      <c r="N131" s="97"/>
      <c r="O131" s="97"/>
      <c r="P131" s="97"/>
      <c r="Q131" s="97"/>
      <c r="R131" s="97"/>
      <c r="S131" s="97"/>
      <c r="T131" s="97"/>
      <c r="U131" s="97"/>
      <c r="V131" s="97"/>
      <c r="W131" s="99"/>
      <c r="X131" s="97"/>
      <c r="Y131" s="97"/>
      <c r="Z131" s="97"/>
      <c r="AA131" s="97"/>
      <c r="AB131" s="97"/>
      <c r="AC131" s="97"/>
      <c r="AD131" s="97"/>
      <c r="AE131" s="97"/>
      <c r="AF131" s="97"/>
      <c r="AG131" s="97"/>
    </row>
    <row r="132" spans="12:33" hidden="1" x14ac:dyDescent="0.25">
      <c r="L132" s="97"/>
      <c r="M132" s="97"/>
      <c r="N132" s="97"/>
      <c r="O132" s="97"/>
      <c r="P132" s="97"/>
      <c r="Q132" s="97"/>
      <c r="R132" s="97"/>
      <c r="S132" s="97"/>
      <c r="T132" s="97"/>
      <c r="U132" s="97"/>
      <c r="V132" s="97"/>
      <c r="W132" s="99"/>
      <c r="X132" s="97"/>
      <c r="Y132" s="97"/>
      <c r="Z132" s="97"/>
      <c r="AA132" s="97"/>
      <c r="AB132" s="97"/>
      <c r="AC132" s="97"/>
      <c r="AD132" s="97"/>
      <c r="AE132" s="97"/>
      <c r="AF132" s="97"/>
      <c r="AG132" s="97"/>
    </row>
    <row r="133" spans="12:33" hidden="1" x14ac:dyDescent="0.25">
      <c r="L133" s="97"/>
      <c r="M133" s="97"/>
      <c r="N133" s="97"/>
      <c r="O133" s="97"/>
      <c r="P133" s="97"/>
      <c r="Q133" s="97"/>
      <c r="R133" s="97"/>
      <c r="S133" s="97"/>
      <c r="T133" s="97"/>
      <c r="U133" s="97"/>
      <c r="V133" s="97"/>
      <c r="W133" s="99"/>
      <c r="X133" s="97"/>
      <c r="Y133" s="97"/>
      <c r="Z133" s="97"/>
      <c r="AA133" s="97"/>
      <c r="AB133" s="97"/>
      <c r="AC133" s="97"/>
      <c r="AD133" s="97"/>
      <c r="AE133" s="97"/>
      <c r="AF133" s="97"/>
      <c r="AG133" s="97"/>
    </row>
    <row r="134" spans="12:33" hidden="1" x14ac:dyDescent="0.25">
      <c r="L134" s="97"/>
      <c r="M134" s="97"/>
      <c r="N134" s="97"/>
      <c r="O134" s="97"/>
      <c r="P134" s="97"/>
      <c r="Q134" s="97"/>
      <c r="R134" s="97"/>
      <c r="S134" s="97"/>
      <c r="T134" s="97"/>
      <c r="U134" s="97"/>
      <c r="V134" s="97"/>
      <c r="W134" s="99"/>
      <c r="X134" s="97"/>
      <c r="Y134" s="97"/>
      <c r="Z134" s="97"/>
      <c r="AA134" s="97"/>
      <c r="AB134" s="97"/>
      <c r="AC134" s="97"/>
      <c r="AD134" s="97"/>
      <c r="AE134" s="97"/>
      <c r="AF134" s="97"/>
      <c r="AG134" s="97"/>
    </row>
    <row r="135" spans="12:33" hidden="1" x14ac:dyDescent="0.25">
      <c r="L135" s="97"/>
      <c r="M135" s="97"/>
      <c r="N135" s="97"/>
      <c r="O135" s="97"/>
      <c r="P135" s="97"/>
      <c r="Q135" s="97"/>
      <c r="R135" s="97"/>
      <c r="S135" s="97"/>
      <c r="T135" s="97"/>
      <c r="U135" s="97"/>
      <c r="V135" s="97"/>
      <c r="W135" s="99"/>
      <c r="X135" s="97"/>
      <c r="Y135" s="97"/>
      <c r="Z135" s="97"/>
      <c r="AA135" s="97"/>
      <c r="AB135" s="97"/>
      <c r="AC135" s="97"/>
      <c r="AD135" s="97"/>
      <c r="AE135" s="97"/>
      <c r="AF135" s="97"/>
      <c r="AG135" s="97"/>
    </row>
    <row r="136" spans="12:33" hidden="1" x14ac:dyDescent="0.25">
      <c r="L136" s="97"/>
      <c r="M136" s="97"/>
      <c r="N136" s="97"/>
      <c r="O136" s="97"/>
      <c r="P136" s="97"/>
      <c r="Q136" s="97"/>
      <c r="R136" s="97"/>
      <c r="S136" s="97"/>
      <c r="T136" s="97"/>
      <c r="U136" s="97"/>
      <c r="V136" s="97"/>
      <c r="W136" s="99"/>
      <c r="X136" s="97"/>
      <c r="Y136" s="97"/>
      <c r="Z136" s="97"/>
      <c r="AA136" s="97"/>
      <c r="AB136" s="97"/>
      <c r="AC136" s="97"/>
      <c r="AD136" s="97"/>
      <c r="AE136" s="97"/>
      <c r="AF136" s="97"/>
      <c r="AG136" s="97"/>
    </row>
    <row r="137" spans="12:33" hidden="1" x14ac:dyDescent="0.25">
      <c r="L137" s="97"/>
      <c r="M137" s="97"/>
      <c r="N137" s="97"/>
      <c r="O137" s="97"/>
      <c r="P137" s="97"/>
      <c r="Q137" s="97"/>
      <c r="R137" s="97"/>
      <c r="S137" s="97"/>
      <c r="T137" s="97"/>
      <c r="U137" s="97"/>
      <c r="V137" s="97"/>
      <c r="W137" s="99"/>
      <c r="X137" s="97"/>
      <c r="Y137" s="97"/>
      <c r="Z137" s="97"/>
      <c r="AA137" s="97"/>
      <c r="AB137" s="97"/>
      <c r="AC137" s="97"/>
      <c r="AD137" s="97"/>
      <c r="AE137" s="97"/>
      <c r="AF137" s="97"/>
      <c r="AG137" s="97"/>
    </row>
    <row r="138" spans="12:33" hidden="1" x14ac:dyDescent="0.25">
      <c r="L138" s="97"/>
      <c r="M138" s="97"/>
      <c r="N138" s="97"/>
      <c r="O138" s="97"/>
      <c r="P138" s="97"/>
      <c r="Q138" s="97"/>
      <c r="R138" s="97"/>
      <c r="S138" s="97"/>
      <c r="T138" s="97"/>
      <c r="U138" s="97"/>
      <c r="V138" s="97"/>
      <c r="W138" s="99"/>
      <c r="X138" s="97"/>
      <c r="Y138" s="97"/>
      <c r="Z138" s="97"/>
      <c r="AA138" s="97"/>
      <c r="AB138" s="97"/>
      <c r="AC138" s="97"/>
      <c r="AD138" s="97"/>
      <c r="AE138" s="97"/>
      <c r="AF138" s="97"/>
      <c r="AG138" s="97"/>
    </row>
    <row r="139" spans="12:33" hidden="1" x14ac:dyDescent="0.25">
      <c r="L139" s="97"/>
      <c r="M139" s="97"/>
      <c r="N139" s="97"/>
      <c r="O139" s="97"/>
      <c r="P139" s="97"/>
      <c r="Q139" s="97"/>
      <c r="R139" s="97"/>
      <c r="S139" s="97"/>
      <c r="T139" s="97"/>
      <c r="U139" s="97"/>
      <c r="V139" s="97"/>
      <c r="W139" s="99"/>
      <c r="X139" s="97"/>
      <c r="Y139" s="97"/>
      <c r="Z139" s="97"/>
      <c r="AA139" s="97"/>
      <c r="AB139" s="97"/>
      <c r="AC139" s="97"/>
      <c r="AD139" s="97"/>
      <c r="AE139" s="97"/>
      <c r="AF139" s="97"/>
      <c r="AG139" s="97"/>
    </row>
    <row r="140" spans="12:33" hidden="1" x14ac:dyDescent="0.25">
      <c r="L140" s="97"/>
      <c r="M140" s="97"/>
      <c r="N140" s="97"/>
      <c r="O140" s="97"/>
      <c r="P140" s="97"/>
      <c r="Q140" s="97"/>
      <c r="R140" s="97"/>
      <c r="S140" s="97"/>
      <c r="T140" s="97"/>
      <c r="U140" s="97"/>
      <c r="V140" s="97"/>
      <c r="W140" s="99"/>
      <c r="X140" s="97"/>
      <c r="Y140" s="97"/>
      <c r="Z140" s="97"/>
      <c r="AA140" s="97"/>
      <c r="AB140" s="97"/>
      <c r="AC140" s="97"/>
      <c r="AD140" s="97"/>
      <c r="AE140" s="97"/>
      <c r="AF140" s="97"/>
      <c r="AG140" s="97"/>
    </row>
    <row r="141" spans="12:33" hidden="1" x14ac:dyDescent="0.25">
      <c r="L141" s="132"/>
      <c r="P141" s="132"/>
    </row>
    <row r="142" spans="12:33" hidden="1" x14ac:dyDescent="0.25">
      <c r="L142" s="132"/>
      <c r="P142" s="132"/>
    </row>
    <row r="143" spans="12:33" hidden="1" x14ac:dyDescent="0.25">
      <c r="L143" s="132"/>
      <c r="P143" s="132"/>
    </row>
    <row r="144" spans="12:33" hidden="1" x14ac:dyDescent="0.25">
      <c r="L144" s="132"/>
      <c r="P144" s="132"/>
    </row>
    <row r="145" spans="12:16" hidden="1" x14ac:dyDescent="0.25">
      <c r="L145" s="132"/>
      <c r="P145" s="132"/>
    </row>
    <row r="146" spans="12:16" hidden="1" x14ac:dyDescent="0.25">
      <c r="L146" s="132"/>
      <c r="P146" s="132"/>
    </row>
    <row r="147" spans="12:16" hidden="1" x14ac:dyDescent="0.25">
      <c r="L147" s="132"/>
      <c r="P147" s="132"/>
    </row>
    <row r="148" spans="12:16" hidden="1" x14ac:dyDescent="0.25">
      <c r="L148" s="132"/>
      <c r="P148" s="132"/>
    </row>
    <row r="149" spans="12:16" hidden="1" x14ac:dyDescent="0.25">
      <c r="L149" s="132"/>
      <c r="P149" s="132"/>
    </row>
    <row r="150" spans="12:16" hidden="1" x14ac:dyDescent="0.25">
      <c r="L150" s="132"/>
      <c r="P150" s="132"/>
    </row>
    <row r="151" spans="12:16" hidden="1" x14ac:dyDescent="0.25">
      <c r="L151" s="132"/>
      <c r="P151" s="132"/>
    </row>
    <row r="152" spans="12:16" hidden="1" x14ac:dyDescent="0.25">
      <c r="L152" s="132"/>
      <c r="P152" s="132"/>
    </row>
    <row r="153" spans="12:16" hidden="1" x14ac:dyDescent="0.25">
      <c r="L153" s="132"/>
      <c r="P153" s="132"/>
    </row>
    <row r="154" spans="12:16" hidden="1" x14ac:dyDescent="0.25">
      <c r="L154" s="132"/>
    </row>
    <row r="155" spans="12:16" hidden="1" x14ac:dyDescent="0.25">
      <c r="L155" s="132"/>
    </row>
    <row r="156" spans="12:16" hidden="1" x14ac:dyDescent="0.25">
      <c r="L156" s="132"/>
    </row>
    <row r="157" spans="12:16" hidden="1" x14ac:dyDescent="0.25">
      <c r="L157" s="132"/>
    </row>
    <row r="158" spans="12:16" hidden="1" x14ac:dyDescent="0.25">
      <c r="L158" s="132"/>
    </row>
    <row r="159" spans="12:16" hidden="1" x14ac:dyDescent="0.25">
      <c r="L159" s="132"/>
    </row>
    <row r="160" spans="12:16" hidden="1" x14ac:dyDescent="0.25">
      <c r="L160" s="132"/>
    </row>
    <row r="161" spans="12:12" hidden="1" x14ac:dyDescent="0.25">
      <c r="L161" s="132"/>
    </row>
    <row r="162" spans="12:12" hidden="1" x14ac:dyDescent="0.25">
      <c r="L162" s="132"/>
    </row>
    <row r="163" spans="12:12" hidden="1" x14ac:dyDescent="0.25">
      <c r="L163" s="132"/>
    </row>
    <row r="164" spans="12:12" hidden="1" x14ac:dyDescent="0.25">
      <c r="L164" s="132"/>
    </row>
    <row r="165" spans="12:12" hidden="1" x14ac:dyDescent="0.25">
      <c r="L165" s="132"/>
    </row>
    <row r="166" spans="12:12" hidden="1" x14ac:dyDescent="0.25">
      <c r="L166" s="132"/>
    </row>
    <row r="167" spans="12:12" hidden="1" x14ac:dyDescent="0.25">
      <c r="L167" s="132"/>
    </row>
    <row r="168" spans="12:12" hidden="1" x14ac:dyDescent="0.25">
      <c r="L168" s="132"/>
    </row>
    <row r="169" spans="12:12" hidden="1" x14ac:dyDescent="0.25">
      <c r="L169" s="132"/>
    </row>
    <row r="170" spans="12:12" hidden="1" x14ac:dyDescent="0.25">
      <c r="L170" s="132"/>
    </row>
    <row r="171" spans="12:12" hidden="1" x14ac:dyDescent="0.25">
      <c r="L171" s="132"/>
    </row>
    <row r="172" spans="12:12" hidden="1" x14ac:dyDescent="0.25">
      <c r="L172" s="132"/>
    </row>
  </sheetData>
  <sheetProtection sheet="1" selectLockedCells="1"/>
  <protectedRanges>
    <protectedRange sqref="C4 C8:C9 C15:C16 F15:F16 I15:I16 F18 C18 C23:C27 F23:F27 I23:I27" name="Grey cells"/>
  </protectedRanges>
  <mergeCells count="10">
    <mergeCell ref="AC102:AD102"/>
    <mergeCell ref="AE102:AF102"/>
    <mergeCell ref="B41:J41"/>
    <mergeCell ref="B10:J10"/>
    <mergeCell ref="B31:J31"/>
    <mergeCell ref="C4:F4"/>
    <mergeCell ref="B2:J2"/>
    <mergeCell ref="B36:J37"/>
    <mergeCell ref="B39:J40"/>
    <mergeCell ref="AD78:AE78"/>
  </mergeCells>
  <phoneticPr fontId="0" type="noConversion"/>
  <conditionalFormatting sqref="D15">
    <cfRule type="expression" dxfId="1" priority="4">
      <formula>$E$23=""</formula>
    </cfRule>
  </conditionalFormatting>
  <conditionalFormatting sqref="J15">
    <cfRule type="expression" dxfId="0" priority="2">
      <formula>$E$23=""</formula>
    </cfRule>
  </conditionalFormatting>
  <dataValidations count="1">
    <dataValidation type="list" allowBlank="1" showInputMessage="1" showErrorMessage="1" sqref="C4:F4" xr:uid="{F0CCCF9A-0617-4585-9D92-EC5B9483DF9E}">
      <formula1>$AB$63:$AB$65</formula1>
    </dataValidation>
  </dataValidations>
  <pageMargins left="1.25" right="0.75" top="1" bottom="1" header="0.5" footer="0.5"/>
  <pageSetup orientation="landscape" r:id="rId1"/>
  <headerFooter alignWithMargins="0">
    <oddFooter>&amp;C&amp;F:&amp;A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Introduction</vt:lpstr>
      <vt:lpstr>Corn or Soybean</vt:lpstr>
      <vt:lpstr>Wheat termination</vt:lpstr>
      <vt:lpstr>'Corn or Soybean'!Print_Area</vt:lpstr>
      <vt:lpstr>'Wheat termination'!Print_Area</vt:lpstr>
    </vt:vector>
  </TitlesOfParts>
  <Company>SSU - University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Ray Massey</dc:creator>
  <dc:description>Changes from version 2-22-12: 
--Corrected error message in range M54:M55
--Corrected the yield graph headings
--changed equations dealing with date so they used the date function</dc:description>
  <cp:lastModifiedBy>Kientzy, Andrew</cp:lastModifiedBy>
  <cp:lastPrinted>2012-02-22T22:02:05Z</cp:lastPrinted>
  <dcterms:created xsi:type="dcterms:W3CDTF">1998-10-09T13:51:43Z</dcterms:created>
  <dcterms:modified xsi:type="dcterms:W3CDTF">2025-05-28T21:11:15Z</dcterms:modified>
</cp:coreProperties>
</file>