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ilmissouri-my.sharepoint.com/personal/masseyr_umsystem_edu/Documents/Projects/Wheat/"/>
    </mc:Choice>
  </mc:AlternateContent>
  <xr:revisionPtr revIDLastSave="1073" documentId="8_{BF27B6BE-7057-4D45-9083-240E90CD0BDD}" xr6:coauthVersionLast="47" xr6:coauthVersionMax="47" xr10:uidLastSave="{02989F95-E960-4BF2-B99C-DD2135D0247A}"/>
  <bookViews>
    <workbookView xWindow="14760" yWindow="-16425" windowWidth="29040" windowHeight="15840" xr2:uid="{2676B386-E6C9-4C77-99D1-9A40FCAAC8FF}"/>
  </bookViews>
  <sheets>
    <sheet name="Sheet1" sheetId="1" r:id="rId1"/>
    <sheet name="Nutrient Removal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L10" i="4"/>
  <c r="L9" i="4"/>
  <c r="E16" i="1"/>
  <c r="C38" i="1"/>
  <c r="C35" i="1"/>
  <c r="C37" i="1"/>
  <c r="C36" i="1"/>
  <c r="G19" i="1"/>
  <c r="E15" i="1"/>
  <c r="E14" i="1"/>
  <c r="C7" i="1" s="1"/>
  <c r="B9" i="1" l="1"/>
  <c r="G41" i="1"/>
  <c r="F41" i="1" s="1"/>
  <c r="H41" i="1" s="1"/>
  <c r="G12" i="4" l="1"/>
  <c r="G13" i="4"/>
  <c r="G14" i="4"/>
  <c r="G39" i="4"/>
  <c r="G40" i="4"/>
  <c r="G41" i="4"/>
  <c r="G42" i="4"/>
  <c r="G15" i="4"/>
  <c r="G43" i="4"/>
  <c r="G16" i="4"/>
  <c r="G44" i="4"/>
  <c r="G17" i="4"/>
  <c r="G18" i="4"/>
  <c r="G45" i="4"/>
  <c r="G46" i="4"/>
  <c r="G47" i="4"/>
  <c r="G20" i="4"/>
  <c r="G48" i="4"/>
  <c r="G49" i="4"/>
  <c r="G50" i="4"/>
  <c r="G21" i="4"/>
  <c r="G22" i="4"/>
  <c r="G23" i="4"/>
  <c r="G24" i="4"/>
  <c r="G51" i="4"/>
  <c r="G52" i="4"/>
  <c r="G25" i="4"/>
  <c r="G26" i="4"/>
  <c r="G53" i="4"/>
  <c r="G27" i="4"/>
  <c r="G54" i="4"/>
  <c r="G55" i="4"/>
  <c r="G28" i="4"/>
  <c r="G29" i="4"/>
  <c r="G56" i="4"/>
  <c r="G57" i="4"/>
  <c r="G30" i="4"/>
  <c r="G31" i="4"/>
  <c r="G58" i="4"/>
  <c r="G32" i="4"/>
  <c r="G59" i="4"/>
  <c r="G33" i="4"/>
  <c r="G60" i="4"/>
  <c r="G61" i="4"/>
  <c r="G34" i="4"/>
  <c r="G35" i="4"/>
  <c r="G36" i="4"/>
  <c r="G62" i="4"/>
  <c r="G37" i="4"/>
  <c r="G63" i="4"/>
  <c r="G38" i="4"/>
  <c r="G64" i="4"/>
  <c r="G65" i="4"/>
  <c r="G11" i="4"/>
  <c r="C9" i="1"/>
  <c r="B35" i="1" l="1"/>
  <c r="H21" i="1"/>
  <c r="B37" i="1"/>
  <c r="F17" i="1"/>
  <c r="C8" i="1" s="1"/>
  <c r="H20" i="1"/>
  <c r="C10" i="1" s="1"/>
  <c r="F18" i="1"/>
  <c r="E18" i="1"/>
  <c r="E20" i="1"/>
  <c r="F37" i="1"/>
  <c r="G21" i="1"/>
  <c r="G37" i="1" l="1"/>
  <c r="H37" i="1"/>
  <c r="B36" i="1"/>
  <c r="B38" i="1"/>
  <c r="E17" i="1"/>
  <c r="F35" i="1"/>
  <c r="G35" i="1" l="1"/>
  <c r="H35" i="1"/>
  <c r="F38" i="1"/>
  <c r="F36" i="1"/>
  <c r="G36" i="1" l="1"/>
  <c r="H36" i="1"/>
  <c r="G38" i="1"/>
  <c r="H38" i="1"/>
  <c r="F39" i="1"/>
  <c r="F42" i="1" s="1"/>
  <c r="F44" i="1" s="1"/>
  <c r="F45" i="1" s="1"/>
  <c r="H39" i="1" l="1"/>
  <c r="H42" i="1" s="1"/>
  <c r="H44" i="1" s="1"/>
  <c r="H45" i="1" s="1"/>
  <c r="G39" i="1"/>
  <c r="G42" i="1" s="1"/>
  <c r="G44" i="1" s="1"/>
  <c r="G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Massey, Ray</author>
  </authors>
  <commentList>
    <comment ref="E27" authorId="0" shapeId="0" xr:uid="{D17F34E3-C87D-47A3-8515-366AB8CCFF51}">
      <text>
        <r>
          <rPr>
            <b/>
            <sz val="9"/>
            <color indexed="81"/>
            <rFont val="Tahoma"/>
            <family val="2"/>
          </rPr>
          <t>Massey, Ray:</t>
        </r>
        <r>
          <rPr>
            <sz val="9"/>
            <color indexed="81"/>
            <rFont val="Tahoma"/>
            <family val="2"/>
          </rPr>
          <t xml:space="preserve">
If the straw is left in a windrow by the combine, charge only the baling charge without charging for swathing and raking.</t>
        </r>
      </text>
    </comment>
    <comment ref="E33" authorId="0" shapeId="0" xr:uid="{07F5756E-D441-4995-B5E2-8021893A41C6}">
      <text>
        <r>
          <rPr>
            <b/>
            <sz val="9"/>
            <color indexed="81"/>
            <rFont val="Tahoma"/>
            <family val="2"/>
          </rPr>
          <t>Massey, Ray:</t>
        </r>
        <r>
          <rPr>
            <sz val="9"/>
            <color indexed="81"/>
            <rFont val="Tahoma"/>
            <family val="2"/>
          </rPr>
          <t xml:space="preserve">
If you have a more accurate value for your situation, enter it in the cells below; otherwise, leave blank.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5288422-541C-4FE9-870B-EB5060F3C7B4}" keepAlive="1" name="Query - Table001 (Page 1-2)" description="Connection to the 'Table001 (Page 1-2)' query in the workbook." type="5" refreshedVersion="0" background="1" saveData="1">
    <dbPr connection="Provider=Microsoft.Mashup.OleDb.1;Data Source=$Workbook$;Location=&quot;Table001 (Page 1-2)&quot;;Extended Properties=&quot;&quot;" command="SELECT * FROM [Table001 (Page 1-2)]"/>
  </connection>
  <connection id="2" xr16:uid="{54AC6075-873B-44C2-A1B1-216EF66D0486}" keepAlive="1" name="Query - Table001 (Page 1-2) (2)" description="Connection to the 'Table001 (Page 1-2) (2)' query in the workbook." type="5" refreshedVersion="0" background="1" saveData="1">
    <dbPr connection="Provider=Microsoft.Mashup.OleDb.1;Data Source=$Workbook$;Location=&quot;Table001 (Page 1-2) (2)&quot;;Extended Properties=&quot;&quot;" command="SELECT * FROM [Table001 (Page 1-2) (2)]"/>
  </connection>
</connections>
</file>

<file path=xl/sharedStrings.xml><?xml version="1.0" encoding="utf-8"?>
<sst xmlns="http://schemas.openxmlformats.org/spreadsheetml/2006/main" count="302" uniqueCount="121">
  <si>
    <t>Fertilizers</t>
  </si>
  <si>
    <t>Urea (46-0-0)</t>
  </si>
  <si>
    <t>Price ($/ton)</t>
  </si>
  <si>
    <t>MAP (11-52-0)</t>
  </si>
  <si>
    <t>DAP (18-46-0)</t>
  </si>
  <si>
    <t>Potash (0-0-60)</t>
  </si>
  <si>
    <t>N</t>
  </si>
  <si>
    <r>
      <t>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</si>
  <si>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</si>
  <si>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t>--</t>
  </si>
  <si>
    <t>Ammonium sulfate (21-0-0-24S)</t>
  </si>
  <si>
    <t>S</t>
  </si>
  <si>
    <t>Removal, lb/unit**</t>
  </si>
  <si>
    <t>Crop***</t>
  </si>
  <si>
    <t>Unit</t>
  </si>
  <si>
    <t>Alfalfa (DM)</t>
  </si>
  <si>
    <t>ton</t>
  </si>
  <si>
    <t>Alsike Clover (DM)</t>
  </si>
  <si>
    <t>Bahiagrass</t>
  </si>
  <si>
    <t/>
  </si>
  <si>
    <t>Barley grain</t>
  </si>
  <si>
    <t>bu</t>
  </si>
  <si>
    <t>Barley straw</t>
  </si>
  <si>
    <t>Beans (dry)</t>
  </si>
  <si>
    <t>Bermuda grass</t>
  </si>
  <si>
    <t>Birdsfoot trefoil (DM)</t>
  </si>
  <si>
    <t>Bluegrass (DM)</t>
  </si>
  <si>
    <t>Bromegrass (DM)</t>
  </si>
  <si>
    <t>Buckwheat</t>
  </si>
  <si>
    <t>Canola grain</t>
  </si>
  <si>
    <t>Corn grain</t>
  </si>
  <si>
    <t>Corn silage (67% water)</t>
  </si>
  <si>
    <t>Corn stover</t>
  </si>
  <si>
    <t>Cotton (lint)</t>
  </si>
  <si>
    <t>bale</t>
  </si>
  <si>
    <t>Cotton stover</t>
  </si>
  <si>
    <t>Fescue (DM)</t>
  </si>
  <si>
    <t>Flax grain</t>
  </si>
  <si>
    <t>Flax straw</t>
  </si>
  <si>
    <t>Millet grain</t>
  </si>
  <si>
    <t>Millet straw</t>
  </si>
  <si>
    <t>Mint oil</t>
  </si>
  <si>
    <t>lb</t>
  </si>
  <si>
    <t>Oat grain</t>
  </si>
  <si>
    <t>Oat straw</t>
  </si>
  <si>
    <t>Orchardgrass (DM)</t>
  </si>
  <si>
    <t>Peanut nuts</t>
  </si>
  <si>
    <t>Peanut stover</t>
  </si>
  <si>
    <t>Potato tuber</t>
  </si>
  <si>
    <t>cwt</t>
  </si>
  <si>
    <t>Potato above-ground stems &amp; leaves</t>
  </si>
  <si>
    <t>Red clover (DM)</t>
  </si>
  <si>
    <t>Reed canarygrass (DM)</t>
  </si>
  <si>
    <t>Rice grain</t>
  </si>
  <si>
    <t>Rice straw</t>
  </si>
  <si>
    <t>Rye grain</t>
  </si>
  <si>
    <t>Rye straw</t>
  </si>
  <si>
    <t>Ryegrass (DM)</t>
  </si>
  <si>
    <t>Sorghum grain</t>
  </si>
  <si>
    <t>Sorghum stover</t>
  </si>
  <si>
    <t>Sorghum-sudan (DM)</t>
  </si>
  <si>
    <t>Soybean grain</t>
  </si>
  <si>
    <t>Soybean hay (DM)</t>
  </si>
  <si>
    <t>Soybean stover</t>
  </si>
  <si>
    <t>Sugarbeet root</t>
  </si>
  <si>
    <t>Sugarbeet top</t>
  </si>
  <si>
    <t>Sugarcane</t>
  </si>
  <si>
    <t>Sunflower grain</t>
  </si>
  <si>
    <t>Sunflower stover</t>
  </si>
  <si>
    <t>Switchgrass (DM)</t>
  </si>
  <si>
    <t>Timothy (DM)</t>
  </si>
  <si>
    <t>Tomatoes</t>
  </si>
  <si>
    <t>Tobacco leaves</t>
  </si>
  <si>
    <t>Vetch (DM)</t>
  </si>
  <si>
    <t>Wheat straw</t>
  </si>
  <si>
    <t>Wheat (spring) grain</t>
  </si>
  <si>
    <t>Wheat (winter) grain</t>
  </si>
  <si>
    <t>Source: http://www.ipni.net/article/IPNI-3296</t>
  </si>
  <si>
    <t>Last modified: May 2014</t>
  </si>
  <si>
    <t>Nutrient removal value</t>
  </si>
  <si>
    <t>Forage</t>
  </si>
  <si>
    <t>Type</t>
  </si>
  <si>
    <t>$/ton</t>
  </si>
  <si>
    <t>$/bale</t>
  </si>
  <si>
    <t>Baling cost</t>
  </si>
  <si>
    <t>Subtotal straw cost</t>
  </si>
  <si>
    <t>Producer margin</t>
  </si>
  <si>
    <t>Total straw value</t>
  </si>
  <si>
    <t>Fertilizer sources to use for nutrient valuation</t>
  </si>
  <si>
    <t>Value ($/lb)</t>
  </si>
  <si>
    <t>Implied nutrient value</t>
  </si>
  <si>
    <t>Fertilzier composition</t>
  </si>
  <si>
    <t>Key:</t>
  </si>
  <si>
    <t>Fertilizers with only one nutrient so easily converted from ton of product to pound of nutrient</t>
  </si>
  <si>
    <t>Fertilizers with 2 nutrients. Single nutrient fertilizers are used to estimate one nutrient's value. The remaining value is assigned to the other nutrient.</t>
  </si>
  <si>
    <t>Harvesting and marketing details</t>
  </si>
  <si>
    <r>
      <t>P</t>
    </r>
    <r>
      <rPr>
        <b/>
        <vertAlign val="sub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O</t>
    </r>
    <r>
      <rPr>
        <b/>
        <vertAlign val="subscript"/>
        <sz val="11"/>
        <color theme="0"/>
        <rFont val="Calibri"/>
        <family val="2"/>
        <scheme val="minor"/>
      </rPr>
      <t>5</t>
    </r>
  </si>
  <si>
    <r>
      <t>K</t>
    </r>
    <r>
      <rPr>
        <b/>
        <vertAlign val="sub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O</t>
    </r>
  </si>
  <si>
    <t>User enters (or changes) values in gray cells to represent their situation.</t>
  </si>
  <si>
    <t>Anhydrous ammonia (82-0-0)</t>
  </si>
  <si>
    <t>Potasium sulfate (0-0-50-18S)</t>
  </si>
  <si>
    <t>Book estimate</t>
  </si>
  <si>
    <t>Your estimate</t>
  </si>
  <si>
    <t>Calculated value</t>
  </si>
  <si>
    <t>Fescue Seed Aftermath</t>
  </si>
  <si>
    <t>forage</t>
  </si>
  <si>
    <t>Joe Horner input</t>
  </si>
  <si>
    <t>Source of info</t>
  </si>
  <si>
    <t>IPNI</t>
  </si>
  <si>
    <t>Custom rate for baling ($/bale)</t>
  </si>
  <si>
    <t>Average weight of round bale (lb/bale)</t>
  </si>
  <si>
    <t>Producer markup (% of cost)</t>
  </si>
  <si>
    <t>Percent DM when harvested</t>
  </si>
  <si>
    <t>pounds/ton (as fed)</t>
  </si>
  <si>
    <t>Straw fertilizer nutrient value</t>
  </si>
  <si>
    <t>Forages</t>
  </si>
  <si>
    <t>UAN (32-0-0)</t>
  </si>
  <si>
    <t>Yield of harvested straw (tons/acre)</t>
  </si>
  <si>
    <t>$/acre</t>
  </si>
  <si>
    <t>lb straw/bu wheat</t>
  </si>
  <si>
    <t>https://blog-crop-news.extension.umn.edu/2020/07/the-value-of-wheat-straw.html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</si>
</sst>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0_);[Red]\(&quot;$&quot;#,##0.000\)"/>
    <numFmt numFmtId="165" formatCode="#,##0.0"/>
  </numFmts>
  <fonts count="13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9" fontId="0" fillId="0" borderId="0" xfId="0" applyNumberFormat="1"/>
    <xf numFmtId="8" fontId="0" fillId="0" borderId="0" xfId="0" applyNumberFormat="1"/>
    <xf numFmtId="6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3" borderId="0" xfId="0" applyFill="1"/>
    <xf numFmtId="0" fontId="0" fillId="6" borderId="0" xfId="0" applyFill="1"/>
    <xf numFmtId="0" fontId="0" fillId="2" borderId="0" xfId="0" applyFill="1"/>
    <xf numFmtId="0" fontId="0" fillId="4" borderId="0" xfId="0" applyFill="1"/>
    <xf numFmtId="0" fontId="0" fillId="0" borderId="4" xfId="0" applyBorder="1"/>
    <xf numFmtId="0" fontId="0" fillId="0" borderId="6" xfId="0" applyBorder="1"/>
    <xf numFmtId="0" fontId="4" fillId="5" borderId="5" xfId="0" applyFont="1" applyFill="1" applyBorder="1"/>
    <xf numFmtId="0" fontId="4" fillId="5" borderId="7" xfId="0" applyFont="1" applyFill="1" applyBorder="1"/>
    <xf numFmtId="0" fontId="0" fillId="0" borderId="5" xfId="0" applyBorder="1"/>
    <xf numFmtId="0" fontId="0" fillId="0" borderId="7" xfId="0" applyBorder="1"/>
    <xf numFmtId="0" fontId="4" fillId="5" borderId="7" xfId="0" applyFont="1" applyFill="1" applyBorder="1" applyAlignment="1">
      <alignment horizontal="center"/>
    </xf>
    <xf numFmtId="6" fontId="0" fillId="6" borderId="7" xfId="0" applyNumberFormat="1" applyFill="1" applyBorder="1"/>
    <xf numFmtId="8" fontId="0" fillId="2" borderId="7" xfId="0" applyNumberFormat="1" applyFill="1" applyBorder="1"/>
    <xf numFmtId="164" fontId="0" fillId="0" borderId="7" xfId="0" applyNumberFormat="1" applyBorder="1" applyAlignment="1">
      <alignment horizontal="center"/>
    </xf>
    <xf numFmtId="9" fontId="0" fillId="0" borderId="7" xfId="0" applyNumberFormat="1" applyBorder="1"/>
    <xf numFmtId="9" fontId="0" fillId="0" borderId="9" xfId="0" applyNumberFormat="1" applyBorder="1"/>
    <xf numFmtId="8" fontId="5" fillId="0" borderId="7" xfId="0" applyNumberFormat="1" applyFont="1" applyBorder="1"/>
    <xf numFmtId="8" fontId="0" fillId="4" borderId="7" xfId="0" applyNumberFormat="1" applyFill="1" applyBorder="1"/>
    <xf numFmtId="8" fontId="0" fillId="2" borderId="7" xfId="0" applyNumberForma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8" fontId="5" fillId="0" borderId="6" xfId="0" applyNumberFormat="1" applyFont="1" applyBorder="1"/>
    <xf numFmtId="8" fontId="0" fillId="4" borderId="6" xfId="0" applyNumberFormat="1" applyFill="1" applyBorder="1"/>
    <xf numFmtId="9" fontId="0" fillId="0" borderId="6" xfId="0" applyNumberFormat="1" applyBorder="1"/>
    <xf numFmtId="9" fontId="0" fillId="0" borderId="8" xfId="0" applyNumberFormat="1" applyBorder="1"/>
    <xf numFmtId="0" fontId="4" fillId="5" borderId="5" xfId="0" applyFont="1" applyFill="1" applyBorder="1" applyAlignment="1">
      <alignment horizontal="center"/>
    </xf>
    <xf numFmtId="0" fontId="0" fillId="6" borderId="5" xfId="0" applyFill="1" applyBorder="1"/>
    <xf numFmtId="0" fontId="4" fillId="5" borderId="5" xfId="0" applyFont="1" applyFill="1" applyBorder="1" applyAlignment="1">
      <alignment wrapText="1"/>
    </xf>
    <xf numFmtId="0" fontId="4" fillId="5" borderId="9" xfId="0" applyFont="1" applyFill="1" applyBorder="1"/>
    <xf numFmtId="8" fontId="0" fillId="0" borderId="9" xfId="0" applyNumberFormat="1" applyBorder="1"/>
    <xf numFmtId="8" fontId="0" fillId="0" borderId="8" xfId="0" applyNumberFormat="1" applyBorder="1"/>
    <xf numFmtId="0" fontId="7" fillId="0" borderId="0" xfId="0" applyFont="1"/>
    <xf numFmtId="0" fontId="0" fillId="0" borderId="11" xfId="0" applyBorder="1"/>
    <xf numFmtId="0" fontId="0" fillId="0" borderId="12" xfId="0" applyBorder="1"/>
    <xf numFmtId="0" fontId="0" fillId="6" borderId="11" xfId="0" applyFill="1" applyBorder="1"/>
    <xf numFmtId="8" fontId="0" fillId="0" borderId="12" xfId="0" applyNumberFormat="1" applyBorder="1"/>
    <xf numFmtId="0" fontId="0" fillId="0" borderId="10" xfId="0" applyBorder="1"/>
    <xf numFmtId="8" fontId="0" fillId="0" borderId="10" xfId="0" applyNumberFormat="1" applyBorder="1"/>
    <xf numFmtId="0" fontId="0" fillId="6" borderId="10" xfId="0" applyFill="1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8" fillId="6" borderId="0" xfId="0" applyFont="1" applyFill="1"/>
    <xf numFmtId="165" fontId="0" fillId="0" borderId="11" xfId="0" applyNumberFormat="1" applyBorder="1"/>
    <xf numFmtId="165" fontId="0" fillId="0" borderId="10" xfId="0" applyNumberFormat="1" applyBorder="1"/>
    <xf numFmtId="8" fontId="0" fillId="0" borderId="11" xfId="0" applyNumberFormat="1" applyBorder="1"/>
    <xf numFmtId="8" fontId="4" fillId="5" borderId="5" xfId="0" applyNumberFormat="1" applyFont="1" applyFill="1" applyBorder="1"/>
    <xf numFmtId="8" fontId="0" fillId="0" borderId="13" xfId="0" applyNumberFormat="1" applyBorder="1"/>
    <xf numFmtId="8" fontId="0" fillId="0" borderId="5" xfId="0" applyNumberFormat="1" applyBorder="1"/>
    <xf numFmtId="0" fontId="0" fillId="0" borderId="14" xfId="0" applyBorder="1"/>
    <xf numFmtId="6" fontId="0" fillId="0" borderId="15" xfId="0" applyNumberFormat="1" applyBorder="1"/>
    <xf numFmtId="3" fontId="0" fillId="0" borderId="0" xfId="0" applyNumberFormat="1"/>
    <xf numFmtId="6" fontId="0" fillId="6" borderId="11" xfId="0" applyNumberFormat="1" applyFill="1" applyBorder="1"/>
    <xf numFmtId="3" fontId="0" fillId="6" borderId="11" xfId="0" applyNumberFormat="1" applyFill="1" applyBorder="1"/>
    <xf numFmtId="9" fontId="0" fillId="6" borderId="10" xfId="0" applyNumberFormat="1" applyFill="1" applyBorder="1"/>
    <xf numFmtId="0" fontId="0" fillId="6" borderId="4" xfId="0" applyFill="1" applyBorder="1"/>
    <xf numFmtId="6" fontId="0" fillId="6" borderId="6" xfId="0" applyNumberFormat="1" applyFill="1" applyBorder="1"/>
    <xf numFmtId="0" fontId="9" fillId="0" borderId="0" xfId="0" applyFont="1" applyAlignment="1">
      <alignment horizontal="center"/>
    </xf>
    <xf numFmtId="0" fontId="5" fillId="0" borderId="0" xfId="0" applyFont="1"/>
    <xf numFmtId="9" fontId="5" fillId="0" borderId="7" xfId="0" applyNumberFormat="1" applyFont="1" applyBorder="1"/>
    <xf numFmtId="0" fontId="11" fillId="0" borderId="0" xfId="0" applyFont="1"/>
    <xf numFmtId="0" fontId="12" fillId="0" borderId="0" xfId="0" applyFont="1"/>
    <xf numFmtId="0" fontId="0" fillId="7" borderId="0" xfId="0" applyFill="1"/>
    <xf numFmtId="0" fontId="8" fillId="0" borderId="0" xfId="0" applyFont="1"/>
    <xf numFmtId="165" fontId="0" fillId="6" borderId="11" xfId="0" applyNumberFormat="1" applyFill="1" applyBorder="1"/>
    <xf numFmtId="0" fontId="4" fillId="5" borderId="17" xfId="0" applyFont="1" applyFill="1" applyBorder="1"/>
    <xf numFmtId="0" fontId="4" fillId="0" borderId="0" xfId="0" applyFont="1"/>
    <xf numFmtId="1" fontId="0" fillId="0" borderId="0" xfId="0" applyNumberFormat="1"/>
    <xf numFmtId="3" fontId="5" fillId="0" borderId="0" xfId="0" applyNumberFormat="1" applyFont="1" applyAlignment="1">
      <alignment horizontal="left" indent="1"/>
    </xf>
    <xf numFmtId="0" fontId="10" fillId="5" borderId="4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10" fillId="5" borderId="8" xfId="0" applyFont="1" applyFill="1" applyBorder="1" applyAlignment="1">
      <alignment horizont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color theme="1"/>
      </font>
    </dxf>
    <dxf>
      <font>
        <color theme="1"/>
      </font>
      <border>
        <bottom style="thin">
          <color theme="4"/>
        </bottom>
        <vertical/>
        <horizontal/>
      </border>
    </dxf>
    <dxf>
      <font>
        <color theme="1"/>
      </font>
      <fill>
        <patternFill>
          <bgColor theme="2"/>
        </patternFill>
      </fill>
      <border>
        <left style="thin">
          <color theme="4"/>
        </left>
        <right style="thin">
          <color theme="4"/>
        </right>
        <bottom style="thin">
          <color theme="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8122577-C280-4BE6-8EA2-C707C05F51C4}" name="Table2" displayName="Table2" ref="A6:H72" totalsRowShown="0" headerRowDxfId="10" dataDxfId="9" tableBorderDxfId="8">
  <autoFilter ref="A6:H72" xr:uid="{C8122577-C280-4BE6-8EA2-C707C05F51C4}"/>
  <sortState xmlns:xlrd2="http://schemas.microsoft.com/office/spreadsheetml/2017/richdata2" ref="A7:G72">
    <sortCondition descending="1" ref="G6:G72"/>
  </sortState>
  <tableColumns count="8">
    <tableColumn id="1" xr3:uid="{A3587991-7A16-4AD7-87AF-F96735DAD806}" name="Crop***" dataDxfId="7"/>
    <tableColumn id="2" xr3:uid="{EE423274-0B0F-459A-81CE-227F7AFA7DDB}" name="Unit" dataDxfId="6"/>
    <tableColumn id="3" xr3:uid="{B4497DCD-B1E5-4CDC-BC92-0DA48DF11E80}" name="N" dataDxfId="5"/>
    <tableColumn id="4" xr3:uid="{9204B949-EE5A-4C1C-9B01-638E7C4DCD21}" name="P2O5" dataDxfId="4"/>
    <tableColumn id="5" xr3:uid="{C3F96E18-F475-4BC4-86A6-A1F6120C52DC}" name="K2O" dataDxfId="3"/>
    <tableColumn id="6" xr3:uid="{AB953274-FDF2-47E7-92FA-413C924BEC75}" name="S" dataDxfId="2"/>
    <tableColumn id="7" xr3:uid="{B1AE1530-8FB3-4B8C-AF8B-E921DB4DADAD}" name="Type" dataDxfId="1"/>
    <tableColumn id="8" xr3:uid="{CF51B358-75BE-49D9-AEAF-4D7E85F8DEC9}" name="Source of inf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E2B0F-003E-47E6-A533-77BFA031C570}">
  <sheetPr codeName="Sheet1"/>
  <dimension ref="A1:M48"/>
  <sheetViews>
    <sheetView tabSelected="1" topLeftCell="A12" workbookViewId="0">
      <selection activeCell="C22" sqref="C22"/>
    </sheetView>
  </sheetViews>
  <sheetFormatPr defaultRowHeight="14.5" x14ac:dyDescent="0.35"/>
  <cols>
    <col min="1" max="1" width="3.54296875" customWidth="1"/>
    <col min="2" max="2" width="36.453125" customWidth="1"/>
    <col min="3" max="3" width="17.26953125" customWidth="1"/>
    <col min="4" max="4" width="2.54296875" customWidth="1"/>
    <col min="5" max="5" width="17.81640625" customWidth="1"/>
    <col min="8" max="8" width="8" customWidth="1"/>
    <col min="9" max="9" width="14.26953125" customWidth="1"/>
    <col min="10" max="10" width="12.7265625" customWidth="1"/>
    <col min="11" max="11" width="10.26953125" customWidth="1"/>
    <col min="12" max="12" width="8.81640625" bestFit="1" customWidth="1"/>
  </cols>
  <sheetData>
    <row r="1" spans="2:12" x14ac:dyDescent="0.35">
      <c r="B1" s="66" t="s">
        <v>92</v>
      </c>
    </row>
    <row r="2" spans="2:12" x14ac:dyDescent="0.35">
      <c r="B2" s="11" t="s">
        <v>98</v>
      </c>
      <c r="C2" s="11"/>
      <c r="D2" s="11"/>
      <c r="E2" s="11"/>
      <c r="F2" s="11"/>
      <c r="G2" s="11"/>
      <c r="H2" s="11"/>
      <c r="I2" s="11"/>
      <c r="J2" s="11"/>
      <c r="K2" s="11"/>
    </row>
    <row r="3" spans="2:12" x14ac:dyDescent="0.35">
      <c r="B3" s="12" t="s">
        <v>93</v>
      </c>
      <c r="C3" s="12"/>
      <c r="D3" s="12"/>
      <c r="E3" s="12"/>
      <c r="F3" s="12"/>
      <c r="G3" s="12"/>
      <c r="H3" s="12"/>
      <c r="I3" s="12"/>
      <c r="J3" s="12"/>
      <c r="K3" s="12"/>
    </row>
    <row r="4" spans="2:12" x14ac:dyDescent="0.35">
      <c r="B4" s="13" t="s">
        <v>94</v>
      </c>
      <c r="C4" s="13"/>
      <c r="D4" s="13"/>
      <c r="E4" s="13"/>
      <c r="F4" s="13"/>
      <c r="G4" s="13"/>
      <c r="H4" s="13"/>
      <c r="I4" s="13"/>
      <c r="J4" s="13"/>
      <c r="K4" s="13"/>
    </row>
    <row r="6" spans="2:12" ht="29" x14ac:dyDescent="0.35">
      <c r="B6" s="36" t="s">
        <v>88</v>
      </c>
      <c r="C6" s="37" t="s">
        <v>89</v>
      </c>
      <c r="E6" s="3"/>
      <c r="F6" s="1"/>
      <c r="G6" s="1"/>
      <c r="H6" s="1"/>
      <c r="I6" s="1"/>
      <c r="J6" s="4"/>
      <c r="K6" s="2"/>
    </row>
    <row r="7" spans="2:12" x14ac:dyDescent="0.35">
      <c r="B7" s="35" t="s">
        <v>99</v>
      </c>
      <c r="C7" s="38">
        <f>VLOOKUP(B7,B14:E16,4,FALSE)</f>
        <v>0.48780487804878048</v>
      </c>
      <c r="E7" s="3"/>
      <c r="F7" s="1"/>
      <c r="G7" s="1"/>
      <c r="H7" s="1"/>
      <c r="I7" s="1"/>
      <c r="J7" s="4"/>
      <c r="K7" s="2"/>
    </row>
    <row r="8" spans="2:12" x14ac:dyDescent="0.35">
      <c r="B8" s="35" t="s">
        <v>3</v>
      </c>
      <c r="C8" s="38">
        <f>VLOOKUP(B8,B17:F18,5,FALSE)</f>
        <v>0.69488742964352723</v>
      </c>
      <c r="E8" s="3"/>
      <c r="F8" s="1"/>
      <c r="G8" s="1"/>
      <c r="H8" s="1"/>
      <c r="I8" s="1"/>
      <c r="J8" s="4"/>
      <c r="K8" s="2"/>
    </row>
    <row r="9" spans="2:12" x14ac:dyDescent="0.35">
      <c r="B9" s="18" t="str">
        <f>B19</f>
        <v>Potash (0-0-60)</v>
      </c>
      <c r="C9" s="38">
        <f>G19</f>
        <v>0.51666666666666672</v>
      </c>
      <c r="E9" s="3"/>
      <c r="F9" s="1"/>
      <c r="G9" s="1"/>
      <c r="H9" s="1"/>
      <c r="I9" s="1"/>
      <c r="J9" s="4"/>
      <c r="K9" s="2"/>
    </row>
    <row r="10" spans="2:12" x14ac:dyDescent="0.35">
      <c r="B10" s="64" t="s">
        <v>10</v>
      </c>
      <c r="C10" s="39">
        <f>VLOOKUP(B10,B20:H21,7,FALSE)</f>
        <v>0.73983739837398377</v>
      </c>
      <c r="E10" s="3"/>
      <c r="F10" s="1"/>
      <c r="G10" s="1"/>
      <c r="H10" s="1"/>
      <c r="I10" s="1"/>
      <c r="J10" s="4"/>
      <c r="K10" s="2"/>
    </row>
    <row r="12" spans="2:12" x14ac:dyDescent="0.35">
      <c r="B12" s="16"/>
      <c r="C12" s="16"/>
      <c r="D12" s="16"/>
      <c r="E12" s="78" t="s">
        <v>90</v>
      </c>
      <c r="F12" s="79"/>
      <c r="G12" s="79"/>
      <c r="H12" s="82"/>
      <c r="I12" s="78" t="s">
        <v>91</v>
      </c>
      <c r="J12" s="79"/>
      <c r="K12" s="79"/>
      <c r="L12" s="79"/>
    </row>
    <row r="13" spans="2:12" ht="16.5" x14ac:dyDescent="0.45">
      <c r="B13" s="16" t="s">
        <v>0</v>
      </c>
      <c r="C13" s="17" t="s">
        <v>2</v>
      </c>
      <c r="D13" s="17"/>
      <c r="E13" s="20" t="s">
        <v>6</v>
      </c>
      <c r="F13" s="20" t="s">
        <v>96</v>
      </c>
      <c r="G13" s="20" t="s">
        <v>97</v>
      </c>
      <c r="H13" s="20" t="s">
        <v>11</v>
      </c>
      <c r="I13" s="20" t="s">
        <v>6</v>
      </c>
      <c r="J13" s="20" t="s">
        <v>96</v>
      </c>
      <c r="K13" s="20" t="s">
        <v>97</v>
      </c>
      <c r="L13" s="20" t="s">
        <v>11</v>
      </c>
    </row>
    <row r="14" spans="2:12" x14ac:dyDescent="0.35">
      <c r="B14" s="18" t="s">
        <v>99</v>
      </c>
      <c r="C14" s="21">
        <v>800</v>
      </c>
      <c r="D14" s="19"/>
      <c r="E14" s="22">
        <f>C14/(I14*2000)</f>
        <v>0.48780487804878048</v>
      </c>
      <c r="F14" s="23" t="s">
        <v>9</v>
      </c>
      <c r="G14" s="23" t="s">
        <v>9</v>
      </c>
      <c r="H14" s="23" t="s">
        <v>9</v>
      </c>
      <c r="I14" s="24">
        <v>0.82</v>
      </c>
      <c r="J14" s="24">
        <v>0</v>
      </c>
      <c r="K14" s="24">
        <v>0</v>
      </c>
      <c r="L14" s="25">
        <v>0</v>
      </c>
    </row>
    <row r="15" spans="2:12" x14ac:dyDescent="0.35">
      <c r="B15" s="18" t="s">
        <v>1</v>
      </c>
      <c r="C15" s="21">
        <v>620</v>
      </c>
      <c r="D15" s="19"/>
      <c r="E15" s="22">
        <f>C15/(I15*2000)</f>
        <v>0.67391304347826086</v>
      </c>
      <c r="F15" s="23" t="s">
        <v>9</v>
      </c>
      <c r="G15" s="23" t="s">
        <v>9</v>
      </c>
      <c r="H15" s="23" t="s">
        <v>9</v>
      </c>
      <c r="I15" s="24">
        <v>0.46</v>
      </c>
      <c r="J15" s="24">
        <v>0</v>
      </c>
      <c r="K15" s="24">
        <v>0</v>
      </c>
      <c r="L15" s="25">
        <v>0</v>
      </c>
    </row>
    <row r="16" spans="2:12" x14ac:dyDescent="0.35">
      <c r="B16" s="18" t="s">
        <v>116</v>
      </c>
      <c r="C16" s="21">
        <v>470</v>
      </c>
      <c r="D16" s="19"/>
      <c r="E16" s="22">
        <f>C16/(I16*2000)</f>
        <v>0.734375</v>
      </c>
      <c r="F16" s="23"/>
      <c r="G16" s="23"/>
      <c r="H16" s="23"/>
      <c r="I16" s="24">
        <v>0.32</v>
      </c>
      <c r="J16" s="24">
        <v>0</v>
      </c>
      <c r="K16" s="24">
        <v>0</v>
      </c>
      <c r="L16" s="25">
        <v>0</v>
      </c>
    </row>
    <row r="17" spans="2:13" x14ac:dyDescent="0.35">
      <c r="B17" s="18" t="s">
        <v>3</v>
      </c>
      <c r="C17" s="21">
        <v>830</v>
      </c>
      <c r="D17" s="19"/>
      <c r="E17" s="26">
        <f>I17*2000*C7</f>
        <v>107.3170731707317</v>
      </c>
      <c r="F17" s="27">
        <f>(C17-(C7*I17*2000))/(J17*2000)</f>
        <v>0.69488742964352723</v>
      </c>
      <c r="G17" s="23" t="s">
        <v>9</v>
      </c>
      <c r="H17" s="23" t="s">
        <v>9</v>
      </c>
      <c r="I17" s="24">
        <v>0.11</v>
      </c>
      <c r="J17" s="24">
        <v>0.52</v>
      </c>
      <c r="K17" s="24">
        <v>0</v>
      </c>
      <c r="L17" s="25">
        <v>0</v>
      </c>
    </row>
    <row r="18" spans="2:13" x14ac:dyDescent="0.35">
      <c r="B18" s="18" t="s">
        <v>4</v>
      </c>
      <c r="C18" s="21">
        <v>825</v>
      </c>
      <c r="D18" s="19"/>
      <c r="E18" s="26">
        <f>I18*2000*C7</f>
        <v>175.60975609756096</v>
      </c>
      <c r="F18" s="27">
        <f>(C18-(C7*I18*2000))/(J18*2000)</f>
        <v>0.70585896076352062</v>
      </c>
      <c r="G18" s="23" t="s">
        <v>9</v>
      </c>
      <c r="H18" s="23" t="s">
        <v>9</v>
      </c>
      <c r="I18" s="24">
        <v>0.18</v>
      </c>
      <c r="J18" s="24">
        <v>0.46</v>
      </c>
      <c r="K18" s="24">
        <v>0</v>
      </c>
      <c r="L18" s="25">
        <v>0</v>
      </c>
    </row>
    <row r="19" spans="2:13" x14ac:dyDescent="0.35">
      <c r="B19" s="18" t="s">
        <v>5</v>
      </c>
      <c r="C19" s="21">
        <v>620</v>
      </c>
      <c r="D19" s="19"/>
      <c r="E19" s="23" t="s">
        <v>9</v>
      </c>
      <c r="F19" s="23" t="s">
        <v>9</v>
      </c>
      <c r="G19" s="28">
        <f>C19/(K19*2000)</f>
        <v>0.51666666666666672</v>
      </c>
      <c r="H19" s="23" t="s">
        <v>9</v>
      </c>
      <c r="I19" s="24">
        <v>0</v>
      </c>
      <c r="J19" s="24">
        <v>0</v>
      </c>
      <c r="K19" s="24">
        <v>0.6</v>
      </c>
      <c r="L19" s="25">
        <v>0</v>
      </c>
    </row>
    <row r="20" spans="2:13" x14ac:dyDescent="0.35">
      <c r="B20" s="18" t="s">
        <v>10</v>
      </c>
      <c r="C20" s="21">
        <v>560</v>
      </c>
      <c r="D20" s="19"/>
      <c r="E20" s="26">
        <f>I20*2000*C7</f>
        <v>204.8780487804878</v>
      </c>
      <c r="F20" s="23" t="s">
        <v>9</v>
      </c>
      <c r="G20" s="23" t="s">
        <v>9</v>
      </c>
      <c r="H20" s="27">
        <f>(C20-(C7*I20*2000))/(L20*2000)</f>
        <v>0.73983739837398377</v>
      </c>
      <c r="I20" s="24">
        <v>0.21</v>
      </c>
      <c r="J20" s="24">
        <v>0</v>
      </c>
      <c r="K20" s="24">
        <v>0</v>
      </c>
      <c r="L20" s="25">
        <v>0.24</v>
      </c>
    </row>
    <row r="21" spans="2:13" x14ac:dyDescent="0.35">
      <c r="B21" s="14" t="s">
        <v>100</v>
      </c>
      <c r="C21" s="65">
        <v>800</v>
      </c>
      <c r="D21" s="15"/>
      <c r="E21" s="29" t="s">
        <v>9</v>
      </c>
      <c r="F21" s="29" t="s">
        <v>9</v>
      </c>
      <c r="G21" s="30">
        <f>K21*2000*G19</f>
        <v>516.66666666666674</v>
      </c>
      <c r="H21" s="31">
        <f>(C21-(C9*K21*2000))/(L21*2000)</f>
        <v>0.78703703703703687</v>
      </c>
      <c r="I21" s="32">
        <v>0</v>
      </c>
      <c r="J21" s="32">
        <v>0</v>
      </c>
      <c r="K21" s="32">
        <v>0.5</v>
      </c>
      <c r="L21" s="33">
        <v>0.18</v>
      </c>
    </row>
    <row r="22" spans="2:13" x14ac:dyDescent="0.35">
      <c r="E22" s="3"/>
      <c r="F22" s="1"/>
      <c r="G22" s="1"/>
      <c r="H22" s="1"/>
      <c r="I22" s="1"/>
      <c r="J22" s="4"/>
      <c r="K22" s="2"/>
    </row>
    <row r="23" spans="2:13" ht="21" x14ac:dyDescent="0.5">
      <c r="B23" s="72" t="s">
        <v>115</v>
      </c>
      <c r="E23" s="3"/>
      <c r="F23" s="1"/>
      <c r="G23" s="1"/>
      <c r="H23" s="1"/>
      <c r="I23" s="1"/>
      <c r="J23" s="4"/>
      <c r="K23" s="2"/>
    </row>
    <row r="24" spans="2:13" ht="9.65" customHeight="1" x14ac:dyDescent="0.5">
      <c r="B24" s="72"/>
      <c r="E24" s="3"/>
      <c r="F24" s="1"/>
      <c r="G24" s="1"/>
      <c r="H24" s="1"/>
      <c r="I24" s="1"/>
      <c r="J24" s="4"/>
      <c r="K24" s="2"/>
    </row>
    <row r="25" spans="2:13" s="40" customFormat="1" ht="21" x14ac:dyDescent="0.5">
      <c r="B25" s="51" t="s">
        <v>74</v>
      </c>
      <c r="M25" s="69"/>
    </row>
    <row r="26" spans="2:13" x14ac:dyDescent="0.35">
      <c r="B26" s="16" t="s">
        <v>95</v>
      </c>
      <c r="C26" s="16"/>
      <c r="D26" s="16"/>
      <c r="E26" s="16"/>
      <c r="F26" s="75"/>
      <c r="G26" s="75"/>
      <c r="H26" s="75"/>
      <c r="M26" s="70"/>
    </row>
    <row r="27" spans="2:13" x14ac:dyDescent="0.35">
      <c r="B27" s="18" t="s">
        <v>109</v>
      </c>
      <c r="E27" s="61">
        <v>18</v>
      </c>
      <c r="M27" s="70"/>
    </row>
    <row r="28" spans="2:13" x14ac:dyDescent="0.35">
      <c r="B28" s="18" t="s">
        <v>110</v>
      </c>
      <c r="E28" s="62">
        <v>1200</v>
      </c>
      <c r="F28" s="60"/>
      <c r="G28" s="60"/>
      <c r="H28" s="60"/>
      <c r="M28" s="70"/>
    </row>
    <row r="29" spans="2:13" x14ac:dyDescent="0.35">
      <c r="B29" s="18" t="s">
        <v>117</v>
      </c>
      <c r="E29" s="73">
        <v>1.5</v>
      </c>
      <c r="F29" s="77" t="str">
        <f>"A wheat yield of "&amp;ROUND('Nutrient Removal'!L10,0)&amp;" to "&amp;ROUND('Nutrient Removal'!L9,0)&amp;" bushels/acre would be expected from to produce "&amp;ROUND(E29,2)&amp;" tons/acre of straw."</f>
        <v>A wheat yield of 35 to 43 bushels/acre would be expected from to produce 1.5 tons/acre of straw.</v>
      </c>
      <c r="G29" s="60"/>
      <c r="H29" s="60"/>
      <c r="M29" s="70"/>
    </row>
    <row r="30" spans="2:13" x14ac:dyDescent="0.35">
      <c r="B30" s="14" t="s">
        <v>111</v>
      </c>
      <c r="E30" s="63">
        <v>0.15</v>
      </c>
      <c r="M30" s="70"/>
    </row>
    <row r="31" spans="2:13" x14ac:dyDescent="0.35">
      <c r="B31" s="67" t="s">
        <v>112</v>
      </c>
      <c r="E31" s="68">
        <v>0.75</v>
      </c>
      <c r="M31" s="70"/>
    </row>
    <row r="32" spans="2:13" ht="7" customHeight="1" x14ac:dyDescent="0.35">
      <c r="M32" s="70"/>
    </row>
    <row r="33" spans="1:13" x14ac:dyDescent="0.35">
      <c r="B33" s="16"/>
      <c r="C33" s="16" t="s">
        <v>101</v>
      </c>
      <c r="D33" s="16"/>
      <c r="E33" s="16" t="s">
        <v>102</v>
      </c>
      <c r="F33" s="80" t="s">
        <v>103</v>
      </c>
      <c r="G33" s="81"/>
      <c r="H33" s="81"/>
      <c r="M33" s="70"/>
    </row>
    <row r="34" spans="1:13" x14ac:dyDescent="0.35">
      <c r="B34" s="16" t="s">
        <v>79</v>
      </c>
      <c r="C34" s="16" t="s">
        <v>113</v>
      </c>
      <c r="D34" s="16"/>
      <c r="E34" s="16" t="s">
        <v>113</v>
      </c>
      <c r="F34" s="34" t="s">
        <v>82</v>
      </c>
      <c r="G34" s="34" t="s">
        <v>83</v>
      </c>
      <c r="H34" s="74" t="s">
        <v>118</v>
      </c>
      <c r="M34" s="70"/>
    </row>
    <row r="35" spans="1:13" x14ac:dyDescent="0.35">
      <c r="A35" s="2"/>
      <c r="B35" s="41" t="str">
        <f>"Nitrogen @ "&amp;DOLLAR($C$7)&amp;"/lb N"</f>
        <v>Nitrogen @ $0.49/lb N</v>
      </c>
      <c r="C35" s="52">
        <f>VLOOKUP(B$25,Table2[],3,FALSE)*IF(RIGHT(B25,4)="(DM)",E31,1)</f>
        <v>15</v>
      </c>
      <c r="D35" s="42"/>
      <c r="E35" s="43">
        <v>0</v>
      </c>
      <c r="F35" s="54">
        <f>IF(ISBLANK(E35),C35,E35)*C7</f>
        <v>0</v>
      </c>
      <c r="G35" s="46">
        <f>F35/2000*$E$28</f>
        <v>0</v>
      </c>
      <c r="H35" s="46">
        <f>F35*$E$29</f>
        <v>0</v>
      </c>
      <c r="M35" s="70"/>
    </row>
    <row r="36" spans="1:13" x14ac:dyDescent="0.35">
      <c r="A36" s="2"/>
      <c r="B36" s="41" t="str">
        <f>"Phosphate @ "&amp;DOLLAR($C$8)&amp;"/lb P2O5"</f>
        <v>Phosphate @ $0.69/lb P2O5</v>
      </c>
      <c r="C36" s="52">
        <f>VLOOKUP(B$25,Table2[],4,FALSE)*IF(RIGHT(B25,4)="(DM)",E31,1)</f>
        <v>3.7</v>
      </c>
      <c r="D36" s="42"/>
      <c r="E36" s="43"/>
      <c r="F36" s="54">
        <f>IF(ISBLANK(E36),C36,E36)*C8</f>
        <v>2.571083489681051</v>
      </c>
      <c r="G36" s="46">
        <f>F36/2000*$E$28</f>
        <v>1.5426500938086305</v>
      </c>
      <c r="H36" s="46">
        <f t="shared" ref="H36:H38" si="0">F36*$E$29</f>
        <v>3.8566252345215766</v>
      </c>
      <c r="M36" s="70"/>
    </row>
    <row r="37" spans="1:13" x14ac:dyDescent="0.35">
      <c r="A37" s="2"/>
      <c r="B37" s="45" t="str">
        <f>"Potassium @ "&amp;DOLLAR($C$9)&amp;"/lb K2O"</f>
        <v>Potassium @ $0.52/lb K2O</v>
      </c>
      <c r="C37" s="53">
        <f>VLOOKUP(B$25,Table2[],5,FALSE)*IF(RIGHT(B25,4)="(DM)",E31,1)</f>
        <v>29</v>
      </c>
      <c r="D37" s="42"/>
      <c r="E37" s="47"/>
      <c r="F37" s="46">
        <f>IF(ISBLANK(E37),C37,E37)*C9</f>
        <v>14.983333333333334</v>
      </c>
      <c r="G37" s="46">
        <f>F37/2000*$E$28</f>
        <v>8.99</v>
      </c>
      <c r="H37" s="46">
        <f t="shared" si="0"/>
        <v>22.475000000000001</v>
      </c>
      <c r="M37" s="70"/>
    </row>
    <row r="38" spans="1:13" x14ac:dyDescent="0.35">
      <c r="A38" s="2"/>
      <c r="B38" s="41" t="str">
        <f>"Sulfur @ "&amp;DOLLAR($C$10)&amp;"/lb S"</f>
        <v>Sulfur @ $0.74/lb S</v>
      </c>
      <c r="C38" s="52">
        <f>IF(VLOOKUP(B$25,Table2[],6,FALSE)="","no book value available",VLOOKUP(B$25,Table2[],6,FALSE)*IF(RIGHT(B25,4)="(DM)",E31,1))</f>
        <v>5.4</v>
      </c>
      <c r="D38" s="42"/>
      <c r="E38" s="43"/>
      <c r="F38" s="54">
        <f>IF(ISTEXT(C38),0,IF(ISBLANK(E38),C38,E38)*C10)</f>
        <v>3.9951219512195126</v>
      </c>
      <c r="G38" s="46">
        <f>F38/2000*$E$28</f>
        <v>2.3970731707317077</v>
      </c>
      <c r="H38" s="46">
        <f t="shared" si="0"/>
        <v>5.9926829268292687</v>
      </c>
      <c r="M38" s="70"/>
    </row>
    <row r="39" spans="1:13" x14ac:dyDescent="0.35">
      <c r="B39" s="16" t="s">
        <v>114</v>
      </c>
      <c r="C39" s="16"/>
      <c r="D39" s="16"/>
      <c r="E39" s="16"/>
      <c r="F39" s="55">
        <f>SUM(F35:F38)</f>
        <v>21.549538774233898</v>
      </c>
      <c r="G39" s="55">
        <f>F39/2000*$E$28</f>
        <v>12.929723264540339</v>
      </c>
      <c r="H39" s="55">
        <f>SUM(H35:H38)</f>
        <v>32.324308161350849</v>
      </c>
      <c r="M39" s="70"/>
    </row>
    <row r="40" spans="1:13" x14ac:dyDescent="0.35">
      <c r="B40" s="18"/>
      <c r="C40" s="24"/>
      <c r="D40" s="19"/>
      <c r="E40" s="48"/>
      <c r="F40" s="57"/>
      <c r="G40" s="56"/>
      <c r="H40" s="56"/>
      <c r="M40" s="70"/>
    </row>
    <row r="41" spans="1:13" x14ac:dyDescent="0.35">
      <c r="B41" s="58" t="s">
        <v>84</v>
      </c>
      <c r="C41" s="59"/>
      <c r="D41" s="49"/>
      <c r="E41" s="50"/>
      <c r="F41" s="56">
        <f>G41/$E$28*2000</f>
        <v>30</v>
      </c>
      <c r="G41" s="44">
        <f>$E$27</f>
        <v>18</v>
      </c>
      <c r="H41" s="44">
        <f>F41*E29</f>
        <v>45</v>
      </c>
      <c r="M41" s="70"/>
    </row>
    <row r="42" spans="1:13" x14ac:dyDescent="0.35">
      <c r="B42" s="16" t="s">
        <v>85</v>
      </c>
      <c r="C42" s="16"/>
      <c r="D42" s="16"/>
      <c r="E42" s="16"/>
      <c r="F42" s="55">
        <f>F39+F41</f>
        <v>51.549538774233895</v>
      </c>
      <c r="G42" s="55">
        <f>G39+G41</f>
        <v>30.929723264540339</v>
      </c>
      <c r="H42" s="55">
        <f>H39+H41</f>
        <v>77.324308161350842</v>
      </c>
      <c r="M42" s="70"/>
    </row>
    <row r="43" spans="1:13" x14ac:dyDescent="0.35">
      <c r="B43" s="18"/>
      <c r="C43" s="24"/>
      <c r="D43" s="19"/>
      <c r="E43" s="48"/>
      <c r="F43" s="57"/>
      <c r="G43" s="56"/>
      <c r="H43" s="56"/>
      <c r="M43" s="70"/>
    </row>
    <row r="44" spans="1:13" x14ac:dyDescent="0.35">
      <c r="B44" s="58" t="s">
        <v>86</v>
      </c>
      <c r="C44" s="59"/>
      <c r="D44" s="49"/>
      <c r="E44" s="50"/>
      <c r="F44" s="56">
        <f>F42*E30</f>
        <v>7.7324308161350839</v>
      </c>
      <c r="G44" s="44">
        <f>G42*$E$30</f>
        <v>4.6394584896810507</v>
      </c>
      <c r="H44" s="44">
        <f>H42*$E$30</f>
        <v>11.598646224202627</v>
      </c>
      <c r="M44" s="70"/>
    </row>
    <row r="45" spans="1:13" x14ac:dyDescent="0.35">
      <c r="B45" s="16" t="s">
        <v>87</v>
      </c>
      <c r="C45" s="16"/>
      <c r="D45" s="16"/>
      <c r="E45" s="16"/>
      <c r="F45" s="55">
        <f>F44+F42</f>
        <v>59.281969590368981</v>
      </c>
      <c r="G45" s="55">
        <f>G44+G42</f>
        <v>35.56918175422139</v>
      </c>
      <c r="H45" s="55">
        <f>H44+H42</f>
        <v>88.922954385553467</v>
      </c>
      <c r="M45" s="70"/>
    </row>
    <row r="46" spans="1:13" ht="7.5" customHeight="1" x14ac:dyDescent="0.35"/>
    <row r="47" spans="1:13" s="71" customFormat="1" ht="7" customHeight="1" x14ac:dyDescent="0.35"/>
    <row r="48" spans="1:13" ht="7" customHeight="1" x14ac:dyDescent="0.35"/>
  </sheetData>
  <mergeCells count="3">
    <mergeCell ref="I12:L12"/>
    <mergeCell ref="F33:H33"/>
    <mergeCell ref="E12:H12"/>
  </mergeCells>
  <conditionalFormatting sqref="E31">
    <cfRule type="expression" dxfId="13" priority="19">
      <formula>RIGHT($B$25,4)="(DM)"</formula>
    </cfRule>
  </conditionalFormatting>
  <conditionalFormatting sqref="B31">
    <cfRule type="expression" dxfId="12" priority="20">
      <formula>RIGHT($B$25,4)="(DM)"</formula>
    </cfRule>
  </conditionalFormatting>
  <conditionalFormatting sqref="F29">
    <cfRule type="expression" dxfId="11" priority="1">
      <formula>$B$25="wheat straw"</formula>
    </cfRule>
  </conditionalFormatting>
  <dataValidations count="3">
    <dataValidation type="list" allowBlank="1" showInputMessage="1" showErrorMessage="1" sqref="B7" xr:uid="{87FB37F3-49B5-4763-898B-7BF60821B123}">
      <formula1>$B$14:$B$16</formula1>
    </dataValidation>
    <dataValidation type="list" allowBlank="1" showInputMessage="1" showErrorMessage="1" sqref="B8" xr:uid="{9E55929E-E0CF-4869-A0E9-6A90B4D60A52}">
      <formula1>$B$17:$B$18</formula1>
    </dataValidation>
    <dataValidation type="list" allowBlank="1" showInputMessage="1" showErrorMessage="1" sqref="B10" xr:uid="{C5CF1DBC-EE66-4EAA-B158-DD091598D3B6}">
      <formula1>$B$20:$B$21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1058EFD-C2A4-4520-B9F8-138ABEC7EA6E}">
          <x14:formula1>
            <xm:f>'Nutrient Removal'!$A$7:$A$38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8BBEB-E928-4CDF-8C20-6611263BBFDE}">
  <dimension ref="A2:M72"/>
  <sheetViews>
    <sheetView workbookViewId="0">
      <selection activeCell="L13" sqref="L13"/>
    </sheetView>
  </sheetViews>
  <sheetFormatPr defaultRowHeight="14.5" x14ac:dyDescent="0.35"/>
  <cols>
    <col min="1" max="1" width="32.7265625" bestFit="1" customWidth="1"/>
    <col min="2" max="3" width="10.7265625" bestFit="1" customWidth="1"/>
    <col min="4" max="4" width="13.7265625" customWidth="1"/>
    <col min="5" max="6" width="10.7265625" bestFit="1" customWidth="1"/>
  </cols>
  <sheetData>
    <row r="2" spans="1:13" x14ac:dyDescent="0.35">
      <c r="A2" t="s">
        <v>77</v>
      </c>
    </row>
    <row r="3" spans="1:13" x14ac:dyDescent="0.35">
      <c r="A3" t="s">
        <v>78</v>
      </c>
    </row>
    <row r="5" spans="1:13" x14ac:dyDescent="0.35">
      <c r="A5" s="6"/>
      <c r="B5" s="7"/>
      <c r="C5" s="7"/>
      <c r="D5" s="7" t="s">
        <v>12</v>
      </c>
      <c r="E5" s="7"/>
      <c r="F5" s="8"/>
    </row>
    <row r="6" spans="1:13" ht="16.5" x14ac:dyDescent="0.45">
      <c r="A6" t="s">
        <v>13</v>
      </c>
      <c r="B6" t="s">
        <v>14</v>
      </c>
      <c r="C6" t="s">
        <v>6</v>
      </c>
      <c r="D6" s="5" t="s">
        <v>7</v>
      </c>
      <c r="E6" s="5" t="s">
        <v>8</v>
      </c>
      <c r="F6" t="s">
        <v>11</v>
      </c>
      <c r="G6" t="s">
        <v>81</v>
      </c>
      <c r="H6" t="s">
        <v>107</v>
      </c>
    </row>
    <row r="7" spans="1:13" x14ac:dyDescent="0.35">
      <c r="A7" s="7" t="s">
        <v>15</v>
      </c>
      <c r="B7" s="7" t="s">
        <v>16</v>
      </c>
      <c r="C7" s="7">
        <v>51</v>
      </c>
      <c r="D7" s="7">
        <v>12</v>
      </c>
      <c r="E7" s="7">
        <v>49</v>
      </c>
      <c r="F7" s="7">
        <v>5.4</v>
      </c>
      <c r="G7" s="10" t="s">
        <v>80</v>
      </c>
      <c r="H7" s="10" t="s">
        <v>108</v>
      </c>
    </row>
    <row r="8" spans="1:13" x14ac:dyDescent="0.35">
      <c r="A8" s="9" t="s">
        <v>17</v>
      </c>
      <c r="B8" s="9" t="s">
        <v>16</v>
      </c>
      <c r="C8" s="9">
        <v>41</v>
      </c>
      <c r="D8" s="9">
        <v>11</v>
      </c>
      <c r="E8" s="9">
        <v>54</v>
      </c>
      <c r="F8" s="9">
        <v>3</v>
      </c>
      <c r="G8" s="10" t="s">
        <v>80</v>
      </c>
      <c r="H8" s="10" t="s">
        <v>108</v>
      </c>
      <c r="K8" t="s">
        <v>119</v>
      </c>
      <c r="M8" t="s">
        <v>120</v>
      </c>
    </row>
    <row r="9" spans="1:13" x14ac:dyDescent="0.35">
      <c r="A9" s="7" t="s">
        <v>18</v>
      </c>
      <c r="B9" s="7" t="s">
        <v>16</v>
      </c>
      <c r="C9" s="7">
        <v>43</v>
      </c>
      <c r="D9" s="7">
        <v>12</v>
      </c>
      <c r="E9" s="7">
        <v>35</v>
      </c>
      <c r="F9" s="7" t="s">
        <v>19</v>
      </c>
      <c r="G9" s="10" t="s">
        <v>80</v>
      </c>
      <c r="H9" s="10" t="s">
        <v>108</v>
      </c>
      <c r="K9">
        <v>70</v>
      </c>
      <c r="L9" s="76">
        <f>Sheet1!$E$29*2000/K9</f>
        <v>42.857142857142854</v>
      </c>
    </row>
    <row r="10" spans="1:13" x14ac:dyDescent="0.35">
      <c r="A10" s="9" t="s">
        <v>22</v>
      </c>
      <c r="B10" s="9" t="s">
        <v>16</v>
      </c>
      <c r="C10" s="9">
        <v>13</v>
      </c>
      <c r="D10" s="9">
        <v>5.0999999999999996</v>
      </c>
      <c r="E10" s="9">
        <v>39</v>
      </c>
      <c r="F10" s="9">
        <v>3</v>
      </c>
      <c r="G10" s="10" t="s">
        <v>80</v>
      </c>
      <c r="H10" s="10" t="s">
        <v>108</v>
      </c>
      <c r="K10">
        <v>85</v>
      </c>
      <c r="L10" s="76">
        <f>Sheet1!$E$29*2000/K10</f>
        <v>35.294117647058826</v>
      </c>
    </row>
    <row r="11" spans="1:13" x14ac:dyDescent="0.35">
      <c r="A11" s="9" t="s">
        <v>24</v>
      </c>
      <c r="B11" s="9" t="s">
        <v>16</v>
      </c>
      <c r="C11" s="9">
        <v>46</v>
      </c>
      <c r="D11" s="9">
        <v>12</v>
      </c>
      <c r="E11" s="9">
        <v>50</v>
      </c>
      <c r="F11" s="9" t="s">
        <v>19</v>
      </c>
      <c r="G11" s="10" t="str">
        <f>IF(Table2[[#This Row],[Unit]]="ton","forage","")</f>
        <v>forage</v>
      </c>
      <c r="H11" s="10" t="s">
        <v>108</v>
      </c>
    </row>
    <row r="12" spans="1:13" x14ac:dyDescent="0.35">
      <c r="A12" s="7" t="s">
        <v>25</v>
      </c>
      <c r="B12" s="7" t="s">
        <v>16</v>
      </c>
      <c r="C12" s="7">
        <v>45</v>
      </c>
      <c r="D12" s="7">
        <v>11</v>
      </c>
      <c r="E12" s="7">
        <v>42</v>
      </c>
      <c r="F12" s="7" t="s">
        <v>19</v>
      </c>
      <c r="G12" s="10" t="str">
        <f>IF(Table2[[#This Row],[Unit]]="ton","forage","")</f>
        <v>forage</v>
      </c>
      <c r="H12" s="10" t="s">
        <v>108</v>
      </c>
    </row>
    <row r="13" spans="1:13" x14ac:dyDescent="0.35">
      <c r="A13" s="9" t="s">
        <v>26</v>
      </c>
      <c r="B13" s="9" t="s">
        <v>16</v>
      </c>
      <c r="C13" s="9">
        <v>30</v>
      </c>
      <c r="D13" s="9">
        <v>12</v>
      </c>
      <c r="E13" s="9">
        <v>46</v>
      </c>
      <c r="F13" s="9">
        <v>5</v>
      </c>
      <c r="G13" s="10" t="str">
        <f>IF(Table2[[#This Row],[Unit]]="ton","forage","")</f>
        <v>forage</v>
      </c>
      <c r="H13" s="10" t="s">
        <v>108</v>
      </c>
    </row>
    <row r="14" spans="1:13" x14ac:dyDescent="0.35">
      <c r="A14" s="7" t="s">
        <v>27</v>
      </c>
      <c r="B14" s="7" t="s">
        <v>16</v>
      </c>
      <c r="C14" s="7">
        <v>32</v>
      </c>
      <c r="D14" s="7">
        <v>10</v>
      </c>
      <c r="E14" s="7">
        <v>46</v>
      </c>
      <c r="F14" s="7">
        <v>5</v>
      </c>
      <c r="G14" s="10" t="str">
        <f>IF(Table2[[#This Row],[Unit]]="ton","forage","")</f>
        <v>forage</v>
      </c>
      <c r="H14" s="10" t="s">
        <v>108</v>
      </c>
    </row>
    <row r="15" spans="1:13" x14ac:dyDescent="0.35">
      <c r="A15" s="9" t="s">
        <v>31</v>
      </c>
      <c r="B15" s="9" t="s">
        <v>16</v>
      </c>
      <c r="C15" s="9">
        <v>9.6999999999999993</v>
      </c>
      <c r="D15" s="9">
        <v>3.1</v>
      </c>
      <c r="E15" s="9">
        <v>7.3</v>
      </c>
      <c r="F15" s="9">
        <v>1.1000000000000001</v>
      </c>
      <c r="G15" s="10" t="str">
        <f>IF(Table2[[#This Row],[Unit]]="ton","forage","")</f>
        <v>forage</v>
      </c>
      <c r="H15" s="10" t="s">
        <v>108</v>
      </c>
    </row>
    <row r="16" spans="1:13" x14ac:dyDescent="0.35">
      <c r="A16" s="9" t="s">
        <v>32</v>
      </c>
      <c r="B16" s="9" t="s">
        <v>16</v>
      </c>
      <c r="C16" s="9">
        <v>16</v>
      </c>
      <c r="D16" s="9">
        <v>5.8</v>
      </c>
      <c r="E16" s="9">
        <v>40</v>
      </c>
      <c r="F16" s="9">
        <v>2.6</v>
      </c>
      <c r="G16" s="10" t="str">
        <f>IF(Table2[[#This Row],[Unit]]="ton","forage","")</f>
        <v>forage</v>
      </c>
      <c r="H16" s="10" t="s">
        <v>108</v>
      </c>
    </row>
    <row r="17" spans="1:8" x14ac:dyDescent="0.35">
      <c r="A17" s="9" t="s">
        <v>35</v>
      </c>
      <c r="B17" s="9" t="s">
        <v>16</v>
      </c>
      <c r="C17" s="9">
        <v>19</v>
      </c>
      <c r="D17" s="9">
        <v>6.7</v>
      </c>
      <c r="E17" s="9">
        <v>22</v>
      </c>
      <c r="F17" s="9" t="s">
        <v>19</v>
      </c>
      <c r="G17" s="10" t="str">
        <f>IF(Table2[[#This Row],[Unit]]="ton","forage","")</f>
        <v>forage</v>
      </c>
      <c r="H17" s="10" t="s">
        <v>108</v>
      </c>
    </row>
    <row r="18" spans="1:8" x14ac:dyDescent="0.35">
      <c r="A18" s="7" t="s">
        <v>36</v>
      </c>
      <c r="B18" s="7" t="s">
        <v>16</v>
      </c>
      <c r="C18" s="7">
        <v>37</v>
      </c>
      <c r="D18" s="7">
        <v>12</v>
      </c>
      <c r="E18" s="7">
        <v>54</v>
      </c>
      <c r="F18" s="7">
        <v>5.7</v>
      </c>
      <c r="G18" s="10" t="str">
        <f>IF(Table2[[#This Row],[Unit]]="ton","forage","")</f>
        <v>forage</v>
      </c>
      <c r="H18" s="10" t="s">
        <v>108</v>
      </c>
    </row>
    <row r="19" spans="1:8" x14ac:dyDescent="0.35">
      <c r="A19" s="7" t="s">
        <v>104</v>
      </c>
      <c r="B19" s="7" t="s">
        <v>16</v>
      </c>
      <c r="C19" s="7">
        <v>13.6</v>
      </c>
      <c r="D19" s="7">
        <v>3.6</v>
      </c>
      <c r="E19" s="7">
        <v>45.4</v>
      </c>
      <c r="F19" s="7">
        <v>2.7</v>
      </c>
      <c r="G19" s="7" t="s">
        <v>105</v>
      </c>
      <c r="H19" s="10" t="s">
        <v>106</v>
      </c>
    </row>
    <row r="20" spans="1:8" x14ac:dyDescent="0.35">
      <c r="A20" s="7" t="s">
        <v>40</v>
      </c>
      <c r="B20" s="7" t="s">
        <v>16</v>
      </c>
      <c r="C20" s="7">
        <v>15</v>
      </c>
      <c r="D20" s="7">
        <v>4.3</v>
      </c>
      <c r="E20" s="7">
        <v>39</v>
      </c>
      <c r="F20" s="7" t="s">
        <v>19</v>
      </c>
      <c r="G20" s="10" t="str">
        <f>IF(Table2[[#This Row],[Unit]]="ton","forage","")</f>
        <v>forage</v>
      </c>
      <c r="H20" s="10" t="s">
        <v>108</v>
      </c>
    </row>
    <row r="21" spans="1:8" x14ac:dyDescent="0.35">
      <c r="A21" s="7" t="s">
        <v>44</v>
      </c>
      <c r="B21" s="7" t="s">
        <v>16</v>
      </c>
      <c r="C21" s="7">
        <v>12</v>
      </c>
      <c r="D21" s="7">
        <v>6.3</v>
      </c>
      <c r="E21" s="7">
        <v>37</v>
      </c>
      <c r="F21" s="7">
        <v>4.5</v>
      </c>
      <c r="G21" s="10" t="str">
        <f>IF(Table2[[#This Row],[Unit]]="ton","forage","")</f>
        <v>forage</v>
      </c>
      <c r="H21" s="10" t="s">
        <v>108</v>
      </c>
    </row>
    <row r="22" spans="1:8" x14ac:dyDescent="0.35">
      <c r="A22" s="9" t="s">
        <v>45</v>
      </c>
      <c r="B22" s="9" t="s">
        <v>16</v>
      </c>
      <c r="C22" s="9">
        <v>36</v>
      </c>
      <c r="D22" s="9">
        <v>13</v>
      </c>
      <c r="E22" s="9">
        <v>54</v>
      </c>
      <c r="F22" s="9">
        <v>5.8</v>
      </c>
      <c r="G22" s="10" t="str">
        <f>IF(Table2[[#This Row],[Unit]]="ton","forage","")</f>
        <v>forage</v>
      </c>
      <c r="H22" s="10" t="s">
        <v>108</v>
      </c>
    </row>
    <row r="23" spans="1:8" x14ac:dyDescent="0.35">
      <c r="A23" s="7" t="s">
        <v>46</v>
      </c>
      <c r="B23" s="7" t="s">
        <v>16</v>
      </c>
      <c r="C23" s="7">
        <v>70</v>
      </c>
      <c r="D23" s="7">
        <v>11</v>
      </c>
      <c r="E23" s="7">
        <v>17</v>
      </c>
      <c r="F23" s="7" t="s">
        <v>19</v>
      </c>
      <c r="G23" s="10" t="str">
        <f>IF(Table2[[#This Row],[Unit]]="ton","forage","")</f>
        <v>forage</v>
      </c>
      <c r="H23" s="10" t="s">
        <v>108</v>
      </c>
    </row>
    <row r="24" spans="1:8" x14ac:dyDescent="0.35">
      <c r="A24" s="9" t="s">
        <v>47</v>
      </c>
      <c r="B24" s="9" t="s">
        <v>16</v>
      </c>
      <c r="C24" s="9">
        <v>33</v>
      </c>
      <c r="D24" s="9">
        <v>6.8</v>
      </c>
      <c r="E24" s="9">
        <v>24</v>
      </c>
      <c r="F24" s="9" t="s">
        <v>19</v>
      </c>
      <c r="G24" s="10" t="str">
        <f>IF(Table2[[#This Row],[Unit]]="ton","forage","")</f>
        <v>forage</v>
      </c>
      <c r="H24" s="10" t="s">
        <v>108</v>
      </c>
    </row>
    <row r="25" spans="1:8" x14ac:dyDescent="0.35">
      <c r="A25" s="7" t="s">
        <v>51</v>
      </c>
      <c r="B25" s="7" t="s">
        <v>16</v>
      </c>
      <c r="C25" s="7">
        <v>45</v>
      </c>
      <c r="D25" s="7">
        <v>12</v>
      </c>
      <c r="E25" s="7">
        <v>42</v>
      </c>
      <c r="F25" s="7">
        <v>3</v>
      </c>
      <c r="G25" s="10" t="str">
        <f>IF(Table2[[#This Row],[Unit]]="ton","forage","")</f>
        <v>forage</v>
      </c>
      <c r="H25" s="10" t="s">
        <v>108</v>
      </c>
    </row>
    <row r="26" spans="1:8" x14ac:dyDescent="0.35">
      <c r="A26" s="9" t="s">
        <v>52</v>
      </c>
      <c r="B26" s="9" t="s">
        <v>16</v>
      </c>
      <c r="C26" s="9">
        <v>31</v>
      </c>
      <c r="D26" s="9">
        <v>13</v>
      </c>
      <c r="E26" s="9">
        <v>25</v>
      </c>
      <c r="F26" s="9" t="s">
        <v>19</v>
      </c>
      <c r="G26" s="10" t="str">
        <f>IF(Table2[[#This Row],[Unit]]="ton","forage","")</f>
        <v>forage</v>
      </c>
      <c r="H26" s="10" t="s">
        <v>108</v>
      </c>
    </row>
    <row r="27" spans="1:8" x14ac:dyDescent="0.35">
      <c r="A27" s="9" t="s">
        <v>54</v>
      </c>
      <c r="B27" s="9" t="s">
        <v>16</v>
      </c>
      <c r="C27" s="9">
        <v>17</v>
      </c>
      <c r="D27" s="9">
        <v>5.5</v>
      </c>
      <c r="E27" s="9">
        <v>41</v>
      </c>
      <c r="F27" s="9" t="s">
        <v>19</v>
      </c>
      <c r="G27" s="10" t="str">
        <f>IF(Table2[[#This Row],[Unit]]="ton","forage","")</f>
        <v>forage</v>
      </c>
      <c r="H27" s="10" t="s">
        <v>108</v>
      </c>
    </row>
    <row r="28" spans="1:8" x14ac:dyDescent="0.35">
      <c r="A28" s="7" t="s">
        <v>56</v>
      </c>
      <c r="B28" s="7" t="s">
        <v>16</v>
      </c>
      <c r="C28" s="7">
        <v>12</v>
      </c>
      <c r="D28" s="7">
        <v>3</v>
      </c>
      <c r="E28" s="7">
        <v>22</v>
      </c>
      <c r="F28" s="7">
        <v>2</v>
      </c>
      <c r="G28" s="10" t="str">
        <f>IF(Table2[[#This Row],[Unit]]="ton","forage","")</f>
        <v>forage</v>
      </c>
      <c r="H28" s="10" t="s">
        <v>108</v>
      </c>
    </row>
    <row r="29" spans="1:8" x14ac:dyDescent="0.35">
      <c r="A29" s="9" t="s">
        <v>57</v>
      </c>
      <c r="B29" s="9" t="s">
        <v>16</v>
      </c>
      <c r="C29" s="9">
        <v>43</v>
      </c>
      <c r="D29" s="9">
        <v>12</v>
      </c>
      <c r="E29" s="9">
        <v>43</v>
      </c>
      <c r="F29" s="9" t="s">
        <v>19</v>
      </c>
      <c r="G29" s="10" t="str">
        <f>IF(Table2[[#This Row],[Unit]]="ton","forage","")</f>
        <v>forage</v>
      </c>
      <c r="H29" s="10" t="s">
        <v>108</v>
      </c>
    </row>
    <row r="30" spans="1:8" x14ac:dyDescent="0.35">
      <c r="A30" s="7" t="s">
        <v>59</v>
      </c>
      <c r="B30" s="7" t="s">
        <v>16</v>
      </c>
      <c r="C30" s="7">
        <v>28</v>
      </c>
      <c r="D30" s="7">
        <v>8.3000000000000007</v>
      </c>
      <c r="E30" s="7">
        <v>42</v>
      </c>
      <c r="F30" s="7">
        <v>5.9</v>
      </c>
      <c r="G30" s="10" t="str">
        <f>IF(Table2[[#This Row],[Unit]]="ton","forage","")</f>
        <v>forage</v>
      </c>
      <c r="H30" s="10" t="s">
        <v>108</v>
      </c>
    </row>
    <row r="31" spans="1:8" x14ac:dyDescent="0.35">
      <c r="A31" s="9" t="s">
        <v>60</v>
      </c>
      <c r="B31" s="9" t="s">
        <v>16</v>
      </c>
      <c r="C31" s="9">
        <v>30</v>
      </c>
      <c r="D31" s="9">
        <v>9.5</v>
      </c>
      <c r="E31" s="9">
        <v>34</v>
      </c>
      <c r="F31" s="9">
        <v>5.8</v>
      </c>
      <c r="G31" s="10" t="str">
        <f>IF(Table2[[#This Row],[Unit]]="ton","forage","")</f>
        <v>forage</v>
      </c>
      <c r="H31" s="10" t="s">
        <v>108</v>
      </c>
    </row>
    <row r="32" spans="1:8" x14ac:dyDescent="0.35">
      <c r="A32" s="9" t="s">
        <v>62</v>
      </c>
      <c r="B32" s="9" t="s">
        <v>16</v>
      </c>
      <c r="C32" s="9">
        <v>45</v>
      </c>
      <c r="D32" s="9">
        <v>11</v>
      </c>
      <c r="E32" s="9">
        <v>25</v>
      </c>
      <c r="F32" s="9">
        <v>5</v>
      </c>
      <c r="G32" s="10" t="str">
        <f>IF(Table2[[#This Row],[Unit]]="ton","forage","")</f>
        <v>forage</v>
      </c>
      <c r="H32" s="10" t="s">
        <v>108</v>
      </c>
    </row>
    <row r="33" spans="1:8" x14ac:dyDescent="0.35">
      <c r="A33" s="9" t="s">
        <v>63</v>
      </c>
      <c r="B33" s="9" t="s">
        <v>16</v>
      </c>
      <c r="C33" s="9">
        <v>40</v>
      </c>
      <c r="D33" s="9">
        <v>8.8000000000000007</v>
      </c>
      <c r="E33" s="9">
        <v>37</v>
      </c>
      <c r="F33" s="9">
        <v>6.2</v>
      </c>
      <c r="G33" s="10" t="str">
        <f>IF(Table2[[#This Row],[Unit]]="ton","forage","")</f>
        <v>forage</v>
      </c>
      <c r="H33" s="10" t="s">
        <v>108</v>
      </c>
    </row>
    <row r="34" spans="1:8" x14ac:dyDescent="0.35">
      <c r="A34" s="9" t="s">
        <v>68</v>
      </c>
      <c r="B34" s="9" t="s">
        <v>16</v>
      </c>
      <c r="C34" s="9">
        <v>23</v>
      </c>
      <c r="D34" s="9">
        <v>2</v>
      </c>
      <c r="E34" s="9">
        <v>34</v>
      </c>
      <c r="F34" s="9">
        <v>5</v>
      </c>
      <c r="G34" s="10" t="str">
        <f>IF(Table2[[#This Row],[Unit]]="ton","forage","")</f>
        <v>forage</v>
      </c>
      <c r="H34" s="10" t="s">
        <v>108</v>
      </c>
    </row>
    <row r="35" spans="1:8" x14ac:dyDescent="0.35">
      <c r="A35" s="7" t="s">
        <v>69</v>
      </c>
      <c r="B35" s="7" t="s">
        <v>16</v>
      </c>
      <c r="C35" s="7">
        <v>22</v>
      </c>
      <c r="D35" s="7">
        <v>12</v>
      </c>
      <c r="E35" s="7">
        <v>58</v>
      </c>
      <c r="F35" s="7" t="s">
        <v>19</v>
      </c>
      <c r="G35" s="10" t="str">
        <f>IF(Table2[[#This Row],[Unit]]="ton","forage","")</f>
        <v>forage</v>
      </c>
      <c r="H35" s="10" t="s">
        <v>108</v>
      </c>
    </row>
    <row r="36" spans="1:8" x14ac:dyDescent="0.35">
      <c r="A36" s="9" t="s">
        <v>70</v>
      </c>
      <c r="B36" s="9" t="s">
        <v>16</v>
      </c>
      <c r="C36" s="9">
        <v>25</v>
      </c>
      <c r="D36" s="9">
        <v>11</v>
      </c>
      <c r="E36" s="9">
        <v>42</v>
      </c>
      <c r="F36" s="9">
        <v>2</v>
      </c>
      <c r="G36" s="10" t="str">
        <f>IF(Table2[[#This Row],[Unit]]="ton","forage","")</f>
        <v>forage</v>
      </c>
      <c r="H36" s="10" t="s">
        <v>108</v>
      </c>
    </row>
    <row r="37" spans="1:8" x14ac:dyDescent="0.35">
      <c r="A37" s="7" t="s">
        <v>73</v>
      </c>
      <c r="B37" s="7" t="s">
        <v>16</v>
      </c>
      <c r="C37" s="7">
        <v>57</v>
      </c>
      <c r="D37" s="7">
        <v>15</v>
      </c>
      <c r="E37" s="7">
        <v>49</v>
      </c>
      <c r="F37" s="7" t="s">
        <v>19</v>
      </c>
      <c r="G37" s="10" t="str">
        <f>IF(Table2[[#This Row],[Unit]]="ton","forage","")</f>
        <v>forage</v>
      </c>
      <c r="H37" s="10" t="s">
        <v>108</v>
      </c>
    </row>
    <row r="38" spans="1:8" x14ac:dyDescent="0.35">
      <c r="A38" s="7" t="s">
        <v>74</v>
      </c>
      <c r="B38" s="7" t="s">
        <v>16</v>
      </c>
      <c r="C38" s="7">
        <v>15</v>
      </c>
      <c r="D38" s="7">
        <v>3.7</v>
      </c>
      <c r="E38" s="7">
        <v>29</v>
      </c>
      <c r="F38" s="7">
        <v>5.4</v>
      </c>
      <c r="G38" s="10" t="str">
        <f>IF(Table2[[#This Row],[Unit]]="ton","forage","")</f>
        <v>forage</v>
      </c>
      <c r="H38" s="10" t="s">
        <v>108</v>
      </c>
    </row>
    <row r="39" spans="1:8" x14ac:dyDescent="0.35">
      <c r="A39" s="9" t="s">
        <v>28</v>
      </c>
      <c r="B39" s="9" t="s">
        <v>21</v>
      </c>
      <c r="C39" s="9">
        <v>0.83</v>
      </c>
      <c r="D39" s="9">
        <v>0.25</v>
      </c>
      <c r="E39" s="9">
        <v>0.22</v>
      </c>
      <c r="F39" s="9" t="s">
        <v>19</v>
      </c>
      <c r="G39" s="10" t="str">
        <f>IF(Table2[[#This Row],[Unit]]="ton","forage","")</f>
        <v/>
      </c>
      <c r="H39" s="10" t="s">
        <v>108</v>
      </c>
    </row>
    <row r="40" spans="1:8" x14ac:dyDescent="0.35">
      <c r="A40" s="7" t="s">
        <v>29</v>
      </c>
      <c r="B40" s="7" t="s">
        <v>21</v>
      </c>
      <c r="C40" s="7">
        <v>1.6</v>
      </c>
      <c r="D40" s="7">
        <v>0.8</v>
      </c>
      <c r="E40" s="7">
        <v>0.4</v>
      </c>
      <c r="F40" s="7">
        <v>0.25</v>
      </c>
      <c r="G40" s="10" t="str">
        <f>IF(Table2[[#This Row],[Unit]]="ton","forage","")</f>
        <v/>
      </c>
      <c r="H40" s="10" t="s">
        <v>108</v>
      </c>
    </row>
    <row r="41" spans="1:8" x14ac:dyDescent="0.35">
      <c r="A41" s="9" t="s">
        <v>30</v>
      </c>
      <c r="B41" s="9" t="s">
        <v>21</v>
      </c>
      <c r="C41" s="9">
        <v>0.67</v>
      </c>
      <c r="D41" s="9">
        <v>0.35</v>
      </c>
      <c r="E41" s="9">
        <v>0.25</v>
      </c>
      <c r="F41" s="9">
        <v>0.08</v>
      </c>
      <c r="G41" s="10" t="str">
        <f>IF(Table2[[#This Row],[Unit]]="ton","forage","")</f>
        <v/>
      </c>
      <c r="H41" s="10" t="s">
        <v>108</v>
      </c>
    </row>
    <row r="42" spans="1:8" x14ac:dyDescent="0.35">
      <c r="A42" s="7" t="s">
        <v>31</v>
      </c>
      <c r="B42" s="7" t="s">
        <v>21</v>
      </c>
      <c r="C42" s="7">
        <v>1.6</v>
      </c>
      <c r="D42" s="7">
        <v>0.51</v>
      </c>
      <c r="E42" s="7">
        <v>1.2</v>
      </c>
      <c r="F42" s="7">
        <v>0.18</v>
      </c>
      <c r="G42" s="10" t="str">
        <f>IF(Table2[[#This Row],[Unit]]="ton","forage","")</f>
        <v/>
      </c>
      <c r="H42" s="10" t="s">
        <v>108</v>
      </c>
    </row>
    <row r="43" spans="1:8" x14ac:dyDescent="0.35">
      <c r="A43" s="7" t="s">
        <v>32</v>
      </c>
      <c r="B43" s="7" t="s">
        <v>21</v>
      </c>
      <c r="C43" s="7">
        <v>0.45</v>
      </c>
      <c r="D43" s="7">
        <v>0.16</v>
      </c>
      <c r="E43" s="7">
        <v>1.1000000000000001</v>
      </c>
      <c r="F43" s="7">
        <v>7.0000000000000007E-2</v>
      </c>
      <c r="G43" s="10" t="str">
        <f>IF(Table2[[#This Row],[Unit]]="ton","forage","")</f>
        <v/>
      </c>
      <c r="H43" s="10" t="s">
        <v>108</v>
      </c>
    </row>
    <row r="44" spans="1:8" x14ac:dyDescent="0.35">
      <c r="A44" s="7" t="s">
        <v>33</v>
      </c>
      <c r="B44" s="7" t="s">
        <v>34</v>
      </c>
      <c r="C44" s="7">
        <v>32</v>
      </c>
      <c r="D44" s="7">
        <v>14</v>
      </c>
      <c r="E44" s="7">
        <v>19</v>
      </c>
      <c r="F44" s="7" t="s">
        <v>19</v>
      </c>
      <c r="G44" s="10" t="str">
        <f>IF(Table2[[#This Row],[Unit]]="ton","forage","")</f>
        <v/>
      </c>
      <c r="H44" s="10" t="s">
        <v>108</v>
      </c>
    </row>
    <row r="45" spans="1:8" x14ac:dyDescent="0.35">
      <c r="A45" s="9" t="s">
        <v>37</v>
      </c>
      <c r="B45" s="9" t="s">
        <v>21</v>
      </c>
      <c r="C45" s="9">
        <v>2.5</v>
      </c>
      <c r="D45" s="9">
        <v>0.7</v>
      </c>
      <c r="E45" s="9">
        <v>0.6</v>
      </c>
      <c r="F45" s="9">
        <v>0.19</v>
      </c>
      <c r="G45" s="10" t="str">
        <f>IF(Table2[[#This Row],[Unit]]="ton","forage","")</f>
        <v/>
      </c>
      <c r="H45" s="10" t="s">
        <v>108</v>
      </c>
    </row>
    <row r="46" spans="1:8" x14ac:dyDescent="0.35">
      <c r="A46" s="7" t="s">
        <v>38</v>
      </c>
      <c r="B46" s="7" t="s">
        <v>21</v>
      </c>
      <c r="C46" s="7">
        <v>0.7</v>
      </c>
      <c r="D46" s="7">
        <v>0.16</v>
      </c>
      <c r="E46" s="7">
        <v>2.2000000000000002</v>
      </c>
      <c r="F46" s="7">
        <v>0.15</v>
      </c>
      <c r="G46" s="10" t="str">
        <f>IF(Table2[[#This Row],[Unit]]="ton","forage","")</f>
        <v/>
      </c>
      <c r="H46" s="10" t="s">
        <v>108</v>
      </c>
    </row>
    <row r="47" spans="1:8" x14ac:dyDescent="0.35">
      <c r="A47" s="9" t="s">
        <v>39</v>
      </c>
      <c r="B47" s="9" t="s">
        <v>21</v>
      </c>
      <c r="C47" s="9">
        <v>1.4</v>
      </c>
      <c r="D47" s="9">
        <v>0.4</v>
      </c>
      <c r="E47" s="9">
        <v>0.4</v>
      </c>
      <c r="F47" s="9">
        <v>0.08</v>
      </c>
      <c r="G47" s="10" t="str">
        <f>IF(Table2[[#This Row],[Unit]]="ton","forage","")</f>
        <v/>
      </c>
      <c r="H47" s="10" t="s">
        <v>108</v>
      </c>
    </row>
    <row r="48" spans="1:8" x14ac:dyDescent="0.35">
      <c r="A48" s="9" t="s">
        <v>41</v>
      </c>
      <c r="B48" s="9" t="s">
        <v>42</v>
      </c>
      <c r="C48" s="9">
        <v>1.9</v>
      </c>
      <c r="D48" s="9">
        <v>1.1000000000000001</v>
      </c>
      <c r="E48" s="9">
        <v>4.5</v>
      </c>
      <c r="F48" s="9" t="s">
        <v>19</v>
      </c>
      <c r="G48" s="10" t="str">
        <f>IF(Table2[[#This Row],[Unit]]="ton","forage","")</f>
        <v/>
      </c>
      <c r="H48" s="10" t="s">
        <v>108</v>
      </c>
    </row>
    <row r="49" spans="1:8" x14ac:dyDescent="0.35">
      <c r="A49" s="7" t="s">
        <v>43</v>
      </c>
      <c r="B49" s="7" t="s">
        <v>21</v>
      </c>
      <c r="C49" s="7">
        <v>0.77</v>
      </c>
      <c r="D49" s="7">
        <v>0.28000000000000003</v>
      </c>
      <c r="E49" s="7">
        <v>0.19</v>
      </c>
      <c r="F49" s="7">
        <v>7.0000000000000007E-2</v>
      </c>
      <c r="G49" s="10" t="str">
        <f>IF(Table2[[#This Row],[Unit]]="ton","forage","")</f>
        <v/>
      </c>
      <c r="H49" s="10" t="s">
        <v>108</v>
      </c>
    </row>
    <row r="50" spans="1:8" x14ac:dyDescent="0.35">
      <c r="A50" s="9" t="s">
        <v>44</v>
      </c>
      <c r="B50" s="9" t="s">
        <v>21</v>
      </c>
      <c r="C50" s="9">
        <v>0.31</v>
      </c>
      <c r="D50" s="9">
        <v>0.16</v>
      </c>
      <c r="E50" s="9">
        <v>0.94</v>
      </c>
      <c r="F50" s="9">
        <v>0.11</v>
      </c>
      <c r="G50" s="10" t="str">
        <f>IF(Table2[[#This Row],[Unit]]="ton","forage","")</f>
        <v/>
      </c>
      <c r="H50" s="10" t="s">
        <v>108</v>
      </c>
    </row>
    <row r="51" spans="1:8" x14ac:dyDescent="0.35">
      <c r="A51" s="7" t="s">
        <v>48</v>
      </c>
      <c r="B51" s="7" t="s">
        <v>49</v>
      </c>
      <c r="C51" s="7">
        <v>0.3</v>
      </c>
      <c r="D51" s="7">
        <v>0.15</v>
      </c>
      <c r="E51" s="7">
        <v>0.65</v>
      </c>
      <c r="F51" s="7">
        <v>0.03</v>
      </c>
      <c r="G51" s="10" t="str">
        <f>IF(Table2[[#This Row],[Unit]]="ton","forage","")</f>
        <v/>
      </c>
      <c r="H51" s="10" t="s">
        <v>108</v>
      </c>
    </row>
    <row r="52" spans="1:8" x14ac:dyDescent="0.35">
      <c r="A52" s="9" t="s">
        <v>50</v>
      </c>
      <c r="B52" s="9" t="s">
        <v>49</v>
      </c>
      <c r="C52" s="9">
        <v>0.19</v>
      </c>
      <c r="D52" s="9">
        <v>0.06</v>
      </c>
      <c r="E52" s="9">
        <v>0.53</v>
      </c>
      <c r="F52" s="9">
        <v>0.02</v>
      </c>
      <c r="G52" s="10" t="str">
        <f>IF(Table2[[#This Row],[Unit]]="ton","forage","")</f>
        <v/>
      </c>
      <c r="H52" s="10" t="s">
        <v>108</v>
      </c>
    </row>
    <row r="53" spans="1:8" x14ac:dyDescent="0.35">
      <c r="A53" s="7" t="s">
        <v>53</v>
      </c>
      <c r="B53" s="7" t="s">
        <v>21</v>
      </c>
      <c r="C53" s="7">
        <v>0.56999999999999995</v>
      </c>
      <c r="D53" s="7">
        <v>0.3</v>
      </c>
      <c r="E53" s="7">
        <v>0.16</v>
      </c>
      <c r="F53" s="7" t="s">
        <v>19</v>
      </c>
      <c r="G53" s="10" t="str">
        <f>IF(Table2[[#This Row],[Unit]]="ton","forage","")</f>
        <v/>
      </c>
      <c r="H53" s="10" t="s">
        <v>108</v>
      </c>
    </row>
    <row r="54" spans="1:8" x14ac:dyDescent="0.35">
      <c r="A54" s="7" t="s">
        <v>55</v>
      </c>
      <c r="B54" s="7" t="s">
        <v>21</v>
      </c>
      <c r="C54" s="7">
        <v>1.4</v>
      </c>
      <c r="D54" s="7">
        <v>0.46</v>
      </c>
      <c r="E54" s="7">
        <v>0.31</v>
      </c>
      <c r="F54" s="7">
        <v>0.1</v>
      </c>
      <c r="G54" s="10" t="str">
        <f>IF(Table2[[#This Row],[Unit]]="ton","forage","")</f>
        <v/>
      </c>
      <c r="H54" s="10" t="s">
        <v>108</v>
      </c>
    </row>
    <row r="55" spans="1:8" x14ac:dyDescent="0.35">
      <c r="A55" s="9" t="s">
        <v>56</v>
      </c>
      <c r="B55" s="9" t="s">
        <v>21</v>
      </c>
      <c r="C55" s="9">
        <v>0.8</v>
      </c>
      <c r="D55" s="9">
        <v>0.21</v>
      </c>
      <c r="E55" s="9">
        <v>1.5</v>
      </c>
      <c r="F55" s="9">
        <v>0.14000000000000001</v>
      </c>
      <c r="G55" s="10" t="str">
        <f>IF(Table2[[#This Row],[Unit]]="ton","forage","")</f>
        <v/>
      </c>
      <c r="H55" s="10" t="s">
        <v>108</v>
      </c>
    </row>
    <row r="56" spans="1:8" x14ac:dyDescent="0.35">
      <c r="A56" s="7" t="s">
        <v>58</v>
      </c>
      <c r="B56" s="7" t="s">
        <v>21</v>
      </c>
      <c r="C56" s="7">
        <v>0.66</v>
      </c>
      <c r="D56" s="7">
        <v>0.39</v>
      </c>
      <c r="E56" s="7">
        <v>0.27</v>
      </c>
      <c r="F56" s="7">
        <v>0.06</v>
      </c>
      <c r="G56" s="10" t="str">
        <f>IF(Table2[[#This Row],[Unit]]="ton","forage","")</f>
        <v/>
      </c>
      <c r="H56" s="10" t="s">
        <v>108</v>
      </c>
    </row>
    <row r="57" spans="1:8" x14ac:dyDescent="0.35">
      <c r="A57" s="9" t="s">
        <v>59</v>
      </c>
      <c r="B57" s="9" t="s">
        <v>21</v>
      </c>
      <c r="C57" s="9">
        <v>0.56000000000000005</v>
      </c>
      <c r="D57" s="9">
        <v>0.16</v>
      </c>
      <c r="E57" s="9">
        <v>0.83</v>
      </c>
      <c r="F57" s="9">
        <v>0.12</v>
      </c>
      <c r="G57" s="10" t="str">
        <f>IF(Table2[[#This Row],[Unit]]="ton","forage","")</f>
        <v/>
      </c>
      <c r="H57" s="10" t="s">
        <v>108</v>
      </c>
    </row>
    <row r="58" spans="1:8" x14ac:dyDescent="0.35">
      <c r="A58" s="7" t="s">
        <v>61</v>
      </c>
      <c r="B58" s="7" t="s">
        <v>21</v>
      </c>
      <c r="C58" s="7">
        <v>3.3</v>
      </c>
      <c r="D58" s="7">
        <v>0.73</v>
      </c>
      <c r="E58" s="7">
        <v>1.2</v>
      </c>
      <c r="F58" s="7">
        <v>0.18</v>
      </c>
      <c r="G58" s="10" t="str">
        <f>IF(Table2[[#This Row],[Unit]]="ton","forage","")</f>
        <v/>
      </c>
      <c r="H58" s="10" t="s">
        <v>108</v>
      </c>
    </row>
    <row r="59" spans="1:8" x14ac:dyDescent="0.35">
      <c r="A59" s="7" t="s">
        <v>63</v>
      </c>
      <c r="B59" s="7" t="s">
        <v>21</v>
      </c>
      <c r="C59" s="7">
        <v>1.1000000000000001</v>
      </c>
      <c r="D59" s="7">
        <v>0.24</v>
      </c>
      <c r="E59" s="7">
        <v>1</v>
      </c>
      <c r="F59" s="7">
        <v>0.17</v>
      </c>
      <c r="G59" s="10" t="str">
        <f>IF(Table2[[#This Row],[Unit]]="ton","forage","")</f>
        <v/>
      </c>
      <c r="H59" s="10" t="s">
        <v>108</v>
      </c>
    </row>
    <row r="60" spans="1:8" x14ac:dyDescent="0.35">
      <c r="A60" s="9" t="s">
        <v>67</v>
      </c>
      <c r="B60" s="9" t="s">
        <v>49</v>
      </c>
      <c r="C60" s="9">
        <v>2.7</v>
      </c>
      <c r="D60" s="9">
        <v>0.97</v>
      </c>
      <c r="E60" s="9">
        <v>0.9</v>
      </c>
      <c r="F60" s="9">
        <v>0.25</v>
      </c>
      <c r="G60" s="10" t="str">
        <f>IF(Table2[[#This Row],[Unit]]="ton","forage","")</f>
        <v/>
      </c>
      <c r="H60" s="10" t="s">
        <v>108</v>
      </c>
    </row>
    <row r="61" spans="1:8" x14ac:dyDescent="0.35">
      <c r="A61" s="7" t="s">
        <v>68</v>
      </c>
      <c r="B61" s="7" t="s">
        <v>49</v>
      </c>
      <c r="C61" s="7">
        <v>2.8</v>
      </c>
      <c r="D61" s="7">
        <v>0.24</v>
      </c>
      <c r="E61" s="7">
        <v>4.0999999999999996</v>
      </c>
      <c r="F61" s="7">
        <v>0.6</v>
      </c>
      <c r="G61" s="10" t="str">
        <f>IF(Table2[[#This Row],[Unit]]="ton","forage","")</f>
        <v/>
      </c>
      <c r="H61" s="10" t="s">
        <v>108</v>
      </c>
    </row>
    <row r="62" spans="1:8" x14ac:dyDescent="0.35">
      <c r="A62" s="9" t="s">
        <v>72</v>
      </c>
      <c r="B62" s="9" t="s">
        <v>49</v>
      </c>
      <c r="C62" s="9">
        <v>3.6</v>
      </c>
      <c r="D62" s="9">
        <v>0.9</v>
      </c>
      <c r="E62" s="9">
        <v>5.7</v>
      </c>
      <c r="F62" s="9">
        <v>0.6</v>
      </c>
      <c r="G62" s="10" t="str">
        <f>IF(Table2[[#This Row],[Unit]]="ton","forage","")</f>
        <v/>
      </c>
      <c r="H62" s="10" t="s">
        <v>108</v>
      </c>
    </row>
    <row r="63" spans="1:8" x14ac:dyDescent="0.35">
      <c r="A63" s="9" t="s">
        <v>74</v>
      </c>
      <c r="B63" s="9" t="s">
        <v>21</v>
      </c>
      <c r="C63" s="9">
        <v>0.7</v>
      </c>
      <c r="D63" s="9">
        <v>0.16</v>
      </c>
      <c r="E63" s="9">
        <v>1.2</v>
      </c>
      <c r="F63" s="9">
        <v>0.14000000000000001</v>
      </c>
      <c r="G63" s="10" t="str">
        <f>IF(Table2[[#This Row],[Unit]]="ton","forage","")</f>
        <v/>
      </c>
      <c r="H63" s="10" t="s">
        <v>108</v>
      </c>
    </row>
    <row r="64" spans="1:8" x14ac:dyDescent="0.35">
      <c r="A64" s="9" t="s">
        <v>75</v>
      </c>
      <c r="B64" s="9" t="s">
        <v>21</v>
      </c>
      <c r="C64" s="9">
        <v>1.5</v>
      </c>
      <c r="D64" s="9">
        <v>0.56999999999999995</v>
      </c>
      <c r="E64" s="9">
        <v>0.33</v>
      </c>
      <c r="F64" s="9">
        <v>0.1</v>
      </c>
      <c r="G64" s="10" t="str">
        <f>IF(Table2[[#This Row],[Unit]]="ton","forage","")</f>
        <v/>
      </c>
      <c r="H64" s="10" t="s">
        <v>108</v>
      </c>
    </row>
    <row r="65" spans="1:8" x14ac:dyDescent="0.35">
      <c r="A65" s="7" t="s">
        <v>76</v>
      </c>
      <c r="B65" s="7" t="s">
        <v>21</v>
      </c>
      <c r="C65" s="7">
        <v>1.2</v>
      </c>
      <c r="D65" s="7">
        <v>0.48</v>
      </c>
      <c r="E65" s="7">
        <v>0.28999999999999998</v>
      </c>
      <c r="F65" s="7">
        <v>0.1</v>
      </c>
      <c r="G65" s="10" t="str">
        <f>IF(Table2[[#This Row],[Unit]]="ton","forage","")</f>
        <v/>
      </c>
      <c r="H65" s="10" t="s">
        <v>108</v>
      </c>
    </row>
    <row r="66" spans="1:8" x14ac:dyDescent="0.35">
      <c r="A66" s="7" t="s">
        <v>64</v>
      </c>
      <c r="B66" s="7" t="s">
        <v>16</v>
      </c>
      <c r="C66" s="7">
        <v>3.7</v>
      </c>
      <c r="D66" s="7">
        <v>2.2000000000000002</v>
      </c>
      <c r="E66" s="7">
        <v>7.3</v>
      </c>
      <c r="F66" s="7">
        <v>0.45</v>
      </c>
      <c r="G66" s="10"/>
      <c r="H66" s="10" t="s">
        <v>108</v>
      </c>
    </row>
    <row r="67" spans="1:8" x14ac:dyDescent="0.35">
      <c r="A67" s="9" t="s">
        <v>65</v>
      </c>
      <c r="B67" s="9" t="s">
        <v>16</v>
      </c>
      <c r="C67" s="9">
        <v>7.4</v>
      </c>
      <c r="D67" s="9">
        <v>4</v>
      </c>
      <c r="E67" s="9">
        <v>20</v>
      </c>
      <c r="F67" s="9">
        <v>0.4</v>
      </c>
      <c r="G67" s="10"/>
      <c r="H67" s="10" t="s">
        <v>108</v>
      </c>
    </row>
    <row r="68" spans="1:8" x14ac:dyDescent="0.35">
      <c r="A68" s="7" t="s">
        <v>66</v>
      </c>
      <c r="B68" s="7" t="s">
        <v>16</v>
      </c>
      <c r="C68" s="7">
        <v>2</v>
      </c>
      <c r="D68" s="7">
        <v>1.2</v>
      </c>
      <c r="E68" s="7">
        <v>3.5</v>
      </c>
      <c r="F68" s="7" t="s">
        <v>19</v>
      </c>
      <c r="G68" s="10"/>
      <c r="H68" s="10" t="s">
        <v>108</v>
      </c>
    </row>
    <row r="69" spans="1:8" x14ac:dyDescent="0.35">
      <c r="A69" s="7" t="s">
        <v>71</v>
      </c>
      <c r="B69" s="7" t="s">
        <v>16</v>
      </c>
      <c r="C69" s="7">
        <v>2.5</v>
      </c>
      <c r="D69" s="7">
        <v>0.92</v>
      </c>
      <c r="E69" s="7">
        <v>5.7</v>
      </c>
      <c r="F69" s="7" t="s">
        <v>19</v>
      </c>
      <c r="G69" s="10"/>
      <c r="H69" s="10" t="s">
        <v>108</v>
      </c>
    </row>
    <row r="70" spans="1:8" x14ac:dyDescent="0.35">
      <c r="A70" s="9" t="s">
        <v>20</v>
      </c>
      <c r="B70" s="9" t="s">
        <v>21</v>
      </c>
      <c r="C70" s="9">
        <v>0.99</v>
      </c>
      <c r="D70" s="9">
        <v>0.4</v>
      </c>
      <c r="E70" s="9">
        <v>0.32</v>
      </c>
      <c r="F70" s="9">
        <v>0.09</v>
      </c>
      <c r="G70" s="10"/>
      <c r="H70" s="10" t="s">
        <v>108</v>
      </c>
    </row>
    <row r="71" spans="1:8" x14ac:dyDescent="0.35">
      <c r="A71" s="7" t="s">
        <v>22</v>
      </c>
      <c r="B71" s="7" t="s">
        <v>21</v>
      </c>
      <c r="C71" s="7">
        <v>0.4</v>
      </c>
      <c r="D71" s="7">
        <v>0.16</v>
      </c>
      <c r="E71" s="7">
        <v>1.2</v>
      </c>
      <c r="F71" s="7">
        <v>0.1</v>
      </c>
      <c r="G71" s="10"/>
      <c r="H71" s="10" t="s">
        <v>108</v>
      </c>
    </row>
    <row r="72" spans="1:8" x14ac:dyDescent="0.35">
      <c r="A72" s="7" t="s">
        <v>23</v>
      </c>
      <c r="B72" s="7" t="s">
        <v>21</v>
      </c>
      <c r="C72" s="7">
        <v>3</v>
      </c>
      <c r="D72" s="7">
        <v>0.79</v>
      </c>
      <c r="E72" s="7">
        <v>0.92</v>
      </c>
      <c r="F72" s="7">
        <v>0.52</v>
      </c>
      <c r="G72" s="10"/>
      <c r="H72" s="10" t="s">
        <v>108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M E A A B Q S w M E F A A C A A g A z 4 j O V t L d S t G k A A A A 9 g A A A B I A H A B D b 2 5 m a W c v U G F j a 2 F n Z S 5 4 b W w g o h g A K K A U A A A A A A A A A A A A A A A A A A A A A A A A A A A A h Y 8 x D o I w G I W v Q r r T l q K J I T 9 l c J X E h G h c m 1 K h E Y q h x X I 3 B 4 / k F c Q o 6 u b 4 v v c N 7 9 2 v N 8 j G t g k u q r e 6 M y m K M E W B M r I r t a l S N L h j u E I Z h 6 2 Q J 1 G p Y J K N T U Z b p q h 2 7 p w Q 4 r 3 H P s Z d X x F G a U Q O + a a Q t W o F + s j 6 v x x q Y 5 0 w U i E O + 9 c Y z n A U L T F b x J g C m S H k 2 n w F N u 1 9 t j 8 Q 1 k P j h l 5 x Z c J d A W S O Q N 4 f + A N Q S w M E F A A C A A g A z 4 j O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+ I z l b 0 h s 9 2 H Q E A A L s D A A A T A B w A R m 9 y b X V s Y X M v U 2 V j d G l v b j E u b S C i G A A o o B Q A A A A A A A A A A A A A A A A A A A A A A A A A A A D t k U 9 r w k A Q x e + B f I d h v S Q Q g 9 G 2 h 5 a c I o K H t o L x Z D x s z U Q X N r u y s 0 p D 8 L t 3 / Q u F h p 4 L n c v A b 4 b H e z z C t R V a w f y y k x f f 8 z 3 a c o M l 9 F j O P y Q O B g k E M 7 5 B S P r D k E E K E q 3 v g Z u 5 3 p s 1 O j I r q / j 8 T M F E S I w z r S w q S w H L n o s F o a G i 5 k T Y m O J d 4 d i I A 0 I f F s p t Q 8 I 2 o C t 4 F U R O T x Q T N F Z I R 4 u 3 v T X C 6 Y D B W h + 4 j H d l x c I I l t N 6 J 7 F 2 F 3 5 y n b I k H r F V G F 1 c 3 V 2 n V 4 P t c l q m 9 z B s d V y O u e W r 6 3 u P Z V u u N i 5 w 3 u z w l O / 8 G e e G K 6 q 0 q T M t 9 7 U 6 H S m 4 i U R t y y 4 8 Y R F Y d w O L n / Y Y w Y 0 P O / i o g z 9 0 8 M c O / v S N H 0 P f E + r H Q L 9 W C s F / r X + w 1 i 9 Q S w E C L Q A U A A I A C A D P i M 5 W 0 t 1 K 0 a Q A A A D 2 A A A A E g A A A A A A A A A A A A A A A A A A A A A A Q 2 9 u Z m l n L 1 B h Y 2 t h Z 2 U u e G 1 s U E s B A i 0 A F A A C A A g A z 4 j O V g / K 6 a u k A A A A 6 Q A A A B M A A A A A A A A A A A A A A A A A 8 A A A A F t D b 2 5 0 Z W 5 0 X 1 R 5 c G V z X S 5 4 b W x Q S w E C L Q A U A A I A C A D P i M 5 W 9 I b P d h 0 B A A C 7 A w A A E w A A A A A A A A A A A A A A A A D h A Q A A R m 9 y b X V s Y X M v U 2 V j d G l v b j E u b V B L B Q Y A A A A A A w A D A M I A A A B L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P F g A A A A A A A G 0 W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2 L T E 0 V D I x O j U z O j U 1 L j c 2 N T U 1 M D d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0 N v b H V t b j E s M H 0 m c X V v d D s s J n F 1 b 3 Q 7 U 2 V j d G l v b j E v V G F i b G U w M D E g K F B h Z 2 U g M S 0 y K S 9 B d X R v U m V t b 3 Z l Z E N v b H V t b n M x L n t D b 2 x 1 b W 4 y L D F 9 J n F 1 b 3 Q 7 L C Z x d W 9 0 O 1 N l Y 3 R p b 2 4 x L 1 R h Y m x l M D A x I C h Q Y W d l I D E t M i k v Q X V 0 b 1 J l b W 9 2 Z W R D b 2 x 1 b W 5 z M S 5 7 Q 2 9 s d W 1 u M y w y f S Z x d W 9 0 O y w m c X V v d D t T Z W N 0 a W 9 u M S 9 U Y W J s Z T A w M S A o U G F n Z S A x L T I p L 0 F 1 d G 9 S Z W 1 v d m V k Q 2 9 s d W 1 u c z E u e 0 N v b H V t b j Q s M 3 0 m c X V v d D s s J n F 1 b 3 Q 7 U 2 V j d G l v b j E v V G F i b G U w M D E g K F B h Z 2 U g M S 0 y K S 9 B d X R v U m V t b 3 Z l Z E N v b H V t b n M x L n t D b 2 x 1 b W 4 1 L D R 9 J n F 1 b 3 Q 7 L C Z x d W 9 0 O 1 N l Y 3 R p b 2 4 x L 1 R h Y m x l M D A x I C h Q Y W d l I D E t M i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M S A o U G F n Z S A x L T I p L 0 F 1 d G 9 S Z W 1 v d m V k Q 2 9 s d W 1 u c z E u e 0 N v b H V t b j E s M H 0 m c X V v d D s s J n F 1 b 3 Q 7 U 2 V j d G l v b j E v V G F i b G U w M D E g K F B h Z 2 U g M S 0 y K S 9 B d X R v U m V t b 3 Z l Z E N v b H V t b n M x L n t D b 2 x 1 b W 4 y L D F 9 J n F 1 b 3 Q 7 L C Z x d W 9 0 O 1 N l Y 3 R p b 2 4 x L 1 R h Y m x l M D A x I C h Q Y W d l I D E t M i k v Q X V 0 b 1 J l b W 9 2 Z W R D b 2 x 1 b W 5 z M S 5 7 Q 2 9 s d W 1 u M y w y f S Z x d W 9 0 O y w m c X V v d D t T Z W N 0 a W 9 u M S 9 U Y W J s Z T A w M S A o U G F n Z S A x L T I p L 0 F 1 d G 9 S Z W 1 v d m V k Q 2 9 s d W 1 u c z E u e 0 N v b H V t b j Q s M 3 0 m c X V v d D s s J n F 1 b 3 Q 7 U 2 V j d G l v b j E v V G F i b G U w M D E g K F B h Z 2 U g M S 0 y K S 9 B d X R v U m V t b 3 Z l Z E N v b H V t b n M x L n t D b 2 x 1 b W 4 1 L D R 9 J n F 1 b 3 Q 7 L C Z x d W 9 0 O 1 N l Y 3 R p b 2 4 x L 1 R h Y m x l M D A x I C h Q Y W d l I D E t M i k v Q X V 0 b 1 J l b W 9 2 Z W R D b 2 x 1 b W 5 z M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Y t M T R U M j E 6 N T k 6 M D U u M T k w O T E 3 M l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t M i k g K D I p L 0 F 1 d G 9 S Z W 1 v d m V k Q 2 9 s d W 1 u c z E u e 0 N v b H V t b j E s M H 0 m c X V v d D s s J n F 1 b 3 Q 7 U 2 V j d G l v b j E v V G F i b G U w M D E g K F B h Z 2 U g M S 0 y K S A o M i k v Q X V 0 b 1 J l b W 9 2 Z W R D b 2 x 1 b W 5 z M S 5 7 Q 2 9 s d W 1 u M i w x f S Z x d W 9 0 O y w m c X V v d D t T Z W N 0 a W 9 u M S 9 U Y W J s Z T A w M S A o U G F n Z S A x L T I p I C g y K S 9 B d X R v U m V t b 3 Z l Z E N v b H V t b n M x L n t D b 2 x 1 b W 4 z L D J 9 J n F 1 b 3 Q 7 L C Z x d W 9 0 O 1 N l Y 3 R p b 2 4 x L 1 R h Y m x l M D A x I C h Q Y W d l I D E t M i k g K D I p L 0 F 1 d G 9 S Z W 1 v d m V k Q 2 9 s d W 1 u c z E u e 0 N v b H V t b j Q s M 3 0 m c X V v d D s s J n F 1 b 3 Q 7 U 2 V j d G l v b j E v V G F i b G U w M D E g K F B h Z 2 U g M S 0 y K S A o M i k v Q X V 0 b 1 J l b W 9 2 Z W R D b 2 x 1 b W 5 z M S 5 7 Q 2 9 s d W 1 u N S w 0 f S Z x d W 9 0 O y w m c X V v d D t T Z W N 0 a W 9 u M S 9 U Y W J s Z T A w M S A o U G F n Z S A x L T I p I C g y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g K D I p L 0 F 1 d G 9 S Z W 1 v d m V k Q 2 9 s d W 1 u c z E u e 0 N v b H V t b j E s M H 0 m c X V v d D s s J n F 1 b 3 Q 7 U 2 V j d G l v b j E v V G F i b G U w M D E g K F B h Z 2 U g M S 0 y K S A o M i k v Q X V 0 b 1 J l b W 9 2 Z W R D b 2 x 1 b W 5 z M S 5 7 Q 2 9 s d W 1 u M i w x f S Z x d W 9 0 O y w m c X V v d D t T Z W N 0 a W 9 u M S 9 U Y W J s Z T A w M S A o U G F n Z S A x L T I p I C g y K S 9 B d X R v U m V t b 3 Z l Z E N v b H V t b n M x L n t D b 2 x 1 b W 4 z L D J 9 J n F 1 b 3 Q 7 L C Z x d W 9 0 O 1 N l Y 3 R p b 2 4 x L 1 R h Y m x l M D A x I C h Q Y W d l I D E t M i k g K D I p L 0 F 1 d G 9 S Z W 1 v d m V k Q 2 9 s d W 1 u c z E u e 0 N v b H V t b j Q s M 3 0 m c X V v d D s s J n F 1 b 3 Q 7 U 2 V j d G l v b j E v V G F i b G U w M D E g K F B h Z 2 U g M S 0 y K S A o M i k v Q X V 0 b 1 J l b W 9 2 Z W R D b 2 x 1 b W 5 z M S 5 7 Q 2 9 s d W 1 u N S w 0 f S Z x d W 9 0 O y w m c X V v d D t T Z W N 0 a W 9 u M S 9 U Y W J s Z T A w M S A o U G F n Z S A x L T I p I C g y K S 9 B d X R v U m V t b 3 Z l Z E N v b H V t b n M x L n t D b 2 x 1 b W 4 2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U y M C g y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J T I w K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X A M i 0 M X z t H r l Y u r Y + o B I Q A A A A A A g A A A A A A A 2 Y A A M A A A A A Q A A A A h / s Z E 4 q C Y 0 7 g I s M i 8 R 7 T h g A A A A A E g A A A o A A A A B A A A A C B W 8 O Q g C S 0 b z H L v Q 8 i k 2 u / U A A A A A 6 x h L N i 6 9 j M a q e B q + y H b a G h t 1 z x x d b m G D b a K D z d / r J 3 a / M W A B l 3 U x 4 1 L u b V K + G i q X R 0 0 t 3 r c q a X W T u L S v P 5 M F 7 N g t 6 m i h L M 6 F l D f 4 l u Z u h u F A A A A C X F q x W a E E l j k 0 Q k e n e c + M c s e q F 2 < / D a t a M a s h u p > 
</file>

<file path=customXml/itemProps1.xml><?xml version="1.0" encoding="utf-8"?>
<ds:datastoreItem xmlns:ds="http://schemas.openxmlformats.org/officeDocument/2006/customXml" ds:itemID="{F65E2CCC-AF16-46CA-9C18-3F56856637A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Nutrient Removal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Massey, Ray</dc:creator>
  <cp:lastModifiedBy>Massey, Ray</cp:lastModifiedBy>
  <dcterms:created xsi:type="dcterms:W3CDTF">2023-06-14T16:25:33Z</dcterms:created>
  <dcterms:modified xsi:type="dcterms:W3CDTF">2023-06-22T21:06:00Z</dcterms:modified>
</cp:coreProperties>
</file>