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mailmissouri-my.sharepoint.com/personal/salmonsm_umsystem_edu/Documents/Documents/Andrew K/"/>
    </mc:Choice>
  </mc:AlternateContent>
  <xr:revisionPtr revIDLastSave="219" documentId="8_{86826022-AB49-43CC-9EBB-34CDA52EC7E3}" xr6:coauthVersionLast="47" xr6:coauthVersionMax="47" xr10:uidLastSave="{3BB015BC-AA16-4A71-98AD-05823F142CE1}"/>
  <bookViews>
    <workbookView xWindow="-108" yWindow="-108" windowWidth="23256" windowHeight="12456" activeTab="5" xr2:uid="{00000000-000D-0000-FFFF-FFFF00000000}"/>
  </bookViews>
  <sheets>
    <sheet name="Introduction" sheetId="6" r:id="rId1"/>
    <sheet name="General assumptions" sheetId="7" r:id="rId2"/>
    <sheet name="Fence and Water system details" sheetId="8" r:id="rId3"/>
    <sheet name="Continuous to VF" sheetId="2" r:id="rId4"/>
    <sheet name="MiG - EF to VF" sheetId="9" r:id="rId5"/>
    <sheet name="Forage access evaluator"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0" l="1"/>
  <c r="H11" i="10" s="1"/>
  <c r="H12" i="10" s="1"/>
  <c r="D6" i="10"/>
  <c r="D15" i="10"/>
  <c r="D14" i="10" s="1"/>
  <c r="D16" i="10" l="1"/>
  <c r="F14" i="10" s="1"/>
  <c r="G15" i="10"/>
  <c r="L2" i="9"/>
  <c r="U6" i="9"/>
  <c r="V6" i="9" s="1"/>
  <c r="U8" i="9"/>
  <c r="V9" i="2"/>
  <c r="M2" i="2"/>
  <c r="R6" i="9" l="1"/>
  <c r="S6" i="9"/>
  <c r="T6" i="9"/>
  <c r="W6" i="9"/>
  <c r="V8" i="9"/>
  <c r="N3" i="9" s="1"/>
  <c r="M3" i="9"/>
  <c r="G17" i="10"/>
  <c r="G16" i="10"/>
  <c r="T8" i="9"/>
  <c r="L3" i="9" s="1"/>
  <c r="U9" i="2"/>
  <c r="W9" i="2"/>
  <c r="E7" i="8"/>
  <c r="E8" i="8"/>
  <c r="C16" i="8"/>
  <c r="G18" i="2"/>
  <c r="G19" i="9"/>
  <c r="C28" i="9"/>
  <c r="W8" i="9" l="1"/>
  <c r="O3" i="9" s="1"/>
  <c r="S8" i="9"/>
  <c r="K3" i="9" s="1"/>
  <c r="T9" i="2"/>
  <c r="X9" i="2"/>
  <c r="T25" i="2"/>
  <c r="W21" i="2" s="1"/>
  <c r="R8" i="9" l="1"/>
  <c r="J3" i="9" s="1"/>
  <c r="S9" i="2"/>
  <c r="U21" i="9"/>
  <c r="T21" i="9" s="1"/>
  <c r="C24" i="9" s="1"/>
  <c r="C26" i="9" l="1"/>
  <c r="G30" i="9" l="1"/>
  <c r="C25" i="9"/>
  <c r="R24" i="9"/>
  <c r="V7" i="2"/>
  <c r="C5" i="8"/>
  <c r="X7" i="2" l="1"/>
  <c r="P3" i="2" s="1"/>
  <c r="W7" i="2"/>
  <c r="O3" i="2" s="1"/>
  <c r="S7" i="2"/>
  <c r="T7" i="2"/>
  <c r="L3" i="2" s="1"/>
  <c r="U7" i="2"/>
  <c r="M3" i="2" s="1"/>
  <c r="N3" i="2"/>
  <c r="G20" i="9"/>
  <c r="U24" i="9"/>
  <c r="T24" i="9" s="1"/>
  <c r="U23" i="9"/>
  <c r="T23" i="9" s="1"/>
  <c r="U20" i="9"/>
  <c r="T20" i="9" s="1"/>
  <c r="U22" i="9"/>
  <c r="T22" i="9" s="1"/>
  <c r="U18" i="9"/>
  <c r="T18" i="9" s="1"/>
  <c r="U19" i="9"/>
  <c r="T19" i="9" s="1"/>
  <c r="V21" i="2"/>
  <c r="W25" i="2"/>
  <c r="W23" i="2"/>
  <c r="W20" i="2"/>
  <c r="W19" i="2"/>
  <c r="W22" i="2"/>
  <c r="W24" i="2"/>
  <c r="C14" i="2"/>
  <c r="C16" i="9"/>
  <c r="C21" i="9" s="1"/>
  <c r="G17" i="9"/>
  <c r="G18" i="9"/>
  <c r="G16" i="2"/>
  <c r="G17" i="2"/>
  <c r="G19" i="2"/>
  <c r="V20" i="2" l="1"/>
  <c r="V23" i="2"/>
  <c r="V24" i="2"/>
  <c r="V22" i="2"/>
  <c r="C25" i="2" s="1"/>
  <c r="V19" i="2"/>
  <c r="V25" i="2"/>
  <c r="C26" i="2"/>
  <c r="G20" i="8"/>
  <c r="G19" i="8"/>
  <c r="G18" i="8"/>
  <c r="G17" i="8"/>
  <c r="G16" i="8"/>
  <c r="G15" i="8"/>
  <c r="G5" i="8"/>
  <c r="G9" i="8"/>
  <c r="G8" i="8"/>
  <c r="G7" i="8"/>
  <c r="G6" i="8"/>
  <c r="G22" i="8" l="1"/>
  <c r="G11" i="8"/>
  <c r="H5" i="8" s="1"/>
  <c r="I5" i="8" s="1"/>
  <c r="H6" i="8" l="1"/>
  <c r="I6" i="8" s="1"/>
  <c r="H7" i="8"/>
  <c r="I7" i="8" s="1"/>
  <c r="H20" i="8"/>
  <c r="I20" i="8" s="1"/>
  <c r="H18" i="8"/>
  <c r="I18" i="8" s="1"/>
  <c r="H17" i="8"/>
  <c r="I17" i="8" s="1"/>
  <c r="H16" i="8"/>
  <c r="I16" i="8" s="1"/>
  <c r="H15" i="8"/>
  <c r="I15" i="8" s="1"/>
  <c r="H19" i="8"/>
  <c r="I19" i="8" s="1"/>
  <c r="H9" i="8"/>
  <c r="I9" i="8" s="1"/>
  <c r="H8" i="8"/>
  <c r="I8" i="8" s="1"/>
  <c r="K3" i="2"/>
  <c r="I11" i="8" l="1"/>
  <c r="H11" i="8"/>
  <c r="G14" i="2" s="1"/>
  <c r="I22" i="8"/>
  <c r="H22" i="8"/>
  <c r="G15" i="2" s="1"/>
  <c r="G16" i="9" l="1"/>
  <c r="G23" i="9" s="1"/>
  <c r="G29" i="2"/>
  <c r="C20" i="2"/>
  <c r="G22" i="2" l="1"/>
  <c r="C29" i="2" l="1"/>
  <c r="J7" i="2" s="1"/>
  <c r="P7" i="2" l="1"/>
  <c r="O7" i="2"/>
  <c r="M7" i="2"/>
  <c r="L7" i="2"/>
  <c r="K7" i="2"/>
  <c r="N7" i="2"/>
  <c r="G31" i="2"/>
  <c r="G32" i="2" s="1"/>
  <c r="J6" i="2"/>
  <c r="J10" i="2"/>
  <c r="J5" i="2"/>
  <c r="J9" i="2"/>
  <c r="J8" i="2"/>
  <c r="J4" i="2"/>
  <c r="O10" i="2" l="1"/>
  <c r="N10" i="2"/>
  <c r="M10" i="2"/>
  <c r="L10" i="2"/>
  <c r="K10" i="2"/>
  <c r="P10" i="2"/>
  <c r="P9" i="2"/>
  <c r="O9" i="2"/>
  <c r="N9" i="2"/>
  <c r="L9" i="2"/>
  <c r="K9" i="2"/>
  <c r="M9" i="2"/>
  <c r="P4" i="2"/>
  <c r="O4" i="2"/>
  <c r="N4" i="2"/>
  <c r="M4" i="2"/>
  <c r="L4" i="2"/>
  <c r="K4" i="2"/>
  <c r="P8" i="2"/>
  <c r="O8" i="2"/>
  <c r="N8" i="2"/>
  <c r="M8" i="2"/>
  <c r="L8" i="2"/>
  <c r="K8" i="2"/>
  <c r="K5" i="2"/>
  <c r="P5" i="2"/>
  <c r="O5" i="2"/>
  <c r="N5" i="2"/>
  <c r="L5" i="2"/>
  <c r="M5" i="2"/>
  <c r="P6" i="2"/>
  <c r="O6" i="2"/>
  <c r="N6" i="2"/>
  <c r="M6" i="2"/>
  <c r="K6" i="2"/>
  <c r="L6" i="2"/>
  <c r="G33" i="2"/>
  <c r="C30" i="9"/>
  <c r="I7" i="9" s="1"/>
  <c r="G32" i="9" l="1"/>
  <c r="G34" i="9" s="1"/>
  <c r="M7" i="9" l="1"/>
  <c r="L7" i="9"/>
  <c r="N7" i="9"/>
  <c r="K7" i="9"/>
  <c r="O7" i="9"/>
  <c r="J7" i="9"/>
  <c r="G33" i="9"/>
  <c r="I6" i="9"/>
  <c r="I8" i="9"/>
  <c r="M6" i="9" l="1"/>
  <c r="L6" i="9"/>
  <c r="N6" i="9"/>
  <c r="K6" i="9"/>
  <c r="O6" i="9"/>
  <c r="J6" i="9"/>
  <c r="M8" i="9"/>
  <c r="L8" i="9"/>
  <c r="N8" i="9"/>
  <c r="K8" i="9"/>
  <c r="O8" i="9"/>
  <c r="J8" i="9"/>
  <c r="I9" i="9"/>
  <c r="I5" i="9"/>
  <c r="M5" i="9" l="1"/>
  <c r="L5" i="9"/>
  <c r="N5" i="9"/>
  <c r="O5" i="9"/>
  <c r="K5" i="9"/>
  <c r="J5" i="9"/>
  <c r="M9" i="9"/>
  <c r="N9" i="9"/>
  <c r="L9" i="9"/>
  <c r="K9" i="9"/>
  <c r="O9" i="9"/>
  <c r="J9" i="9"/>
  <c r="I4" i="9"/>
  <c r="I10" i="9"/>
  <c r="M10" i="9" l="1"/>
  <c r="L10" i="9"/>
  <c r="N10" i="9"/>
  <c r="O10" i="9"/>
  <c r="K10" i="9"/>
  <c r="J10" i="9"/>
  <c r="M4" i="9"/>
  <c r="L4" i="9"/>
  <c r="N4" i="9"/>
  <c r="K4" i="9"/>
  <c r="O4" i="9"/>
  <c r="J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tc={7E3C35DB-547E-4DEB-9F2D-84418CF9E20B}</author>
  </authors>
  <commentList>
    <comment ref="E5" authorId="0" shapeId="0" xr:uid="{7E3C35DB-547E-4DEB-9F2D-84418CF9E20B}">
      <text>
        <t xml:space="preserve">[Threaded comment]
Your version of Excel allows you to read this threaded comment; however, any edits to it will get removed if the file is opened in a newer version of Excel. Learn more: https://go.microsoft.com/fwlink/?linkid=870924
Comment:
    The halter collars do not have a cost, but the tower is $ 5000. the cellular collars-nofence&amp;Monil do not have the tower expense… 
plus, there needs to be a line expense for subscription fees. </t>
      </text>
    </comment>
  </commentList>
</comments>
</file>

<file path=xl/sharedStrings.xml><?xml version="1.0" encoding="utf-8"?>
<sst xmlns="http://schemas.openxmlformats.org/spreadsheetml/2006/main" count="258" uniqueCount="171">
  <si>
    <t xml:space="preserve">Developed by: </t>
  </si>
  <si>
    <t>Drew Kientzy and Ryan Milhollin</t>
  </si>
  <si>
    <t>This worksheet is for educational purposes only and the user assumes all risks associated with its use.</t>
  </si>
  <si>
    <t>General Assumptions</t>
  </si>
  <si>
    <t>Item</t>
  </si>
  <si>
    <t>Unit</t>
  </si>
  <si>
    <t>Quantity</t>
  </si>
  <si>
    <t>Cattle herd</t>
  </si>
  <si>
    <t xml:space="preserve">Current herd size </t>
  </si>
  <si>
    <t>head</t>
  </si>
  <si>
    <t xml:space="preserve">Cull rate </t>
  </si>
  <si>
    <t>percent</t>
  </si>
  <si>
    <t>Weaning rate</t>
  </si>
  <si>
    <t>Total acres in grazing system</t>
  </si>
  <si>
    <t>acres</t>
  </si>
  <si>
    <t>Heifer price</t>
  </si>
  <si>
    <t>$ per head</t>
  </si>
  <si>
    <t>Cull cow value</t>
  </si>
  <si>
    <t>Calf selling weight</t>
  </si>
  <si>
    <t>pounds</t>
  </si>
  <si>
    <t>Calf selling price</t>
  </si>
  <si>
    <t>$ per pound</t>
  </si>
  <si>
    <t>Cow carrying cost</t>
  </si>
  <si>
    <t>$ per year</t>
  </si>
  <si>
    <t>$ per ton</t>
  </si>
  <si>
    <t>Economic factors</t>
  </si>
  <si>
    <t>Interest rate</t>
  </si>
  <si>
    <t>% APR</t>
  </si>
  <si>
    <t>Labor cost</t>
  </si>
  <si>
    <t>$ per hour</t>
  </si>
  <si>
    <t>Fencing System Item</t>
  </si>
  <si>
    <t>$/Unit</t>
  </si>
  <si>
    <t>Useful life</t>
  </si>
  <si>
    <t>Total cost</t>
  </si>
  <si>
    <t>Cost/year</t>
  </si>
  <si>
    <t>Annual cost/Acre</t>
  </si>
  <si>
    <t>Upfront collar investment</t>
  </si>
  <si>
    <t>collars</t>
  </si>
  <si>
    <t>Tower/beacon</t>
  </si>
  <si>
    <t>towers</t>
  </si>
  <si>
    <t>Spare collars</t>
  </si>
  <si>
    <t>Installation and training labor</t>
  </si>
  <si>
    <t>hours</t>
  </si>
  <si>
    <t>feet</t>
  </si>
  <si>
    <t>Other</t>
  </si>
  <si>
    <t>One-time cost-share payments</t>
  </si>
  <si>
    <t>Total Virtual Fence System Cost</t>
  </si>
  <si>
    <t>DO NOT RECORD EXISTING WATER SYSTEMS</t>
  </si>
  <si>
    <t>Water System Item</t>
  </si>
  <si>
    <t>Trenching/fill</t>
  </si>
  <si>
    <t>Risers</t>
  </si>
  <si>
    <t>risers</t>
  </si>
  <si>
    <t>Tanks &amp; valves</t>
  </si>
  <si>
    <t>tanks</t>
  </si>
  <si>
    <t>Well &amp; pump</t>
  </si>
  <si>
    <t>well</t>
  </si>
  <si>
    <t>Total Water System Improvement Cost</t>
  </si>
  <si>
    <t>Grazing Management Partial Budget Analysis</t>
  </si>
  <si>
    <t>Select sensitivity analysis variable below</t>
  </si>
  <si>
    <r>
      <rPr>
        <b/>
        <sz val="14"/>
        <rFont val="Aptos"/>
        <family val="2"/>
      </rPr>
      <t>Proposed change:</t>
    </r>
    <r>
      <rPr>
        <sz val="14"/>
        <rFont val="Aptos"/>
        <family val="2"/>
      </rPr>
      <t xml:space="preserve"> Continuous grazing to virtual fence (VF) MiG grazing system for cow-calf operation </t>
    </r>
  </si>
  <si>
    <t>Stocking rate change, %</t>
  </si>
  <si>
    <t>Scenario assumptions</t>
  </si>
  <si>
    <t>Value</t>
  </si>
  <si>
    <t>Annual cost additions</t>
  </si>
  <si>
    <t xml:space="preserve">Stocking rate </t>
  </si>
  <si>
    <t>$ per collar</t>
  </si>
  <si>
    <t>days</t>
  </si>
  <si>
    <t>$ per acre</t>
  </si>
  <si>
    <t xml:space="preserve">Partial budget analysis </t>
  </si>
  <si>
    <t>Additional returns</t>
  </si>
  <si>
    <t>Total</t>
  </si>
  <si>
    <t>Additional costs</t>
  </si>
  <si>
    <t>Additional calf revenue</t>
  </si>
  <si>
    <t>Virtual fencing and water system</t>
  </si>
  <si>
    <t>Change in annual costs due to virtual fence, $ per head</t>
  </si>
  <si>
    <t>Annual VF cost-share payments</t>
  </si>
  <si>
    <t>Extra cow depreciation</t>
  </si>
  <si>
    <t>Enter</t>
  </si>
  <si>
    <t>Extra cow interest</t>
  </si>
  <si>
    <t>Extra labor expense</t>
  </si>
  <si>
    <t>Extra operating expense</t>
  </si>
  <si>
    <t>Total:</t>
  </si>
  <si>
    <t>Extra fence &amp; water repairs</t>
  </si>
  <si>
    <t>Reduced costs</t>
  </si>
  <si>
    <t>Reduced returns</t>
  </si>
  <si>
    <t>Hay fed</t>
  </si>
  <si>
    <t>Fertilizer used</t>
  </si>
  <si>
    <t>Labor reduction</t>
  </si>
  <si>
    <t>NET ANNUAL IMPACT OF VIRTUAL FENCE</t>
  </si>
  <si>
    <t>Whole farm</t>
  </si>
  <si>
    <t>(Additional returns + reduced costs - additional costs - reduced returns)</t>
  </si>
  <si>
    <t>Per Cow</t>
  </si>
  <si>
    <t>Per Acre</t>
  </si>
  <si>
    <t>New investment in EF system</t>
  </si>
  <si>
    <t>Total $</t>
  </si>
  <si>
    <t>EF system lifespan</t>
  </si>
  <si>
    <t>years</t>
  </si>
  <si>
    <t>$/acre</t>
  </si>
  <si>
    <t>Annual EF system management labor</t>
  </si>
  <si>
    <t>Annual VF system management labor</t>
  </si>
  <si>
    <t>Additional returns to virtual fence</t>
  </si>
  <si>
    <t>Annual VF cost share payments</t>
  </si>
  <si>
    <t>Extra fence &amp; water repairs for VF systems</t>
  </si>
  <si>
    <t xml:space="preserve">EF system fixed costs </t>
  </si>
  <si>
    <t>Lost MiG cost-share</t>
  </si>
  <si>
    <t>EF system operating cost</t>
  </si>
  <si>
    <t>Eliminated EF labor</t>
  </si>
  <si>
    <t>Reduction in hay feeding season</t>
  </si>
  <si>
    <t xml:space="preserve">Reduced fertilizer expense </t>
  </si>
  <si>
    <t>Changes in production</t>
  </si>
  <si>
    <t>Stocking rate change</t>
  </si>
  <si>
    <t>Increase</t>
  </si>
  <si>
    <t>total</t>
  </si>
  <si>
    <t>Partial budgets analyze changes between systems rather than the entire production system. Here, only grazing management system, infrastructure and herd changes are analyzed. While a change in grazing systems may yield a positive return, it may not bring profitability to the operation as a whole.</t>
  </si>
  <si>
    <t xml:space="preserve">Enter the appropriate values for your situation in the gray filled cells. A summary of the cost and return of grazing management practices is at the bottom of each sheet, with a sensitivity analysis of either system cost or stocking rate change and weaned calf price presented on the upper right hand corner of the sheet. </t>
  </si>
  <si>
    <t>Investment in VF System:</t>
  </si>
  <si>
    <t>Investment in improved water system</t>
  </si>
  <si>
    <t>Sensitivity analysis, return to VF per cow</t>
  </si>
  <si>
    <t>Note: default value is "0" when virtual fence offers no change from electric fence</t>
  </si>
  <si>
    <t>Assumption</t>
  </si>
  <si>
    <t xml:space="preserve">Annual VF subscription fees </t>
  </si>
  <si>
    <t xml:space="preserve">Annual VF labor hours </t>
  </si>
  <si>
    <t>Fence and water systems</t>
  </si>
  <si>
    <t>Additional costs of virtual fence</t>
  </si>
  <si>
    <t>Additional costs of EF</t>
  </si>
  <si>
    <t xml:space="preserve">Reduced returns after adopting VF </t>
  </si>
  <si>
    <r>
      <rPr>
        <b/>
        <sz val="14"/>
        <rFont val="Aptos"/>
        <family val="2"/>
      </rPr>
      <t>Proposed change:</t>
    </r>
    <r>
      <rPr>
        <sz val="14"/>
        <rFont val="Aptos"/>
        <family val="2"/>
      </rPr>
      <t xml:space="preserve"> Replacing electric fence (EF) with virtual fence (VF) in an existing cow-calf MiG grazing system </t>
    </r>
  </si>
  <si>
    <t>Pipeline 1" PVC</t>
  </si>
  <si>
    <t xml:space="preserve">This worksheet is filled with default values to demonstrate the function of the tool. The default assumptions are estimates of quantities and prices that may not reflect your situation. Do not make important decisions without considering all relevant information to your operation. </t>
  </si>
  <si>
    <t>Virtual fence system</t>
  </si>
  <si>
    <t>Improved water system</t>
  </si>
  <si>
    <t>Change in cow-days per acre</t>
  </si>
  <si>
    <t>Weaned calf price, $ per cwt.</t>
  </si>
  <si>
    <t>Daily hay used</t>
  </si>
  <si>
    <t>tons</t>
  </si>
  <si>
    <t>Forage access evaluator</t>
  </si>
  <si>
    <t>Cash rental value</t>
  </si>
  <si>
    <t>Annual fertilizer applied</t>
  </si>
  <si>
    <t>Weed control</t>
  </si>
  <si>
    <t>Annual fence cost per acre</t>
  </si>
  <si>
    <t>Annual cost of water access per acre</t>
  </si>
  <si>
    <t>Acres in system</t>
  </si>
  <si>
    <t>Cows stocked</t>
  </si>
  <si>
    <t>Total cow-days per acre</t>
  </si>
  <si>
    <t>Total cost of grazed forage per acre</t>
  </si>
  <si>
    <t>Cost of grazed forage per cow-day</t>
  </si>
  <si>
    <t>Cost of stored forage, $ per ton</t>
  </si>
  <si>
    <t>Feed consumption, % of body weight</t>
  </si>
  <si>
    <t>Wasted feed, % of total fed</t>
  </si>
  <si>
    <t>Daily feeding time, minutes</t>
  </si>
  <si>
    <t>Feeding labor, $ per hour</t>
  </si>
  <si>
    <t>Total cost of feeding</t>
  </si>
  <si>
    <t>Total cost of grazing</t>
  </si>
  <si>
    <t>Cost of feeding per head</t>
  </si>
  <si>
    <t>Cost of feeding per cow-day</t>
  </si>
  <si>
    <t>Grazing period total</t>
  </si>
  <si>
    <t>Per head</t>
  </si>
  <si>
    <t>Per head, per day</t>
  </si>
  <si>
    <t>Tractor operating cost, $ per hour</t>
  </si>
  <si>
    <t>System information</t>
  </si>
  <si>
    <t>Feeding information</t>
  </si>
  <si>
    <t>Pasture cost information</t>
  </si>
  <si>
    <t>Grazing duration, days</t>
  </si>
  <si>
    <t>Average cow weight, pounds</t>
  </si>
  <si>
    <t>Hay price</t>
  </si>
  <si>
    <t>VF labor expense</t>
  </si>
  <si>
    <t xml:space="preserve">This analysis assumes that the facilties and equipment for feeding hay or other stored feeds are already present, and will be maintained for feeding livestock regardless of virtual fence usage. </t>
  </si>
  <si>
    <t>Maintenance reduction</t>
  </si>
  <si>
    <t>Updated: 6/2026</t>
  </si>
  <si>
    <t>Partial Budget Analysis of Virtual Fencing Systems</t>
  </si>
  <si>
    <r>
      <t xml:space="preserve"> The </t>
    </r>
    <r>
      <rPr>
        <i/>
        <sz val="12"/>
        <color theme="1"/>
        <rFont val="Aptos"/>
        <family val="2"/>
      </rPr>
      <t>General assumptions</t>
    </r>
    <r>
      <rPr>
        <sz val="12"/>
        <color theme="1"/>
        <rFont val="Aptos"/>
        <family val="2"/>
      </rPr>
      <t xml:space="preserve"> sheet is where you can enter basic information about your operation and the current livestock market. Configure the virtual fence system you are considering and the changes made to your water system on the </t>
    </r>
    <r>
      <rPr>
        <i/>
        <sz val="12"/>
        <color theme="1"/>
        <rFont val="Aptos"/>
        <family val="2"/>
      </rPr>
      <t xml:space="preserve">Fence and water system  details </t>
    </r>
    <r>
      <rPr>
        <sz val="12"/>
        <color theme="1"/>
        <rFont val="Aptos"/>
        <family val="2"/>
      </rPr>
      <t xml:space="preserve">sheet. </t>
    </r>
    <r>
      <rPr>
        <i/>
        <sz val="12"/>
        <color theme="1"/>
        <rFont val="Aptos"/>
        <family val="2"/>
      </rPr>
      <t xml:space="preserve">Continuous to VF </t>
    </r>
    <r>
      <rPr>
        <sz val="12"/>
        <color theme="1"/>
        <rFont val="Aptos"/>
        <family val="2"/>
      </rPr>
      <t xml:space="preserve">and </t>
    </r>
    <r>
      <rPr>
        <i/>
        <sz val="12"/>
        <color theme="1"/>
        <rFont val="Aptos"/>
        <family val="2"/>
      </rPr>
      <t xml:space="preserve">MiG - EF to VF </t>
    </r>
    <r>
      <rPr>
        <sz val="12"/>
        <color theme="1"/>
        <rFont val="Aptos"/>
        <family val="2"/>
      </rPr>
      <t xml:space="preserve">present two independent partial budget analyses. On the left, use the gray cells to customize the analysis and view the results below. On the right, a sensitivity analysis can help to visualize the impact of various changes on the breakeven of virtual fence systems. For a simple analysis of VF's value when accessing underfenced forages, see the </t>
    </r>
    <r>
      <rPr>
        <i/>
        <sz val="12"/>
        <color theme="1"/>
        <rFont val="Aptos"/>
        <family val="2"/>
      </rPr>
      <t xml:space="preserve">Forage access evaluator </t>
    </r>
    <r>
      <rPr>
        <sz val="12"/>
        <color theme="1"/>
        <rFont val="Aptos"/>
        <family val="2"/>
      </rPr>
      <t>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</si>
</sst>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0_);_(* \(#,##0.0\);_(* &quot;-&quot;??_);_(@_)"/>
    <numFmt numFmtId="167" formatCode="_(* #,##0_);_(* \(#,##0\);_(* &quot;-&quot;??_);_(@_)"/>
    <numFmt numFmtId="168" formatCode="0.00;[Red]\-0.00"/>
  </numFmts>
  <fonts count="34">
    <font>
      <sz val="11"/>
      <color theme="1"/>
      <name val="Calibri"/>
      <family val="2"/>
      <scheme val="minor"/>
    </font>
    <font>
      <sz val="11"/>
      <color theme="1"/>
      <name val="Calibri"/>
      <family val="2"/>
      <scheme val="minor"/>
    </font>
    <font>
      <sz val="11"/>
      <color theme="1"/>
      <name val="Aptos"/>
      <family val="2"/>
    </font>
    <font>
      <sz val="14"/>
      <color theme="1"/>
      <name val="Aptos"/>
      <family val="2"/>
    </font>
    <font>
      <b/>
      <sz val="12"/>
      <color theme="1"/>
      <name val="Aptos"/>
      <family val="2"/>
    </font>
    <font>
      <b/>
      <sz val="14"/>
      <color theme="1"/>
      <name val="Aptos"/>
      <family val="2"/>
    </font>
    <font>
      <b/>
      <sz val="11"/>
      <color theme="1"/>
      <name val="Aptos"/>
      <family val="2"/>
    </font>
    <font>
      <b/>
      <i/>
      <sz val="12"/>
      <color theme="1"/>
      <name val="Aptos"/>
      <family val="2"/>
    </font>
    <font>
      <sz val="10"/>
      <color theme="1"/>
      <name val="Aptos"/>
      <family val="2"/>
    </font>
    <font>
      <b/>
      <sz val="18"/>
      <color rgb="FFFFC000"/>
      <name val="Aptos Black"/>
      <family val="2"/>
    </font>
    <font>
      <sz val="11"/>
      <color theme="0"/>
      <name val="Aptos"/>
      <family val="2"/>
    </font>
    <font>
      <b/>
      <sz val="11"/>
      <color rgb="FF3F3F3F"/>
      <name val="Calibri"/>
      <family val="2"/>
      <scheme val="minor"/>
    </font>
    <font>
      <sz val="12"/>
      <color theme="1"/>
      <name val="Aptos"/>
      <family val="2"/>
    </font>
    <font>
      <b/>
      <sz val="14"/>
      <color rgb="FFFFC000"/>
      <name val="Aptos Black"/>
      <family val="2"/>
    </font>
    <font>
      <sz val="11"/>
      <color indexed="8"/>
      <name val="Aptos"/>
      <family val="2"/>
    </font>
    <font>
      <sz val="10"/>
      <name val="TimesNewRomanPS"/>
    </font>
    <font>
      <sz val="11"/>
      <name val="Aptos"/>
      <family val="2"/>
    </font>
    <font>
      <sz val="12"/>
      <name val="Aptos"/>
      <family val="2"/>
    </font>
    <font>
      <b/>
      <sz val="12"/>
      <color rgb="FF3F3F3F"/>
      <name val="Aptos"/>
      <family val="2"/>
    </font>
    <font>
      <b/>
      <sz val="16"/>
      <color rgb="FFF1B82D"/>
      <name val="Aptos Black"/>
      <family val="2"/>
    </font>
    <font>
      <sz val="14"/>
      <color rgb="FFFFC000"/>
      <name val="Aptos Black"/>
      <family val="2"/>
    </font>
    <font>
      <sz val="14"/>
      <color rgb="FFFFC000"/>
      <name val="Aptos"/>
      <family val="2"/>
    </font>
    <font>
      <i/>
      <sz val="12"/>
      <name val="Aptos"/>
      <family val="2"/>
    </font>
    <font>
      <b/>
      <sz val="18"/>
      <color rgb="FFFFC000"/>
      <name val="Aptos"/>
      <family val="2"/>
    </font>
    <font>
      <b/>
      <sz val="12"/>
      <name val="Aptos"/>
      <family val="2"/>
    </font>
    <font>
      <b/>
      <sz val="14"/>
      <name val="Aptos"/>
      <family val="2"/>
    </font>
    <font>
      <sz val="14"/>
      <name val="Aptos"/>
      <family val="2"/>
    </font>
    <font>
      <sz val="10"/>
      <name val="Aptos"/>
      <family val="2"/>
    </font>
    <font>
      <i/>
      <sz val="12"/>
      <color theme="1"/>
      <name val="Aptos"/>
      <family val="2"/>
    </font>
    <font>
      <b/>
      <sz val="14"/>
      <color rgb="FFFFC000"/>
      <name val="Aptos"/>
      <family val="2"/>
    </font>
    <font>
      <b/>
      <sz val="14"/>
      <color rgb="FFFFC000"/>
      <name val="Aptos "/>
    </font>
    <font>
      <sz val="14"/>
      <color theme="1"/>
      <name val="Aptos "/>
    </font>
    <font>
      <b/>
      <sz val="12"/>
      <name val="Aptos "/>
    </font>
    <font>
      <sz val="11"/>
      <color rgb="FFFFC000"/>
      <name val="Aptos"/>
      <family val="2"/>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rgb="FF3F3F3F"/>
      </left>
      <right/>
      <top style="thin">
        <color rgb="FF3F3F3F"/>
      </top>
      <bottom style="thin">
        <color rgb="FF3F3F3F"/>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4" borderId="13" applyNumberFormat="0" applyAlignment="0" applyProtection="0"/>
    <xf numFmtId="0" fontId="15" fillId="0" borderId="0"/>
    <xf numFmtId="0" fontId="1" fillId="0" borderId="0"/>
  </cellStyleXfs>
  <cellXfs count="191">
    <xf numFmtId="0" fontId="0" fillId="0" borderId="0" xfId="0"/>
    <xf numFmtId="0" fontId="3" fillId="0" borderId="0" xfId="0" applyFont="1"/>
    <xf numFmtId="0" fontId="2" fillId="0" borderId="0" xfId="0" applyFont="1"/>
    <xf numFmtId="5" fontId="4" fillId="0" borderId="0" xfId="0" applyNumberFormat="1" applyFont="1" applyAlignment="1">
      <alignment horizontal="right"/>
    </xf>
    <xf numFmtId="5" fontId="4" fillId="0" borderId="5" xfId="0" applyNumberFormat="1" applyFont="1" applyBorder="1" applyAlignment="1">
      <alignment horizontal="right"/>
    </xf>
    <xf numFmtId="165" fontId="2" fillId="0" borderId="0" xfId="0" applyNumberFormat="1" applyFont="1"/>
    <xf numFmtId="0" fontId="5" fillId="0" borderId="0" xfId="0" applyFont="1" applyAlignment="1">
      <alignment horizontal="left"/>
    </xf>
    <xf numFmtId="0" fontId="8" fillId="0" borderId="0" xfId="0" applyFont="1"/>
    <xf numFmtId="165" fontId="2" fillId="0" borderId="1" xfId="0" applyNumberFormat="1" applyFont="1" applyBorder="1"/>
    <xf numFmtId="0" fontId="7" fillId="0" borderId="0" xfId="0" applyFont="1" applyAlignment="1">
      <alignment horizontal="center"/>
    </xf>
    <xf numFmtId="0" fontId="4" fillId="0" borderId="0" xfId="0" applyFont="1"/>
    <xf numFmtId="0" fontId="4" fillId="0" borderId="10" xfId="0" applyFont="1" applyBorder="1"/>
    <xf numFmtId="5" fontId="4" fillId="0" borderId="11" xfId="0" applyNumberFormat="1" applyFont="1" applyBorder="1"/>
    <xf numFmtId="7" fontId="4" fillId="0" borderId="5" xfId="0" applyNumberFormat="1" applyFont="1" applyBorder="1"/>
    <xf numFmtId="0" fontId="12" fillId="0" borderId="0" xfId="0" applyFont="1"/>
    <xf numFmtId="0" fontId="13" fillId="2" borderId="2" xfId="0" applyFont="1" applyFill="1" applyBorder="1"/>
    <xf numFmtId="0" fontId="14" fillId="2" borderId="2" xfId="0" applyFont="1" applyFill="1" applyBorder="1"/>
    <xf numFmtId="168" fontId="14" fillId="2" borderId="2" xfId="0" quotePrefix="1" applyNumberFormat="1" applyFont="1" applyFill="1" applyBorder="1"/>
    <xf numFmtId="0" fontId="14" fillId="2" borderId="3" xfId="0" applyFont="1" applyFill="1" applyBorder="1"/>
    <xf numFmtId="0" fontId="16" fillId="0" borderId="0" xfId="0" applyFont="1"/>
    <xf numFmtId="6" fontId="17" fillId="6" borderId="16" xfId="2" applyNumberFormat="1" applyFont="1" applyFill="1" applyBorder="1" applyProtection="1"/>
    <xf numFmtId="0" fontId="16" fillId="0" borderId="0" xfId="0" applyFont="1" applyAlignment="1">
      <alignment vertical="center"/>
    </xf>
    <xf numFmtId="0" fontId="12" fillId="5" borderId="0" xfId="0" applyFont="1" applyFill="1" applyAlignment="1">
      <alignment horizontal="left" vertical="top" wrapText="1"/>
    </xf>
    <xf numFmtId="0" fontId="12" fillId="5" borderId="0" xfId="0" applyFont="1" applyFill="1"/>
    <xf numFmtId="0" fontId="4" fillId="5" borderId="0" xfId="0" applyFont="1" applyFill="1"/>
    <xf numFmtId="0" fontId="4" fillId="5" borderId="0" xfId="0" applyFont="1" applyFill="1" applyAlignment="1">
      <alignment horizontal="left" indent="4"/>
    </xf>
    <xf numFmtId="0" fontId="18" fillId="5" borderId="0" xfId="4" applyFont="1" applyFill="1" applyBorder="1" applyAlignment="1">
      <alignment horizontal="center"/>
    </xf>
    <xf numFmtId="0" fontId="2" fillId="0" borderId="1" xfId="0" applyFont="1" applyBorder="1"/>
    <xf numFmtId="0" fontId="12" fillId="3" borderId="0" xfId="0" applyFont="1" applyFill="1"/>
    <xf numFmtId="9" fontId="12" fillId="3" borderId="0" xfId="3" applyFont="1" applyFill="1"/>
    <xf numFmtId="0" fontId="12" fillId="0" borderId="1" xfId="0" applyFont="1" applyBorder="1"/>
    <xf numFmtId="0" fontId="12" fillId="3" borderId="0" xfId="0" applyFont="1" applyFill="1" applyAlignment="1">
      <alignment horizontal="right"/>
    </xf>
    <xf numFmtId="9" fontId="12" fillId="3" borderId="0" xfId="3" applyFont="1" applyFill="1" applyBorder="1"/>
    <xf numFmtId="164" fontId="12" fillId="3" borderId="0" xfId="0" applyNumberFormat="1" applyFont="1" applyFill="1"/>
    <xf numFmtId="0" fontId="4" fillId="0" borderId="1" xfId="0" applyFont="1" applyBorder="1"/>
    <xf numFmtId="0" fontId="12" fillId="3" borderId="1" xfId="0" applyFont="1" applyFill="1" applyBorder="1"/>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4" fillId="0" borderId="8" xfId="0" applyFont="1" applyBorder="1"/>
    <xf numFmtId="7" fontId="4" fillId="0" borderId="7" xfId="0" applyNumberFormat="1" applyFont="1" applyBorder="1"/>
    <xf numFmtId="0" fontId="4" fillId="7" borderId="0" xfId="0" applyFont="1" applyFill="1"/>
    <xf numFmtId="0" fontId="5" fillId="7" borderId="0" xfId="0" applyFont="1" applyFill="1" applyAlignment="1">
      <alignment horizontal="left"/>
    </xf>
    <xf numFmtId="0" fontId="2" fillId="7" borderId="0" xfId="0" applyFont="1" applyFill="1"/>
    <xf numFmtId="0" fontId="6" fillId="7" borderId="0" xfId="0" applyFont="1" applyFill="1" applyAlignment="1">
      <alignment horizontal="right"/>
    </xf>
    <xf numFmtId="165" fontId="2" fillId="7" borderId="0" xfId="0" applyNumberFormat="1" applyFont="1" applyFill="1"/>
    <xf numFmtId="164" fontId="2" fillId="7" borderId="0" xfId="0" applyNumberFormat="1" applyFont="1" applyFill="1"/>
    <xf numFmtId="0" fontId="10" fillId="0" borderId="0" xfId="0" applyFont="1"/>
    <xf numFmtId="0" fontId="8" fillId="0" borderId="0" xfId="0" applyFont="1" applyAlignment="1">
      <alignment horizontal="left"/>
    </xf>
    <xf numFmtId="0" fontId="8" fillId="0" borderId="1" xfId="0" applyFont="1" applyBorder="1" applyAlignment="1">
      <alignment horizontal="left"/>
    </xf>
    <xf numFmtId="164" fontId="17" fillId="5" borderId="1" xfId="3" applyNumberFormat="1" applyFont="1" applyFill="1" applyBorder="1" applyProtection="1"/>
    <xf numFmtId="164" fontId="17" fillId="0" borderId="1" xfId="3" applyNumberFormat="1" applyFont="1" applyBorder="1" applyProtection="1"/>
    <xf numFmtId="7" fontId="17" fillId="5" borderId="15" xfId="1" applyNumberFormat="1" applyFont="1" applyFill="1" applyBorder="1" applyAlignment="1" applyProtection="1">
      <alignment horizontal="right"/>
    </xf>
    <xf numFmtId="6" fontId="17" fillId="5" borderId="16" xfId="2" applyNumberFormat="1" applyFont="1" applyFill="1" applyBorder="1" applyProtection="1"/>
    <xf numFmtId="7" fontId="17" fillId="0" borderId="15" xfId="1" applyNumberFormat="1" applyFont="1" applyBorder="1" applyAlignment="1" applyProtection="1">
      <alignment horizontal="right"/>
    </xf>
    <xf numFmtId="7" fontId="17" fillId="5" borderId="17" xfId="1" applyNumberFormat="1" applyFont="1" applyFill="1" applyBorder="1" applyAlignment="1" applyProtection="1">
      <alignment horizontal="right"/>
    </xf>
    <xf numFmtId="0" fontId="23" fillId="0" borderId="0" xfId="0" applyFont="1" applyAlignment="1">
      <alignment horizontal="center" vertical="center"/>
    </xf>
    <xf numFmtId="0" fontId="24" fillId="5" borderId="0" xfId="5" applyFont="1" applyFill="1"/>
    <xf numFmtId="0" fontId="9"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12" fillId="0" borderId="0" xfId="0" applyFont="1" applyAlignment="1">
      <alignment horizontal="left"/>
    </xf>
    <xf numFmtId="0" fontId="4" fillId="0" borderId="2" xfId="0" applyFont="1" applyBorder="1" applyAlignment="1">
      <alignment horizontal="left"/>
    </xf>
    <xf numFmtId="0" fontId="4" fillId="0" borderId="2" xfId="0" applyFont="1" applyBorder="1" applyAlignment="1">
      <alignment horizontal="right"/>
    </xf>
    <xf numFmtId="6" fontId="12" fillId="3" borderId="0" xfId="0" applyNumberFormat="1" applyFont="1" applyFill="1"/>
    <xf numFmtId="0" fontId="9" fillId="0" borderId="14" xfId="0" applyFont="1" applyBorder="1" applyAlignment="1">
      <alignment horizontal="center" vertical="center"/>
    </xf>
    <xf numFmtId="0" fontId="27" fillId="0" borderId="0" xfId="0" applyFont="1" applyAlignment="1">
      <alignment vertical="center"/>
    </xf>
    <xf numFmtId="0" fontId="5" fillId="0" borderId="1" xfId="0" applyFont="1" applyBorder="1"/>
    <xf numFmtId="165" fontId="12" fillId="3" borderId="0" xfId="0" applyNumberFormat="1" applyFont="1" applyFill="1"/>
    <xf numFmtId="164" fontId="12" fillId="3" borderId="1" xfId="0" applyNumberFormat="1" applyFont="1" applyFill="1" applyBorder="1"/>
    <xf numFmtId="167" fontId="12" fillId="3" borderId="0" xfId="1" applyNumberFormat="1" applyFont="1" applyFill="1" applyBorder="1"/>
    <xf numFmtId="0" fontId="12" fillId="5" borderId="0" xfId="0" applyFont="1" applyFill="1" applyAlignment="1">
      <alignment horizontal="right"/>
    </xf>
    <xf numFmtId="166" fontId="16" fillId="0" borderId="0" xfId="1" applyNumberFormat="1" applyFont="1"/>
    <xf numFmtId="167" fontId="16" fillId="0" borderId="0" xfId="1" applyNumberFormat="1" applyFont="1"/>
    <xf numFmtId="166" fontId="16" fillId="0" borderId="0" xfId="0" applyNumberFormat="1" applyFont="1"/>
    <xf numFmtId="43" fontId="16" fillId="0" borderId="0" xfId="0" applyNumberFormat="1" applyFont="1"/>
    <xf numFmtId="166" fontId="2" fillId="0" borderId="0" xfId="0" applyNumberFormat="1" applyFont="1"/>
    <xf numFmtId="43" fontId="2" fillId="0" borderId="0" xfId="0" applyNumberFormat="1" applyFont="1"/>
    <xf numFmtId="167" fontId="2" fillId="0" borderId="0" xfId="1" applyNumberFormat="1" applyFont="1"/>
    <xf numFmtId="0" fontId="12" fillId="5" borderId="0" xfId="0" applyFont="1" applyFill="1" applyAlignment="1">
      <alignment vertical="top" wrapText="1"/>
    </xf>
    <xf numFmtId="0" fontId="19" fillId="2" borderId="18" xfId="6" applyFont="1" applyFill="1" applyBorder="1"/>
    <xf numFmtId="0" fontId="4" fillId="5" borderId="0" xfId="0" applyFont="1" applyFill="1" applyAlignment="1">
      <alignment vertical="top" wrapText="1"/>
    </xf>
    <xf numFmtId="0" fontId="18" fillId="4" borderId="19" xfId="4" applyFont="1" applyBorder="1" applyAlignment="1">
      <alignment wrapText="1"/>
    </xf>
    <xf numFmtId="0" fontId="20" fillId="2" borderId="0" xfId="0" applyFont="1" applyFill="1"/>
    <xf numFmtId="0" fontId="21" fillId="2" borderId="0" xfId="0" applyFont="1" applyFill="1"/>
    <xf numFmtId="0" fontId="4" fillId="0" borderId="2" xfId="0" applyFont="1" applyBorder="1"/>
    <xf numFmtId="0" fontId="20" fillId="2" borderId="0" xfId="0" applyFont="1" applyFill="1" applyAlignment="1">
      <alignment horizontal="left"/>
    </xf>
    <xf numFmtId="0" fontId="5" fillId="7" borderId="0" xfId="0" applyFont="1" applyFill="1"/>
    <xf numFmtId="0" fontId="9" fillId="2" borderId="23" xfId="0" applyFont="1" applyFill="1" applyBorder="1" applyAlignment="1">
      <alignment vertical="center"/>
    </xf>
    <xf numFmtId="0" fontId="9" fillId="2" borderId="14"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16" fillId="3" borderId="0" xfId="0" applyFont="1" applyFill="1" applyAlignment="1">
      <alignment vertical="center" wrapText="1"/>
    </xf>
    <xf numFmtId="0" fontId="22" fillId="5" borderId="14" xfId="5" applyFont="1" applyFill="1" applyBorder="1"/>
    <xf numFmtId="0" fontId="14" fillId="0" borderId="0" xfId="0" applyFont="1"/>
    <xf numFmtId="0" fontId="9" fillId="2" borderId="23" xfId="0" applyFont="1" applyFill="1" applyBorder="1" applyAlignment="1">
      <alignment horizontal="left" vertical="center"/>
    </xf>
    <xf numFmtId="0" fontId="9" fillId="2" borderId="14"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5" fontId="17" fillId="5" borderId="15" xfId="1" applyNumberFormat="1" applyFont="1" applyFill="1" applyBorder="1" applyAlignment="1" applyProtection="1">
      <alignment horizontal="right"/>
    </xf>
    <xf numFmtId="5" fontId="17" fillId="0" borderId="15" xfId="1" applyNumberFormat="1" applyFont="1" applyBorder="1" applyAlignment="1" applyProtection="1">
      <alignment horizontal="right"/>
    </xf>
    <xf numFmtId="5" fontId="17" fillId="5" borderId="17" xfId="1" applyNumberFormat="1" applyFont="1" applyFill="1" applyBorder="1" applyAlignment="1" applyProtection="1">
      <alignment horizontal="right"/>
    </xf>
    <xf numFmtId="0" fontId="0" fillId="0" borderId="0" xfId="0" applyAlignment="1">
      <alignment wrapText="1"/>
    </xf>
    <xf numFmtId="0" fontId="12" fillId="5" borderId="0" xfId="0" applyFont="1" applyFill="1" applyAlignment="1">
      <alignment wrapText="1"/>
    </xf>
    <xf numFmtId="1" fontId="2" fillId="0" borderId="0" xfId="0" applyNumberFormat="1" applyFont="1"/>
    <xf numFmtId="1" fontId="2" fillId="0" borderId="0" xfId="0" applyNumberFormat="1" applyFont="1" applyAlignment="1">
      <alignment horizontal="right"/>
    </xf>
    <xf numFmtId="0" fontId="17" fillId="5" borderId="1" xfId="3" applyNumberFormat="1" applyFont="1" applyFill="1" applyBorder="1" applyAlignment="1" applyProtection="1">
      <alignment horizontal="right"/>
    </xf>
    <xf numFmtId="0" fontId="2" fillId="0" borderId="0" xfId="0" applyFont="1" applyAlignment="1">
      <alignment horizontal="right"/>
    </xf>
    <xf numFmtId="0" fontId="2" fillId="2" borderId="0" xfId="0" applyFont="1" applyFill="1"/>
    <xf numFmtId="0" fontId="21" fillId="0" borderId="0" xfId="0" applyFont="1" applyAlignment="1">
      <alignment horizontal="center"/>
    </xf>
    <xf numFmtId="0" fontId="21" fillId="2" borderId="0" xfId="0" applyFont="1" applyFill="1" applyAlignment="1">
      <alignment horizontal="left"/>
    </xf>
    <xf numFmtId="0" fontId="4" fillId="0" borderId="2" xfId="0" applyFont="1" applyBorder="1" applyAlignment="1">
      <alignment horizontal="center"/>
    </xf>
    <xf numFmtId="0" fontId="12" fillId="3" borderId="0" xfId="0" applyFont="1" applyFill="1" applyAlignment="1">
      <alignment wrapText="1"/>
    </xf>
    <xf numFmtId="3" fontId="12" fillId="0" borderId="0" xfId="1" applyNumberFormat="1" applyFont="1" applyFill="1"/>
    <xf numFmtId="0" fontId="12" fillId="0" borderId="0" xfId="0" applyFont="1" applyAlignment="1">
      <alignment horizontal="right"/>
    </xf>
    <xf numFmtId="8" fontId="12" fillId="3" borderId="0" xfId="0" applyNumberFormat="1" applyFont="1" applyFill="1" applyAlignment="1">
      <alignment horizontal="right"/>
    </xf>
    <xf numFmtId="167" fontId="12" fillId="3" borderId="0" xfId="1" applyNumberFormat="1" applyFont="1" applyFill="1" applyAlignment="1">
      <alignment horizontal="right"/>
    </xf>
    <xf numFmtId="165" fontId="12" fillId="0" borderId="0" xfId="0" applyNumberFormat="1" applyFont="1"/>
    <xf numFmtId="164" fontId="12" fillId="0" borderId="0" xfId="0" applyNumberFormat="1" applyFont="1"/>
    <xf numFmtId="3" fontId="12" fillId="3" borderId="0" xfId="0" applyNumberFormat="1" applyFont="1" applyFill="1"/>
    <xf numFmtId="8" fontId="12" fillId="0" borderId="0" xfId="0" applyNumberFormat="1" applyFont="1" applyAlignment="1">
      <alignment horizontal="right"/>
    </xf>
    <xf numFmtId="3" fontId="12" fillId="3" borderId="1" xfId="0" applyNumberFormat="1" applyFont="1" applyFill="1" applyBorder="1"/>
    <xf numFmtId="0" fontId="12" fillId="3" borderId="1" xfId="0" applyFont="1" applyFill="1" applyBorder="1" applyAlignment="1">
      <alignment horizontal="right"/>
    </xf>
    <xf numFmtId="8" fontId="12" fillId="3" borderId="1" xfId="0" applyNumberFormat="1" applyFont="1" applyFill="1" applyBorder="1" applyAlignment="1">
      <alignment horizontal="right"/>
    </xf>
    <xf numFmtId="167" fontId="12" fillId="3" borderId="1" xfId="1" applyNumberFormat="1" applyFont="1" applyFill="1" applyBorder="1" applyAlignment="1">
      <alignment horizontal="right"/>
    </xf>
    <xf numFmtId="165" fontId="12" fillId="0" borderId="1" xfId="0" applyNumberFormat="1" applyFont="1" applyBorder="1"/>
    <xf numFmtId="164" fontId="12" fillId="0" borderId="1" xfId="0" applyNumberFormat="1" applyFont="1" applyBorder="1"/>
    <xf numFmtId="0" fontId="12" fillId="0" borderId="2" xfId="0" applyFont="1" applyBorder="1"/>
    <xf numFmtId="3" fontId="12" fillId="0" borderId="2" xfId="0" applyNumberFormat="1" applyFont="1" applyBorder="1"/>
    <xf numFmtId="0" fontId="12" fillId="0" borderId="2" xfId="0" applyFont="1" applyBorder="1" applyAlignment="1">
      <alignment horizontal="right"/>
    </xf>
    <xf numFmtId="8" fontId="12" fillId="0" borderId="2" xfId="0" applyNumberFormat="1" applyFont="1" applyBorder="1" applyAlignment="1">
      <alignment horizontal="right"/>
    </xf>
    <xf numFmtId="167" fontId="12" fillId="0" borderId="2" xfId="1" applyNumberFormat="1" applyFont="1" applyFill="1" applyBorder="1" applyAlignment="1">
      <alignment horizontal="right"/>
    </xf>
    <xf numFmtId="165" fontId="12" fillId="3" borderId="1" xfId="0" applyNumberFormat="1" applyFont="1" applyFill="1" applyBorder="1"/>
    <xf numFmtId="0" fontId="4" fillId="0" borderId="1" xfId="0" applyFont="1" applyBorder="1" applyAlignment="1">
      <alignment horizontal="right"/>
    </xf>
    <xf numFmtId="3" fontId="12" fillId="3" borderId="0" xfId="1" applyNumberFormat="1" applyFont="1" applyFill="1"/>
    <xf numFmtId="43" fontId="12" fillId="3" borderId="0" xfId="1" applyFont="1" applyFill="1"/>
    <xf numFmtId="3" fontId="12" fillId="0" borderId="0" xfId="0" applyNumberFormat="1" applyFont="1"/>
    <xf numFmtId="164" fontId="12" fillId="3" borderId="0" xfId="0" applyNumberFormat="1" applyFont="1" applyFill="1" applyAlignment="1">
      <alignment horizontal="right"/>
    </xf>
    <xf numFmtId="43" fontId="12" fillId="3" borderId="0" xfId="1" applyFont="1" applyFill="1" applyAlignment="1">
      <alignment horizontal="right"/>
    </xf>
    <xf numFmtId="164" fontId="12" fillId="3" borderId="1" xfId="0" applyNumberFormat="1" applyFont="1" applyFill="1" applyBorder="1" applyAlignment="1">
      <alignment horizontal="right"/>
    </xf>
    <xf numFmtId="43" fontId="12" fillId="3" borderId="1" xfId="1" applyFont="1" applyFill="1" applyBorder="1" applyAlignment="1">
      <alignment horizontal="right"/>
    </xf>
    <xf numFmtId="165" fontId="12" fillId="0" borderId="2" xfId="0" applyNumberFormat="1" applyFont="1" applyBorder="1"/>
    <xf numFmtId="164" fontId="12" fillId="0" borderId="2" xfId="0" applyNumberFormat="1" applyFont="1" applyBorder="1"/>
    <xf numFmtId="0" fontId="4" fillId="0" borderId="20" xfId="0" applyFont="1" applyBorder="1"/>
    <xf numFmtId="0" fontId="4" fillId="0" borderId="0" xfId="0" applyFont="1" applyAlignment="1">
      <alignment horizontal="center"/>
    </xf>
    <xf numFmtId="0" fontId="4" fillId="0" borderId="21" xfId="0" applyFont="1" applyBorder="1" applyAlignment="1">
      <alignment horizontal="right"/>
    </xf>
    <xf numFmtId="0" fontId="12" fillId="0" borderId="4" xfId="0" applyFont="1" applyBorder="1"/>
    <xf numFmtId="5" fontId="12" fillId="0" borderId="0" xfId="0" applyNumberFormat="1" applyFont="1"/>
    <xf numFmtId="5" fontId="12" fillId="0" borderId="5" xfId="0" applyNumberFormat="1" applyFont="1" applyBorder="1"/>
    <xf numFmtId="0" fontId="12" fillId="0" borderId="4" xfId="0" applyFont="1" applyBorder="1" applyAlignment="1">
      <alignment horizontal="left"/>
    </xf>
    <xf numFmtId="5" fontId="12" fillId="3" borderId="0" xfId="0" applyNumberFormat="1" applyFont="1" applyFill="1"/>
    <xf numFmtId="0" fontId="12" fillId="3" borderId="4" xfId="0" applyFont="1" applyFill="1" applyBorder="1" applyAlignment="1">
      <alignment horizontal="left"/>
    </xf>
    <xf numFmtId="5" fontId="12" fillId="3" borderId="1" xfId="0" applyNumberFormat="1" applyFont="1" applyFill="1" applyBorder="1"/>
    <xf numFmtId="0" fontId="4" fillId="0" borderId="4" xfId="0" applyFont="1" applyBorder="1" applyAlignment="1">
      <alignment horizontal="right"/>
    </xf>
    <xf numFmtId="5" fontId="12" fillId="3" borderId="5" xfId="0" applyNumberFormat="1" applyFont="1" applyFill="1" applyBorder="1"/>
    <xf numFmtId="0" fontId="4" fillId="0" borderId="4" xfId="0" applyFont="1" applyBorder="1" applyAlignment="1">
      <alignment horizontal="center"/>
    </xf>
    <xf numFmtId="0" fontId="12" fillId="3" borderId="0" xfId="0" applyFont="1" applyFill="1" applyAlignment="1">
      <alignment horizontal="left"/>
    </xf>
    <xf numFmtId="5" fontId="12" fillId="3" borderId="12" xfId="0" applyNumberFormat="1" applyFont="1" applyFill="1" applyBorder="1"/>
    <xf numFmtId="0" fontId="4" fillId="0" borderId="0" xfId="0" applyFont="1" applyAlignment="1">
      <alignment horizontal="right"/>
    </xf>
    <xf numFmtId="0" fontId="12" fillId="3" borderId="14" xfId="0" applyFont="1" applyFill="1" applyBorder="1" applyAlignment="1">
      <alignment horizontal="left"/>
    </xf>
    <xf numFmtId="0" fontId="4" fillId="3" borderId="0" xfId="0" applyFont="1" applyFill="1" applyAlignment="1">
      <alignment horizontal="left"/>
    </xf>
    <xf numFmtId="44" fontId="12" fillId="0" borderId="0" xfId="0" applyNumberFormat="1" applyFont="1"/>
    <xf numFmtId="0" fontId="12" fillId="0" borderId="6" xfId="0" applyFont="1" applyBorder="1"/>
    <xf numFmtId="0" fontId="12" fillId="0" borderId="8" xfId="0" applyFont="1" applyBorder="1"/>
    <xf numFmtId="0" fontId="12" fillId="0" borderId="7" xfId="0" applyFont="1" applyBorder="1"/>
    <xf numFmtId="0" fontId="4" fillId="0" borderId="9" xfId="0" applyFont="1" applyBorder="1" applyAlignment="1">
      <alignment horizontal="left"/>
    </xf>
    <xf numFmtId="0" fontId="12" fillId="0" borderId="10" xfId="0" applyFont="1" applyBorder="1"/>
    <xf numFmtId="0" fontId="4" fillId="0" borderId="6"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5" fontId="12" fillId="3" borderId="22" xfId="0" applyNumberFormat="1" applyFont="1" applyFill="1" applyBorder="1"/>
    <xf numFmtId="0" fontId="9" fillId="2" borderId="0" xfId="0" applyFont="1" applyFill="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24" fillId="0" borderId="0" xfId="0" applyFont="1" applyAlignment="1">
      <alignment horizontal="right" vertical="center"/>
    </xf>
    <xf numFmtId="164" fontId="2" fillId="3" borderId="1" xfId="0" applyNumberFormat="1" applyFont="1" applyFill="1" applyBorder="1"/>
    <xf numFmtId="164" fontId="4" fillId="0" borderId="0" xfId="0" applyNumberFormat="1" applyFont="1"/>
    <xf numFmtId="164" fontId="4" fillId="0" borderId="1" xfId="0" applyNumberFormat="1" applyFont="1" applyBorder="1"/>
    <xf numFmtId="0" fontId="30" fillId="0" borderId="0" xfId="0" applyFont="1" applyAlignment="1">
      <alignment vertical="center"/>
    </xf>
    <xf numFmtId="0" fontId="31" fillId="0" borderId="0" xfId="0" applyFont="1"/>
    <xf numFmtId="0" fontId="32" fillId="0" borderId="0" xfId="0" applyFont="1" applyAlignment="1">
      <alignment vertical="center"/>
    </xf>
    <xf numFmtId="0" fontId="32" fillId="0" borderId="0" xfId="0" applyFont="1"/>
    <xf numFmtId="0" fontId="4" fillId="0" borderId="25" xfId="0" applyFont="1" applyBorder="1" applyAlignment="1">
      <alignment horizontal="right"/>
    </xf>
    <xf numFmtId="164" fontId="4" fillId="0" borderId="15" xfId="0" applyNumberFormat="1" applyFont="1" applyBorder="1"/>
    <xf numFmtId="0" fontId="4" fillId="0" borderId="26" xfId="0" applyFont="1" applyBorder="1" applyAlignment="1">
      <alignment horizontal="right"/>
    </xf>
    <xf numFmtId="164" fontId="4" fillId="0" borderId="17" xfId="0" applyNumberFormat="1" applyFont="1" applyBorder="1"/>
    <xf numFmtId="0" fontId="29" fillId="2" borderId="24" xfId="0" applyFont="1" applyFill="1" applyBorder="1" applyAlignment="1">
      <alignment horizontal="right"/>
    </xf>
    <xf numFmtId="0" fontId="33" fillId="2" borderId="3" xfId="0" applyFont="1" applyFill="1" applyBorder="1"/>
    <xf numFmtId="165" fontId="4" fillId="0" borderId="15" xfId="0" applyNumberFormat="1" applyFont="1" applyBorder="1"/>
    <xf numFmtId="0" fontId="2" fillId="0" borderId="0" xfId="0" applyFont="1" applyAlignment="1">
      <alignment horizontal="left" wrapText="1"/>
    </xf>
    <xf numFmtId="0" fontId="25" fillId="0" borderId="1" xfId="0" applyFont="1" applyBorder="1" applyAlignment="1">
      <alignment horizontal="left" vertical="center"/>
    </xf>
  </cellXfs>
  <cellStyles count="7">
    <cellStyle name="Comma" xfId="1" builtinId="3"/>
    <cellStyle name="Currency" xfId="2" builtinId="4"/>
    <cellStyle name="Normal" xfId="0" builtinId="0"/>
    <cellStyle name="Normal 2 2" xfId="6" xr:uid="{54F84737-8F30-41EE-B2E9-E79969F6626F}"/>
    <cellStyle name="Normal 2 3" xfId="5" xr:uid="{6B19F111-84DB-4EDD-BAD4-1120655BD9D5}"/>
    <cellStyle name="Output" xfId="4" builtinId="21"/>
    <cellStyle name="Percent" xfId="3" builtinId="5"/>
  </cellStyles>
  <dxfs count="2">
    <dxf>
      <numFmt numFmtId="13" formatCode="0%"/>
    </dxf>
    <dxf>
      <numFmt numFmtId="13" formatCode="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4048125</xdr:colOff>
      <xdr:row>3</xdr:row>
      <xdr:rowOff>85725</xdr:rowOff>
    </xdr:from>
    <xdr:to>
      <xdr:col>1</xdr:col>
      <xdr:colOff>6115050</xdr:colOff>
      <xdr:row>6</xdr:row>
      <xdr:rowOff>6477</xdr:rowOff>
    </xdr:to>
    <xdr:pic>
      <xdr:nvPicPr>
        <xdr:cNvPr id="3" name="Picture 2" descr="University of Missouri Extension">
          <a:extLst>
            <a:ext uri="{FF2B5EF4-FFF2-40B4-BE49-F238E27FC236}">
              <a16:creationId xmlns:a16="http://schemas.microsoft.com/office/drawing/2014/main" id="{40BDB82C-D015-4716-A4CF-2E0406A8D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67200" y="561975"/>
          <a:ext cx="2066925" cy="5303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berts, Carson" id="{6826A754-2CB4-4C10-9694-4630E6A49510}" userId="S::cr7xy@umsystem.edu::30057d06-cb91-44e1-948a-a1a6b928a2f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6-04-02T14:11:21.14" personId="{6826A754-2CB4-4C10-9694-4630E6A49510}" id="{7E3C35DB-547E-4DEB-9F2D-84418CF9E20B}" done="1">
    <text xml:space="preserve">The halter collars do not have a cost, but the tower is $ 5000. the cellular collars-nofence&amp;Monil do not have the tower expense… 
plus, there needs to be a line expense for subscription fees.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867D-8D2E-4E0F-A04D-EED313044632}">
  <dimension ref="A2:E17"/>
  <sheetViews>
    <sheetView showGridLines="0" topLeftCell="A2" workbookViewId="0">
      <selection activeCell="B12" sqref="B12"/>
    </sheetView>
  </sheetViews>
  <sheetFormatPr defaultColWidth="0" defaultRowHeight="14.4" zeroHeight="1"/>
  <cols>
    <col min="1" max="1" width="3.33203125" customWidth="1"/>
    <col min="2" max="2" width="92.5546875" customWidth="1"/>
    <col min="3" max="3" width="3.33203125" customWidth="1"/>
    <col min="4" max="5" width="0" hidden="1" customWidth="1"/>
    <col min="6" max="16384" width="9.109375" hidden="1"/>
  </cols>
  <sheetData>
    <row r="2" spans="2:2" ht="21.6" thickBot="1">
      <c r="B2" s="80" t="s">
        <v>169</v>
      </c>
    </row>
    <row r="3" spans="2:2" ht="15.6">
      <c r="B3" s="71" t="s">
        <v>168</v>
      </c>
    </row>
    <row r="4" spans="2:2" ht="15.6">
      <c r="B4" s="23"/>
    </row>
    <row r="5" spans="2:2" ht="15.6">
      <c r="B5" s="24" t="s">
        <v>0</v>
      </c>
    </row>
    <row r="6" spans="2:2" ht="16.5" customHeight="1">
      <c r="B6" s="81" t="s">
        <v>1</v>
      </c>
    </row>
    <row r="7" spans="2:2" ht="15.6">
      <c r="B7" s="25"/>
    </row>
    <row r="8" spans="2:2" ht="66.75" customHeight="1">
      <c r="B8" s="79" t="s">
        <v>113</v>
      </c>
    </row>
    <row r="9" spans="2:2" ht="6.75" customHeight="1">
      <c r="B9" s="22"/>
    </row>
    <row r="10" spans="2:2" ht="63.75" customHeight="1">
      <c r="B10" s="79" t="s">
        <v>114</v>
      </c>
    </row>
    <row r="11" spans="2:2" ht="6.75" customHeight="1">
      <c r="B11" s="22"/>
    </row>
    <row r="12" spans="2:2" ht="124.8">
      <c r="B12" s="79" t="s">
        <v>170</v>
      </c>
    </row>
    <row r="13" spans="2:2" ht="6.75" customHeight="1">
      <c r="B13" s="23"/>
    </row>
    <row r="14" spans="2:2" s="102" customFormat="1" ht="51.75" customHeight="1">
      <c r="B14" s="103" t="s">
        <v>128</v>
      </c>
    </row>
    <row r="15" spans="2:2" ht="7.5" customHeight="1">
      <c r="B15" s="23"/>
    </row>
    <row r="16" spans="2:2" ht="39.75" customHeight="1">
      <c r="B16" s="82" t="s">
        <v>2</v>
      </c>
    </row>
    <row r="17" spans="2:2" ht="15.6">
      <c r="B17" s="26"/>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A2E9-F8E2-4DC9-9D41-2640201C5F63}">
  <dimension ref="A1:E26"/>
  <sheetViews>
    <sheetView showGridLines="0" workbookViewId="0"/>
  </sheetViews>
  <sheetFormatPr defaultColWidth="0" defaultRowHeight="15.6" zeroHeight="1"/>
  <cols>
    <col min="1" max="1" width="3.33203125" style="14" customWidth="1"/>
    <col min="2" max="2" width="46" style="14" bestFit="1" customWidth="1"/>
    <col min="3" max="3" width="14.33203125" style="7" customWidth="1"/>
    <col min="4" max="4" width="11.6640625" style="14" bestFit="1" customWidth="1"/>
    <col min="5" max="5" width="3.33203125" style="14" customWidth="1"/>
    <col min="6" max="16384" width="9.109375" style="14" hidden="1"/>
  </cols>
  <sheetData>
    <row r="1" spans="2:4" ht="18">
      <c r="B1" s="83" t="s">
        <v>3</v>
      </c>
      <c r="C1" s="84"/>
      <c r="D1" s="84"/>
    </row>
    <row r="2" spans="2:4">
      <c r="B2" s="34" t="s">
        <v>4</v>
      </c>
      <c r="C2" s="34" t="s">
        <v>5</v>
      </c>
      <c r="D2" s="34" t="s">
        <v>6</v>
      </c>
    </row>
    <row r="3" spans="2:4">
      <c r="B3" s="85" t="s">
        <v>7</v>
      </c>
      <c r="C3" s="85"/>
      <c r="D3" s="85"/>
    </row>
    <row r="4" spans="2:4">
      <c r="B4" s="14" t="s">
        <v>8</v>
      </c>
      <c r="C4" s="7" t="s">
        <v>9</v>
      </c>
      <c r="D4" s="28">
        <v>50</v>
      </c>
    </row>
    <row r="5" spans="2:4">
      <c r="B5" s="14" t="s">
        <v>10</v>
      </c>
      <c r="C5" s="7" t="s">
        <v>11</v>
      </c>
      <c r="D5" s="29">
        <v>0.12</v>
      </c>
    </row>
    <row r="6" spans="2:4">
      <c r="B6" s="14" t="s">
        <v>12</v>
      </c>
      <c r="C6" s="7" t="s">
        <v>11</v>
      </c>
      <c r="D6" s="29">
        <v>0.92</v>
      </c>
    </row>
    <row r="7" spans="2:4">
      <c r="B7" s="14" t="s">
        <v>13</v>
      </c>
      <c r="C7" s="7" t="s">
        <v>14</v>
      </c>
      <c r="D7" s="31">
        <v>150</v>
      </c>
    </row>
    <row r="8" spans="2:4">
      <c r="B8" s="14" t="s">
        <v>15</v>
      </c>
      <c r="C8" s="7" t="s">
        <v>16</v>
      </c>
      <c r="D8" s="33">
        <v>4000</v>
      </c>
    </row>
    <row r="9" spans="2:4">
      <c r="B9" s="14" t="s">
        <v>17</v>
      </c>
      <c r="C9" s="7" t="s">
        <v>16</v>
      </c>
      <c r="D9" s="33">
        <v>2000</v>
      </c>
    </row>
    <row r="10" spans="2:4">
      <c r="B10" s="14" t="s">
        <v>18</v>
      </c>
      <c r="C10" s="7" t="s">
        <v>19</v>
      </c>
      <c r="D10" s="28">
        <v>570</v>
      </c>
    </row>
    <row r="11" spans="2:4">
      <c r="B11" s="14" t="s">
        <v>20</v>
      </c>
      <c r="C11" s="7" t="s">
        <v>21</v>
      </c>
      <c r="D11" s="33">
        <v>4.5</v>
      </c>
    </row>
    <row r="12" spans="2:4">
      <c r="B12" s="14" t="s">
        <v>22</v>
      </c>
      <c r="C12" s="7" t="s">
        <v>23</v>
      </c>
      <c r="D12" s="33">
        <v>950</v>
      </c>
    </row>
    <row r="13" spans="2:4">
      <c r="B13" s="14" t="s">
        <v>164</v>
      </c>
      <c r="C13" s="7" t="s">
        <v>24</v>
      </c>
      <c r="D13" s="33">
        <v>90</v>
      </c>
    </row>
    <row r="14" spans="2:4">
      <c r="B14" s="14" t="s">
        <v>133</v>
      </c>
      <c r="C14" s="7" t="s">
        <v>134</v>
      </c>
      <c r="D14" s="28">
        <v>1.5</v>
      </c>
    </row>
    <row r="15" spans="2:4">
      <c r="B15" s="85" t="s">
        <v>25</v>
      </c>
      <c r="C15" s="85"/>
      <c r="D15" s="85"/>
    </row>
    <row r="16" spans="2:4">
      <c r="B16" s="14" t="s">
        <v>26</v>
      </c>
      <c r="C16" s="7" t="s">
        <v>27</v>
      </c>
      <c r="D16" s="32">
        <v>7.2499999999999995E-2</v>
      </c>
    </row>
    <row r="17" spans="2:4">
      <c r="B17" s="14" t="s">
        <v>28</v>
      </c>
      <c r="C17" s="7" t="s">
        <v>29</v>
      </c>
      <c r="D17" s="33">
        <v>22.5</v>
      </c>
    </row>
    <row r="19" spans="2:4"/>
    <row r="26" spans="2:4"/>
  </sheetData>
  <sheetProtection sheet="1" objects="1" scenarios="1"/>
  <protectedRanges>
    <protectedRange sqref="D4:D14 D16:D17" name="Edit cells"/>
  </protectedRanges>
  <dataValidations disablePrompts="1" count="3">
    <dataValidation allowBlank="1" showInputMessage="1" showErrorMessage="1" prompt="Enter the annual cost associated with  feeding, and managing an additional cow. Do not include pasture costs or ownership costs like interest and depreciation." sqref="D12" xr:uid="{0682BF12-5A5B-4603-82F8-01D3F7A7C06E}"/>
    <dataValidation allowBlank="1" showInputMessage="1" showErrorMessage="1" prompt="Include the hay used by your herd daily when hay is being used for the primary feed. The quantity entered should include both hay consumed and wasted." sqref="D14" xr:uid="{C9C51418-9269-4E30-81D3-986518F541F5}"/>
    <dataValidation allowBlank="1" showInputMessage="1" showErrorMessage="1" prompt="Enter the interest rate paid if financing additional investments with borrowed capital. If not using a loan, enter the annual return of your preferred alternative investment as an opportunity cost of investing in your operation" sqref="D16" xr:uid="{5036C18F-D9A4-446A-8120-EAA940E9051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F00F-7E35-4772-912C-7AABBF6A7BA7}">
  <dimension ref="A1:S24"/>
  <sheetViews>
    <sheetView showGridLines="0" workbookViewId="0"/>
  </sheetViews>
  <sheetFormatPr defaultColWidth="0" defaultRowHeight="15" customHeight="1" zeroHeight="1"/>
  <cols>
    <col min="1" max="1" width="3.33203125" style="2" customWidth="1"/>
    <col min="2" max="2" width="39" style="2" customWidth="1"/>
    <col min="3" max="3" width="9.5546875" style="2" bestFit="1" customWidth="1"/>
    <col min="4" max="4" width="11.6640625" style="2" customWidth="1"/>
    <col min="5" max="5" width="13.109375" style="2" customWidth="1"/>
    <col min="6" max="6" width="11.6640625" style="2" customWidth="1"/>
    <col min="7" max="7" width="11" style="2" bestFit="1" customWidth="1"/>
    <col min="8" max="8" width="11" style="2" customWidth="1"/>
    <col min="9" max="9" width="18.33203125" style="2" customWidth="1"/>
    <col min="10" max="10" width="3.33203125" style="2" customWidth="1"/>
    <col min="11" max="11" width="28.6640625" style="2" hidden="1" customWidth="1"/>
    <col min="12" max="12" width="9.109375" style="2" hidden="1" customWidth="1"/>
    <col min="13" max="13" width="12.6640625" style="2" hidden="1" customWidth="1"/>
    <col min="14" max="14" width="9.109375" style="2" hidden="1" customWidth="1"/>
    <col min="15" max="15" width="10.6640625" style="2" hidden="1" customWidth="1"/>
    <col min="16" max="16" width="10.5546875" style="2" hidden="1" customWidth="1"/>
    <col min="17" max="17" width="10.6640625" style="2" hidden="1" customWidth="1"/>
    <col min="18" max="18" width="18.109375" style="2" hidden="1" customWidth="1"/>
    <col min="19" max="19" width="3.33203125" style="2" hidden="1" customWidth="1"/>
    <col min="20" max="16384" width="9.109375" style="2" hidden="1"/>
  </cols>
  <sheetData>
    <row r="1" spans="2:9" ht="18.75" customHeight="1">
      <c r="B1" s="86" t="s">
        <v>122</v>
      </c>
      <c r="C1" s="110"/>
      <c r="D1" s="110"/>
      <c r="E1" s="110"/>
      <c r="F1" s="110"/>
      <c r="G1" s="110"/>
      <c r="H1" s="110"/>
      <c r="I1" s="110"/>
    </row>
    <row r="2" spans="2:9" ht="18.75" customHeight="1">
      <c r="B2" s="109"/>
      <c r="C2" s="109"/>
      <c r="D2" s="109"/>
      <c r="E2" s="109"/>
      <c r="F2" s="109"/>
      <c r="G2" s="109"/>
      <c r="H2" s="109"/>
      <c r="I2" s="109"/>
    </row>
    <row r="3" spans="2:9" ht="15.75" customHeight="1">
      <c r="B3" s="87" t="s">
        <v>115</v>
      </c>
      <c r="C3" s="87"/>
      <c r="D3" s="87"/>
      <c r="E3" s="87"/>
      <c r="F3" s="87"/>
      <c r="G3" s="87"/>
      <c r="H3" s="87"/>
      <c r="I3" s="87"/>
    </row>
    <row r="4" spans="2:9" ht="15" customHeight="1">
      <c r="B4" s="111" t="s">
        <v>30</v>
      </c>
      <c r="C4" s="63" t="s">
        <v>6</v>
      </c>
      <c r="D4" s="63" t="s">
        <v>5</v>
      </c>
      <c r="E4" s="63" t="s">
        <v>31</v>
      </c>
      <c r="F4" s="63" t="s">
        <v>32</v>
      </c>
      <c r="G4" s="111" t="s">
        <v>33</v>
      </c>
      <c r="H4" s="111" t="s">
        <v>34</v>
      </c>
      <c r="I4" s="111" t="s">
        <v>35</v>
      </c>
    </row>
    <row r="5" spans="2:9" ht="15" customHeight="1">
      <c r="B5" s="112" t="s">
        <v>36</v>
      </c>
      <c r="C5" s="113">
        <f>'General assumptions'!D4</f>
        <v>50</v>
      </c>
      <c r="D5" s="114" t="s">
        <v>37</v>
      </c>
      <c r="E5" s="115">
        <v>300</v>
      </c>
      <c r="F5" s="116">
        <v>6</v>
      </c>
      <c r="G5" s="117">
        <f>C5*E5</f>
        <v>15000</v>
      </c>
      <c r="H5" s="117">
        <f>(G5+G5/2*'General assumptions'!$D$16)/F5*(1-$G$10/$G$11)</f>
        <v>2590.625</v>
      </c>
      <c r="I5" s="118">
        <f>H5/'General assumptions'!$D$7</f>
        <v>17.270833333333332</v>
      </c>
    </row>
    <row r="6" spans="2:9" ht="15" customHeight="1">
      <c r="B6" s="28" t="s">
        <v>38</v>
      </c>
      <c r="C6" s="119">
        <v>0</v>
      </c>
      <c r="D6" s="114" t="s">
        <v>39</v>
      </c>
      <c r="E6" s="115">
        <v>3000</v>
      </c>
      <c r="F6" s="116">
        <v>8</v>
      </c>
      <c r="G6" s="117">
        <f>C6*E6</f>
        <v>0</v>
      </c>
      <c r="H6" s="117">
        <f>(G6+G6/2*'General assumptions'!$D$16)/F6*(1-$G$10/$G$11)</f>
        <v>0</v>
      </c>
      <c r="I6" s="118">
        <f>H6/'General assumptions'!$D$7</f>
        <v>0</v>
      </c>
    </row>
    <row r="7" spans="2:9" ht="15" customHeight="1">
      <c r="B7" s="28" t="s">
        <v>40</v>
      </c>
      <c r="C7" s="119">
        <v>1</v>
      </c>
      <c r="D7" s="114" t="s">
        <v>37</v>
      </c>
      <c r="E7" s="120">
        <f>E5</f>
        <v>300</v>
      </c>
      <c r="F7" s="116">
        <v>6</v>
      </c>
      <c r="G7" s="117">
        <f>C7*E7</f>
        <v>300</v>
      </c>
      <c r="H7" s="117">
        <f>(G7+G7/2*'General assumptions'!$D$16)/F7*(1-$G$10/$G$11)</f>
        <v>51.8125</v>
      </c>
      <c r="I7" s="118">
        <f>H7/'General assumptions'!$D$7</f>
        <v>0.34541666666666665</v>
      </c>
    </row>
    <row r="8" spans="2:9" ht="15" customHeight="1">
      <c r="B8" s="28" t="s">
        <v>41</v>
      </c>
      <c r="C8" s="119">
        <v>8</v>
      </c>
      <c r="D8" s="114" t="s">
        <v>42</v>
      </c>
      <c r="E8" s="120">
        <f>'General assumptions'!D17</f>
        <v>22.5</v>
      </c>
      <c r="F8" s="116">
        <v>6</v>
      </c>
      <c r="G8" s="117">
        <f t="shared" ref="G8" si="0">C8*E8</f>
        <v>180</v>
      </c>
      <c r="H8" s="117">
        <f>(G8+G8/2*'General assumptions'!$D$16)/F8*(1-$G$10/$G$11)</f>
        <v>31.087500000000002</v>
      </c>
      <c r="I8" s="118">
        <f>H8/'General assumptions'!$D$7</f>
        <v>0.20725000000000002</v>
      </c>
    </row>
    <row r="9" spans="2:9" ht="15" customHeight="1">
      <c r="B9" s="35" t="s">
        <v>44</v>
      </c>
      <c r="C9" s="121"/>
      <c r="D9" s="122"/>
      <c r="E9" s="123"/>
      <c r="F9" s="124">
        <v>1</v>
      </c>
      <c r="G9" s="125">
        <f>C9*E9</f>
        <v>0</v>
      </c>
      <c r="H9" s="125">
        <f>(G9+G9/2*'General assumptions'!$D$16)/F9*(1-$G$10/$G$11)</f>
        <v>0</v>
      </c>
      <c r="I9" s="126">
        <f>H9/'General assumptions'!$D$7</f>
        <v>0</v>
      </c>
    </row>
    <row r="10" spans="2:9" ht="15" customHeight="1">
      <c r="B10" s="127" t="s">
        <v>45</v>
      </c>
      <c r="C10" s="128"/>
      <c r="D10" s="129"/>
      <c r="E10" s="130"/>
      <c r="F10" s="131"/>
      <c r="G10" s="132">
        <v>0</v>
      </c>
      <c r="H10" s="125"/>
      <c r="I10" s="126"/>
    </row>
    <row r="11" spans="2:9" ht="15.6">
      <c r="B11" s="30"/>
      <c r="C11" s="30"/>
      <c r="D11" s="30"/>
      <c r="E11" s="133" t="s">
        <v>46</v>
      </c>
      <c r="F11" s="133"/>
      <c r="G11" s="125">
        <f>SUM(G5:G9)-G10</f>
        <v>15480</v>
      </c>
      <c r="H11" s="125">
        <f>SUM(H5:H9)</f>
        <v>2673.5250000000001</v>
      </c>
      <c r="I11" s="126">
        <f>SUM(I5:I9)</f>
        <v>17.823499999999996</v>
      </c>
    </row>
    <row r="12" spans="2:9" ht="18" customHeight="1"/>
    <row r="13" spans="2:9" ht="15" customHeight="1">
      <c r="B13" s="42" t="s">
        <v>116</v>
      </c>
      <c r="C13" s="43"/>
      <c r="D13" s="43"/>
      <c r="E13" s="41" t="s">
        <v>47</v>
      </c>
      <c r="F13" s="44"/>
      <c r="G13" s="45"/>
      <c r="H13" s="45"/>
      <c r="I13" s="46"/>
    </row>
    <row r="14" spans="2:9" ht="15" customHeight="1">
      <c r="B14" s="111" t="s">
        <v>48</v>
      </c>
      <c r="C14" s="111" t="s">
        <v>6</v>
      </c>
      <c r="D14" s="111" t="s">
        <v>5</v>
      </c>
      <c r="E14" s="111" t="s">
        <v>31</v>
      </c>
      <c r="F14" s="63" t="s">
        <v>32</v>
      </c>
      <c r="G14" s="111" t="s">
        <v>33</v>
      </c>
      <c r="H14" s="111" t="s">
        <v>34</v>
      </c>
      <c r="I14" s="111" t="s">
        <v>35</v>
      </c>
    </row>
    <row r="15" spans="2:9" ht="15" customHeight="1">
      <c r="B15" s="28" t="s">
        <v>127</v>
      </c>
      <c r="C15" s="134">
        <v>3000</v>
      </c>
      <c r="D15" s="114" t="s">
        <v>43</v>
      </c>
      <c r="E15" s="33">
        <v>1.25</v>
      </c>
      <c r="F15" s="135">
        <v>40</v>
      </c>
      <c r="G15" s="117">
        <f>C15*E15</f>
        <v>3750</v>
      </c>
      <c r="H15" s="117">
        <f>(G15+G15/2*'General assumptions'!$D$16)/F15*(1-$G$21/$G$22)</f>
        <v>97.1484375</v>
      </c>
      <c r="I15" s="118">
        <f>H15/'General assumptions'!$D$7</f>
        <v>0.64765625000000004</v>
      </c>
    </row>
    <row r="16" spans="2:9" ht="15" customHeight="1">
      <c r="B16" s="14" t="s">
        <v>49</v>
      </c>
      <c r="C16" s="136">
        <f>C15</f>
        <v>3000</v>
      </c>
      <c r="D16" s="114" t="s">
        <v>43</v>
      </c>
      <c r="E16" s="33">
        <v>1.25</v>
      </c>
      <c r="F16" s="135">
        <v>40</v>
      </c>
      <c r="G16" s="117">
        <f t="shared" ref="G16:G20" si="1">C16*E16</f>
        <v>3750</v>
      </c>
      <c r="H16" s="117">
        <f>(G16+G16/2*'General assumptions'!$D$16)/F16*(1-$G$21/$G$22)</f>
        <v>97.1484375</v>
      </c>
      <c r="I16" s="118">
        <f>H16/'General assumptions'!$D$7</f>
        <v>0.64765625000000004</v>
      </c>
    </row>
    <row r="17" spans="2:9" ht="15" customHeight="1">
      <c r="B17" s="28" t="s">
        <v>50</v>
      </c>
      <c r="C17" s="119">
        <v>12</v>
      </c>
      <c r="D17" s="114" t="s">
        <v>51</v>
      </c>
      <c r="E17" s="137">
        <v>500</v>
      </c>
      <c r="F17" s="138">
        <v>40</v>
      </c>
      <c r="G17" s="117">
        <f t="shared" si="1"/>
        <v>6000</v>
      </c>
      <c r="H17" s="117">
        <f>(G17+G17/2*'General assumptions'!$D$16)/F17*(1-$G$21/$G$22)</f>
        <v>155.4375</v>
      </c>
      <c r="I17" s="118">
        <f>H17/'General assumptions'!$D$7</f>
        <v>1.0362499999999999</v>
      </c>
    </row>
    <row r="18" spans="2:9" ht="15" customHeight="1">
      <c r="B18" s="28" t="s">
        <v>52</v>
      </c>
      <c r="C18" s="119">
        <v>2</v>
      </c>
      <c r="D18" s="114" t="s">
        <v>53</v>
      </c>
      <c r="E18" s="137">
        <v>715</v>
      </c>
      <c r="F18" s="138">
        <v>10</v>
      </c>
      <c r="G18" s="117">
        <f t="shared" si="1"/>
        <v>1430</v>
      </c>
      <c r="H18" s="117">
        <f>(G18+G18/2*'General assumptions'!$D$16)/F18*(1-$G$21/$G$22)</f>
        <v>148.18375</v>
      </c>
      <c r="I18" s="118">
        <f>H18/'General assumptions'!$D$7</f>
        <v>0.98789166666666672</v>
      </c>
    </row>
    <row r="19" spans="2:9" ht="15" customHeight="1">
      <c r="B19" s="28" t="s">
        <v>54</v>
      </c>
      <c r="C19" s="134"/>
      <c r="D19" s="114" t="s">
        <v>55</v>
      </c>
      <c r="E19" s="137">
        <v>25000</v>
      </c>
      <c r="F19" s="138">
        <v>40</v>
      </c>
      <c r="G19" s="117">
        <f t="shared" si="1"/>
        <v>0</v>
      </c>
      <c r="H19" s="117">
        <f>(G19+G19/2*'General assumptions'!$D$16)/F19*(1-$G$21/$G$22)</f>
        <v>0</v>
      </c>
      <c r="I19" s="118">
        <f>H19/'General assumptions'!$D$7</f>
        <v>0</v>
      </c>
    </row>
    <row r="20" spans="2:9" ht="15" customHeight="1">
      <c r="B20" s="35" t="s">
        <v>44</v>
      </c>
      <c r="C20" s="121"/>
      <c r="D20" s="122"/>
      <c r="E20" s="139"/>
      <c r="F20" s="140">
        <v>1</v>
      </c>
      <c r="G20" s="125">
        <f t="shared" si="1"/>
        <v>0</v>
      </c>
      <c r="H20" s="125">
        <f>(G20+G20/2*'General assumptions'!$D$16)/F20*(1-$G$21/$G$22)</f>
        <v>0</v>
      </c>
      <c r="I20" s="126">
        <f>H20/'General assumptions'!$D$7</f>
        <v>0</v>
      </c>
    </row>
    <row r="21" spans="2:9" ht="15" customHeight="1">
      <c r="B21" s="127" t="s">
        <v>45</v>
      </c>
      <c r="C21" s="128"/>
      <c r="D21" s="129"/>
      <c r="E21" s="130"/>
      <c r="F21" s="131"/>
      <c r="G21" s="132">
        <v>0</v>
      </c>
      <c r="H21" s="125"/>
      <c r="I21" s="126"/>
    </row>
    <row r="22" spans="2:9" ht="15" customHeight="1">
      <c r="B22" s="30"/>
      <c r="C22" s="30"/>
      <c r="D22" s="30"/>
      <c r="E22" s="133" t="s">
        <v>56</v>
      </c>
      <c r="F22" s="133"/>
      <c r="G22" s="141">
        <f>SUM(G15:G20)-G21</f>
        <v>14930</v>
      </c>
      <c r="H22" s="141">
        <f>SUM(H15:H20)</f>
        <v>497.91812500000003</v>
      </c>
      <c r="I22" s="142">
        <f>SUM(I15:I20)</f>
        <v>3.3194541666666666</v>
      </c>
    </row>
    <row r="23" spans="2:9" ht="15" customHeight="1"/>
    <row r="24" spans="2:9" ht="15" customHeight="1"/>
  </sheetData>
  <sheetProtection sheet="1" objects="1" scenarios="1"/>
  <protectedRanges>
    <protectedRange sqref="B5:B9 C6:C9 D9:F9 F5:F8 E5:E6 G10 B15 C15 B17:C20 D20:F20 E15:F19 G21" name="Edit cells"/>
  </protectedRange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DDE9-DAFE-45AE-A683-E2D306DD6DA5}">
  <dimension ref="A1:X34"/>
  <sheetViews>
    <sheetView showGridLines="0" workbookViewId="0"/>
  </sheetViews>
  <sheetFormatPr defaultColWidth="0" defaultRowHeight="14.4" zeroHeight="1"/>
  <cols>
    <col min="1" max="1" width="3.109375" style="2" customWidth="1"/>
    <col min="2" max="2" width="40.33203125" style="2" customWidth="1"/>
    <col min="3" max="3" width="12.6640625" style="2" bestFit="1" customWidth="1"/>
    <col min="4" max="4" width="9.88671875" style="2" bestFit="1" customWidth="1"/>
    <col min="5" max="5" width="38" style="2" customWidth="1"/>
    <col min="6" max="6" width="16.88671875" style="2" customWidth="1"/>
    <col min="7" max="7" width="14.109375" style="2" customWidth="1"/>
    <col min="8" max="8" width="0.109375" style="2" customWidth="1"/>
    <col min="9" max="9" width="3.109375" style="2" customWidth="1"/>
    <col min="10" max="10" width="27.44140625" style="2" customWidth="1"/>
    <col min="11" max="11" width="21.109375" style="2" bestFit="1" customWidth="1"/>
    <col min="12" max="13" width="9.109375" style="2" customWidth="1"/>
    <col min="14" max="14" width="11.6640625" style="2" bestFit="1" customWidth="1"/>
    <col min="15" max="16" width="9.109375" style="2" customWidth="1"/>
    <col min="17" max="17" width="3.33203125" style="2" customWidth="1"/>
    <col min="18" max="23" width="9.109375" style="2" hidden="1" customWidth="1"/>
    <col min="24" max="24" width="0" style="2" hidden="1" customWidth="1"/>
    <col min="25" max="16384" width="9.109375" style="2" hidden="1"/>
  </cols>
  <sheetData>
    <row r="1" spans="2:24" ht="30" customHeight="1">
      <c r="B1" s="95" t="s">
        <v>57</v>
      </c>
      <c r="C1" s="96"/>
      <c r="D1" s="97"/>
      <c r="E1" s="97"/>
      <c r="F1" s="97"/>
      <c r="G1" s="98"/>
      <c r="I1" s="94"/>
      <c r="J1" s="15" t="s">
        <v>117</v>
      </c>
      <c r="K1" s="16"/>
      <c r="L1" s="16"/>
      <c r="M1" s="16"/>
      <c r="N1" s="16"/>
      <c r="O1" s="17"/>
      <c r="P1" s="18"/>
    </row>
    <row r="2" spans="2:24" ht="17.100000000000001" customHeight="1">
      <c r="B2" s="58"/>
      <c r="C2" s="58"/>
      <c r="D2" s="58"/>
      <c r="E2" s="58"/>
      <c r="F2" s="58"/>
      <c r="G2" s="58"/>
      <c r="I2" s="19"/>
      <c r="J2" s="57" t="s">
        <v>58</v>
      </c>
      <c r="L2" s="93"/>
      <c r="M2" s="93" t="str">
        <f>IF(J3=S14,U8,V6)</f>
        <v>Weaned calf price, $ per cwt.</v>
      </c>
      <c r="N2" s="93"/>
      <c r="O2" s="93"/>
      <c r="P2" s="93"/>
    </row>
    <row r="3" spans="2:24" ht="30.75" customHeight="1">
      <c r="B3" s="60" t="s">
        <v>59</v>
      </c>
      <c r="C3" s="56"/>
      <c r="D3" s="56"/>
      <c r="E3" s="56"/>
      <c r="F3" s="56"/>
      <c r="G3" s="56"/>
      <c r="J3" s="92" t="s">
        <v>60</v>
      </c>
      <c r="K3" s="105" t="str">
        <f t="shared" ref="K3:P3" si="0">IF($J$3=$S$14,S9,"$"&amp;S7*100)</f>
        <v>$383</v>
      </c>
      <c r="L3" s="105" t="str">
        <f t="shared" si="0"/>
        <v>$405</v>
      </c>
      <c r="M3" s="105" t="str">
        <f t="shared" si="0"/>
        <v>$428</v>
      </c>
      <c r="N3" s="105" t="str">
        <f t="shared" si="0"/>
        <v>$450</v>
      </c>
      <c r="O3" s="105" t="str">
        <f t="shared" si="0"/>
        <v>$474</v>
      </c>
      <c r="P3" s="105" t="str">
        <f t="shared" si="0"/>
        <v>$495</v>
      </c>
    </row>
    <row r="4" spans="2:24" ht="17.100000000000001" customHeight="1">
      <c r="B4" s="60"/>
      <c r="C4" s="56"/>
      <c r="D4" s="56"/>
      <c r="E4" s="56"/>
      <c r="F4" s="56"/>
      <c r="G4" s="56"/>
      <c r="J4" s="99" t="str">
        <f>IF($J$3=$S$15,$J$7*100-15&amp;"%",$J$7-150)</f>
        <v>-15%</v>
      </c>
      <c r="K4" s="53">
        <f>IF($J$3=$S$14,S$9*('General assumptions'!$D$7/'General assumptions'!$D$4)*('General assumptions'!$D$13*'General assumptions'!$D$14)/$W19-$J4-$G$29+$C$20/($W19),$V19*'General assumptions'!$D$6*S$7*'General assumptions'!$D$10/($W19)-(SUM($G$14,$G$18,$G$20,$G$15,$G$21,-SUM($C$26:$C$28),'General assumptions'!$D$12*$V19,('General assumptions'!$D$8-'General assumptions'!$D$9)*'General assumptions'!$D$5*$V19,('General assumptions'!$D$8+'General assumptions'!$D$9)/2*'General assumptions'!$D$16*$V19,-'General assumptions'!$D$13*'General assumptions'!$D$14*($C$8+$V19))/$W19))</f>
        <v>-179.0847410714286</v>
      </c>
      <c r="L4" s="53">
        <f>IF($J$3=$S$14,T$9*('General assumptions'!$D$7/'General assumptions'!$D$4)*('General assumptions'!$D$13*'General assumptions'!$D$14)/$W19-$J4-$G$29+$C$20/($W19),$V19*'General assumptions'!$D$6*T$7*'General assumptions'!$D$10/($W19)-(SUM($G$14,$G$18,$G$20,$G$15,$G$21,-SUM($C$26:$C$28),'General assumptions'!$D$12*$V19,('General assumptions'!$D$8-'General assumptions'!$D$9)*'General assumptions'!$D$5*$V19,('General assumptions'!$D$8+'General assumptions'!$D$9)/2*'General assumptions'!$D$16*$V19,-'General assumptions'!$D$13*'General assumptions'!$D$14*($C$8+$V19))/$W19))</f>
        <v>-201.05959821428576</v>
      </c>
      <c r="M4" s="53">
        <f>IF($J$3=$S$14,U$9*('General assumptions'!$D$7/'General assumptions'!$D$4)*('General assumptions'!$D$13*'General assumptions'!$D$14)/$W19-$J4-$G$29+$C$20/($W19),$V19*'General assumptions'!$D$6*U$7*'General assumptions'!$D$10/($W19)-(SUM($G$14,$G$18,$G$20,$G$15,$G$21,-SUM($C$26:$C$28),'General assumptions'!$D$12*$V19,('General assumptions'!$D$8-'General assumptions'!$D$9)*'General assumptions'!$D$5*$V19,('General assumptions'!$D$8+'General assumptions'!$D$9)/2*'General assumptions'!$D$16*$V19,-'General assumptions'!$D$13*'General assumptions'!$D$14*($C$8+$V19))/$W19))</f>
        <v>-224.03331250000002</v>
      </c>
      <c r="N4" s="53">
        <f>IF($J$3=$S$14,V$9*('General assumptions'!$D$7/'General assumptions'!$D$4)*('General assumptions'!$D$13*'General assumptions'!$D$14)/$W19-$J4-$G$29+$C$20/($W19),$V19*'General assumptions'!$D$6*V$7*'General assumptions'!$D$10/($W19)-(SUM($G$14,$G$18,$G$20,$G$15,$G$21,-SUM($C$26:$C$28),'General assumptions'!$D$12*$V19,('General assumptions'!$D$8-'General assumptions'!$D$9)*'General assumptions'!$D$5*$V19,('General assumptions'!$D$8+'General assumptions'!$D$9)/2*'General assumptions'!$D$16*$V19,-'General assumptions'!$D$13*'General assumptions'!$D$14*($C$8+$V19))/$W19))</f>
        <v>-246.00816964285718</v>
      </c>
      <c r="O4" s="53">
        <f>IF($J$3=$S$14,W$9*('General assumptions'!$D$7/'General assumptions'!$D$4)*('General assumptions'!$D$13*'General assumptions'!$D$14)/$W19-$J4-$G$29+$C$20/($W19),$V19*'General assumptions'!$D$6*W$7*'General assumptions'!$D$10/($W19)-(SUM($G$14,$G$18,$G$20,$G$15,$G$21,-SUM($C$26:$C$28),'General assumptions'!$D$12*$V19,('General assumptions'!$D$8-'General assumptions'!$D$9)*'General assumptions'!$D$5*$V19,('General assumptions'!$D$8+'General assumptions'!$D$9)/2*'General assumptions'!$D$16*$V19,-'General assumptions'!$D$13*'General assumptions'!$D$14*($C$8+$V19))/$W19))</f>
        <v>-269.98074107142855</v>
      </c>
      <c r="P4" s="53">
        <f>IF($J$3=$S$14,X$9*('General assumptions'!$D$7/'General assumptions'!$D$4)*('General assumptions'!$D$13*'General assumptions'!$D$14)/$W19-$J4-$G$29+$C$20/($W19),$V19*'General assumptions'!$D$6*X$7*'General assumptions'!$D$10/($W19)-(SUM($G$14,$G$18,$G$20,$G$15,$G$21,-SUM($C$26:$C$28),'General assumptions'!$D$12*$V19,('General assumptions'!$D$8-'General assumptions'!$D$9)*'General assumptions'!$D$5*$V19,('General assumptions'!$D$8+'General assumptions'!$D$9)/2*'General assumptions'!$D$16*$V19,-'General assumptions'!$D$13*'General assumptions'!$D$14*($C$8+$V19))/$W19))</f>
        <v>-290.95674107142861</v>
      </c>
    </row>
    <row r="5" spans="2:24" ht="17.100000000000001" customHeight="1">
      <c r="B5" s="59" t="s">
        <v>61</v>
      </c>
      <c r="C5" s="56"/>
      <c r="D5" s="56"/>
      <c r="E5" s="56"/>
      <c r="F5" s="56"/>
      <c r="G5" s="56"/>
      <c r="J5" s="99" t="str">
        <f>IF($J$3=$S$15,$J$7*100-10&amp;"%",$J$7-100)</f>
        <v>-10%</v>
      </c>
      <c r="K5" s="53">
        <f>IF($J$3=$S$14,S$9*('General assumptions'!$D$7/'General assumptions'!$D$4)*('General assumptions'!$D$13*'General assumptions'!$D$14)/$W20-$J5-$G$29+$C$20/($W20),$V20*'General assumptions'!$D$6*S$7*'General assumptions'!$D$10/($W20)-(SUM($G$14,$G$18,$G$20,$G$15,$G$21,-SUM($C$26:$C$28),'General assumptions'!$D$12*$V20,('General assumptions'!$D$8-'General assumptions'!$D$9)*'General assumptions'!$D$5*$V20,('General assumptions'!$D$8+'General assumptions'!$D$9)/2*'General assumptions'!$D$16*$V20,-'General assumptions'!$D$13*'General assumptions'!$D$14*($C$8+$V20))/$W20))</f>
        <v>-118.08229166666671</v>
      </c>
      <c r="L5" s="53">
        <f>IF($J$3=$S$14,T$9*('General assumptions'!$D$7/'General assumptions'!$D$4)*('General assumptions'!$D$13*'General assumptions'!$D$14)/$W20-$J5-$G$29+$C$20/($W20),$V20*'General assumptions'!$D$6*T$7*'General assumptions'!$D$10/($W20)-(SUM($G$14,$G$18,$G$20,$G$15,$G$21,-SUM($C$26:$C$28),'General assumptions'!$D$12*$V20,('General assumptions'!$D$8-'General assumptions'!$D$9)*'General assumptions'!$D$5*$V20,('General assumptions'!$D$8+'General assumptions'!$D$9)/2*'General assumptions'!$D$16*$V20,-'General assumptions'!$D$13*'General assumptions'!$D$14*($C$8+$V20))/$W20))</f>
        <v>-130.90095833333339</v>
      </c>
      <c r="M5" s="53">
        <f>IF($J$3=$S$14,U$9*('General assumptions'!$D$7/'General assumptions'!$D$4)*('General assumptions'!$D$13*'General assumptions'!$D$14)/$W20-$J5-$G$29+$C$20/($W20),$V20*'General assumptions'!$D$6*U$7*'General assumptions'!$D$10/($W20)-(SUM($G$14,$G$18,$G$20,$G$15,$G$21,-SUM($C$26:$C$28),'General assumptions'!$D$12*$V20,('General assumptions'!$D$8-'General assumptions'!$D$9)*'General assumptions'!$D$5*$V20,('General assumptions'!$D$8+'General assumptions'!$D$9)/2*'General assumptions'!$D$16*$V20,-'General assumptions'!$D$13*'General assumptions'!$D$14*($C$8+$V20))/$W20))</f>
        <v>-144.30229166666669</v>
      </c>
      <c r="N5" s="53">
        <f>IF($J$3=$S$14,V$9*('General assumptions'!$D$7/'General assumptions'!$D$4)*('General assumptions'!$D$13*'General assumptions'!$D$14)/$W20-$J5-$G$29+$C$20/($W20),$V20*'General assumptions'!$D$6*V$7*'General assumptions'!$D$10/($W20)-(SUM($G$14,$G$18,$G$20,$G$15,$G$21,-SUM($C$26:$C$28),'General assumptions'!$D$12*$V20,('General assumptions'!$D$8-'General assumptions'!$D$9)*'General assumptions'!$D$5*$V20,('General assumptions'!$D$8+'General assumptions'!$D$9)/2*'General assumptions'!$D$16*$V20,-'General assumptions'!$D$13*'General assumptions'!$D$14*($C$8+$V20))/$W20))</f>
        <v>-157.12095833333336</v>
      </c>
      <c r="O5" s="53">
        <f>IF($J$3=$S$14,W$9*('General assumptions'!$D$7/'General assumptions'!$D$4)*('General assumptions'!$D$13*'General assumptions'!$D$14)/$W20-$J5-$G$29+$C$20/($W20),$V20*'General assumptions'!$D$6*W$7*'General assumptions'!$D$10/($W20)-(SUM($G$14,$G$18,$G$20,$G$15,$G$21,-SUM($C$26:$C$28),'General assumptions'!$D$12*$V20,('General assumptions'!$D$8-'General assumptions'!$D$9)*'General assumptions'!$D$5*$V20,('General assumptions'!$D$8+'General assumptions'!$D$9)/2*'General assumptions'!$D$16*$V20,-'General assumptions'!$D$13*'General assumptions'!$D$14*($C$8+$V20))/$W20))</f>
        <v>-171.10495833333334</v>
      </c>
      <c r="P5" s="53">
        <f>IF($J$3=$S$14,X$9*('General assumptions'!$D$7/'General assumptions'!$D$4)*('General assumptions'!$D$13*'General assumptions'!$D$14)/$W20-$J5-$G$29+$C$20/($W20),$V20*'General assumptions'!$D$6*X$7*'General assumptions'!$D$10/($W20)-(SUM($G$14,$G$18,$G$20,$G$15,$G$21,-SUM($C$26:$C$28),'General assumptions'!$D$12*$V20,('General assumptions'!$D$8-'General assumptions'!$D$9)*'General assumptions'!$D$5*$V20,('General assumptions'!$D$8+'General assumptions'!$D$9)/2*'General assumptions'!$D$16*$V20,-'General assumptions'!$D$13*'General assumptions'!$D$14*($C$8+$V20))/$W20))</f>
        <v>-183.34095833333333</v>
      </c>
    </row>
    <row r="6" spans="2:24" ht="17.100000000000001" customHeight="1">
      <c r="B6" s="62" t="s">
        <v>109</v>
      </c>
      <c r="C6" s="63" t="s">
        <v>62</v>
      </c>
      <c r="D6" s="62" t="s">
        <v>5</v>
      </c>
      <c r="E6" s="62" t="s">
        <v>63</v>
      </c>
      <c r="F6" s="63" t="s">
        <v>62</v>
      </c>
      <c r="G6" s="62" t="s">
        <v>5</v>
      </c>
      <c r="J6" s="99" t="str">
        <f>IF($J$3=$S$15,$J$7*100-5&amp;"%",$J$7-50)</f>
        <v>-5%</v>
      </c>
      <c r="K6" s="53">
        <f>IF($J$3=$S$14,S$9*('General assumptions'!$D$7/'General assumptions'!$D$4)*('General assumptions'!$D$13*'General assumptions'!$D$14)/$W21-$J6-$G$29+$C$20/($W21),$V21*'General assumptions'!$D$6*S$7*'General assumptions'!$D$10/($W21)-(SUM($G$14,$G$18,$G$20,$G$15,$G$21,-SUM($C$26:$C$28),'General assumptions'!$D$12*$V21,('General assumptions'!$D$8-'General assumptions'!$D$9)*'General assumptions'!$D$5*$V21,('General assumptions'!$D$8+'General assumptions'!$D$9)/2*'General assumptions'!$D$16*$V21,-'General assumptions'!$D$13*'General assumptions'!$D$14*($C$8+$V21))/$W21))</f>
        <v>-81.740406914893612</v>
      </c>
      <c r="L6" s="53">
        <f>IF($J$3=$S$14,T$9*('General assumptions'!$D$7/'General assumptions'!$D$4)*('General assumptions'!$D$13*'General assumptions'!$D$14)/$W21-$J6-$G$29+$C$20/($W21),$V21*'General assumptions'!$D$6*T$7*'General assumptions'!$D$10/($W21)-(SUM($G$14,$G$18,$G$20,$G$15,$G$21,-SUM($C$26:$C$28),'General assumptions'!$D$12*$V21,('General assumptions'!$D$8-'General assumptions'!$D$9)*'General assumptions'!$D$5*$V21,('General assumptions'!$D$8+'General assumptions'!$D$9)/2*'General assumptions'!$D$16*$V21,-'General assumptions'!$D$13*'General assumptions'!$D$14*($C$8+$V21))/$W21))</f>
        <v>-89.104321808510633</v>
      </c>
      <c r="M6" s="53">
        <f>IF($J$3=$S$14,U$9*('General assumptions'!$D$7/'General assumptions'!$D$4)*('General assumptions'!$D$13*'General assumptions'!$D$14)/$W21-$J6-$G$29+$C$20/($W21),$V21*'General assumptions'!$D$6*U$7*'General assumptions'!$D$10/($W21)-(SUM($G$14,$G$18,$G$20,$G$15,$G$21,-SUM($C$26:$C$28),'General assumptions'!$D$12*$V21,('General assumptions'!$D$8-'General assumptions'!$D$9)*'General assumptions'!$D$5*$V21,('General assumptions'!$D$8+'General assumptions'!$D$9)/2*'General assumptions'!$D$16*$V21,-'General assumptions'!$D$13*'General assumptions'!$D$14*($C$8+$V21))/$W21))</f>
        <v>-96.802960106382983</v>
      </c>
      <c r="N6" s="53">
        <f>IF($J$3=$S$14,V$9*('General assumptions'!$D$7/'General assumptions'!$D$4)*('General assumptions'!$D$13*'General assumptions'!$D$14)/$W21-$J6-$G$29+$C$20/($W21),$V21*'General assumptions'!$D$6*V$7*'General assumptions'!$D$10/($W21)-(SUM($G$14,$G$18,$G$20,$G$15,$G$21,-SUM($C$26:$C$28),'General assumptions'!$D$12*$V21,('General assumptions'!$D$8-'General assumptions'!$D$9)*'General assumptions'!$D$5*$V21,('General assumptions'!$D$8+'General assumptions'!$D$9)/2*'General assumptions'!$D$16*$V21,-'General assumptions'!$D$13*'General assumptions'!$D$14*($C$8+$V21))/$W21))</f>
        <v>-104.166875</v>
      </c>
      <c r="O6" s="53">
        <f>IF($J$3=$S$14,W$9*('General assumptions'!$D$7/'General assumptions'!$D$4)*('General assumptions'!$D$13*'General assumptions'!$D$14)/$W21-$J6-$G$29+$C$20/($W21),$V21*'General assumptions'!$D$6*W$7*'General assumptions'!$D$10/($W21)-(SUM($G$14,$G$18,$G$20,$G$15,$G$21,-SUM($C$26:$C$28),'General assumptions'!$D$12*$V21,('General assumptions'!$D$8-'General assumptions'!$D$9)*'General assumptions'!$D$5*$V21,('General assumptions'!$D$8+'General assumptions'!$D$9)/2*'General assumptions'!$D$16*$V21,-'General assumptions'!$D$13*'General assumptions'!$D$14*($C$8+$V21))/$W21))</f>
        <v>-112.20023670212768</v>
      </c>
      <c r="P6" s="53">
        <f>IF($J$3=$S$14,X$9*('General assumptions'!$D$7/'General assumptions'!$D$4)*('General assumptions'!$D$13*'General assumptions'!$D$14)/$W21-$J6-$G$29+$C$20/($W21),$V21*'General assumptions'!$D$6*X$7*'General assumptions'!$D$10/($W21)-(SUM($G$14,$G$18,$G$20,$G$15,$G$21,-SUM($C$26:$C$28),'General assumptions'!$D$12*$V21,('General assumptions'!$D$8-'General assumptions'!$D$9)*'General assumptions'!$D$5*$V21,('General assumptions'!$D$8+'General assumptions'!$D$9)/2*'General assumptions'!$D$16*$V21,-'General assumptions'!$D$13*'General assumptions'!$D$14*($C$8+$V21))/$W21))</f>
        <v>-119.22942819148935</v>
      </c>
      <c r="T6" s="19"/>
      <c r="U6" s="19"/>
      <c r="V6" s="19" t="s">
        <v>132</v>
      </c>
      <c r="W6" s="19"/>
      <c r="X6" s="19"/>
    </row>
    <row r="7" spans="2:24" ht="17.100000000000001" customHeight="1">
      <c r="B7" s="61" t="s">
        <v>64</v>
      </c>
      <c r="C7" s="29">
        <v>0</v>
      </c>
      <c r="D7" s="48" t="s">
        <v>11</v>
      </c>
      <c r="E7" s="14" t="s">
        <v>120</v>
      </c>
      <c r="F7" s="64">
        <v>47.5</v>
      </c>
      <c r="G7" s="48" t="s">
        <v>65</v>
      </c>
      <c r="J7" s="100" t="str">
        <f>IF(J3=S14,(G22-C29+C25)/(ROUNDDOWN('General assumptions'!$D$4*(1+$C$7),0)),ROUND($C$7*100,0)&amp;"%")</f>
        <v>0%</v>
      </c>
      <c r="K7" s="53">
        <f>IF($J$3=$S$14,S$9*('General assumptions'!$D$7/'General assumptions'!$D$4)*('General assumptions'!$D$13*'General assumptions'!$D$14)/$W22-$J7-$G$29+$C$20/($W22),$V22*'General assumptions'!$D$6*S$7*'General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L7" s="53">
        <f>IF($J$3=$S$14,T$9*('General assumptions'!$D$7/'General assumptions'!$D$4)*('General assumptions'!$D$13*'General assumptions'!$D$14)/$W22-$J7-$G$29+$C$20/($W22),$V22*'General assumptions'!$D$6*T$7*'General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M7" s="53">
        <f>IF($J$3=$S$14,U$9*('General assumptions'!$D$7/'General assumptions'!$D$4)*('General assumptions'!$D$13*'General assumptions'!$D$14)/$W22-$J7-$G$29+$C$20/($W22),$V22*'General assumptions'!$D$6*U$7*'General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N7" s="20">
        <f>IF($J$3=$S$14,V$9*('General assumptions'!$D$7/'General assumptions'!$D$4)*('General assumptions'!$D$13*'General assumptions'!$D$14)/$W22-$J7-$G$29+$C$20/($W22),$V22*'General assumptions'!$D$6*V$7*'General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O7" s="53">
        <f>IF($J$3=$S$14,W$9*('General assumptions'!$D$7/'General assumptions'!$D$4)*('General assumptions'!$D$13*'General assumptions'!$D$14)/$W22-$J7-$G$29+$C$20/($W22),$V22*'General assumptions'!$D$6*W$7*'General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P7" s="53">
        <f>IF($J$3=$S$14,X$9*('General assumptions'!$D$7/'General assumptions'!$D$4)*('General assumptions'!$D$13*'General assumptions'!$D$14)/$W22-$J7-$G$29+$C$20/($W22),$V22*'General assumptions'!$D$6*X$7*'General assumptions'!$D$10/($W22)-(SUM($G$14,$G$18,$G$20,$G$15,$G$21,-SUM($C$26:$C$28),'General assumptions'!$D$12*$V22,('General assumptions'!$D$8-'General assumptions'!$D$9)*'General assumptions'!$D$5*$V22,('General assumptions'!$D$8+'General assumptions'!$D$9)/2*'General assumptions'!$D$16*$V22,-'General assumptions'!$D$13*'General assumptions'!$D$14*($C$8+$V22))/$W22))</f>
        <v>-32.678862499999994</v>
      </c>
      <c r="S7" s="50">
        <f>ROUND(V7*0.85,2)</f>
        <v>3.83</v>
      </c>
      <c r="T7" s="50">
        <f>ROUND(V7*0.9,2)</f>
        <v>4.05</v>
      </c>
      <c r="U7" s="50">
        <f>ROUND(V7*0.95,2)</f>
        <v>4.28</v>
      </c>
      <c r="V7" s="51">
        <f>'General assumptions'!D11</f>
        <v>4.5</v>
      </c>
      <c r="W7" s="50">
        <f>ROUND(V7/0.95,2)</f>
        <v>4.74</v>
      </c>
      <c r="X7" s="50">
        <f>ROUND(V7*1.1,2)</f>
        <v>4.95</v>
      </c>
    </row>
    <row r="8" spans="2:24" ht="17.100000000000001" customHeight="1">
      <c r="B8" s="14" t="s">
        <v>107</v>
      </c>
      <c r="C8" s="28">
        <v>30</v>
      </c>
      <c r="D8" s="48" t="s">
        <v>66</v>
      </c>
      <c r="E8" s="61" t="s">
        <v>121</v>
      </c>
      <c r="F8" s="28">
        <v>55</v>
      </c>
      <c r="G8" s="48" t="s">
        <v>42</v>
      </c>
      <c r="J8" s="99" t="str">
        <f>IF($J$3=$S$15,$J$7*100+5&amp;"%",$J$7+50)</f>
        <v>5%</v>
      </c>
      <c r="K8" s="53">
        <f>IF($J$3=$S$14,S$9*('General assumptions'!$D$7/'General assumptions'!$D$4)*('General assumptions'!$D$13*'General assumptions'!$D$14)/$W23-$J8-$G$29+$C$20/($W23),$V23*'General assumptions'!$D$6*S$7*'General assumptions'!$D$10/($W23)-(SUM($G$14,$G$18,$G$20,$G$15,$G$21,-SUM($C$26:$C$28),'General assumptions'!$D$12*$V23,('General assumptions'!$D$8-'General assumptions'!$D$9)*'General assumptions'!$D$5*$V23,('General assumptions'!$D$8+'General assumptions'!$D$9)/2*'General assumptions'!$D$16*$V23,-'General assumptions'!$D$13*'General assumptions'!$D$14*($C$8+$V23))/$W23))</f>
        <v>-3.1161370192307771</v>
      </c>
      <c r="L8" s="53">
        <f>IF($J$3=$S$14,T$9*('General assumptions'!$D$7/'General assumptions'!$D$4)*('General assumptions'!$D$13*'General assumptions'!$D$14)/$W23-$J8-$G$29+$C$20/($W23),$V23*'General assumptions'!$D$6*T$7*'General assumptions'!$D$10/($W23)-(SUM($G$14,$G$18,$G$20,$G$15,$G$21,-SUM($C$26:$C$28),'General assumptions'!$D$12*$V23,('General assumptions'!$D$8-'General assumptions'!$D$9)*'General assumptions'!$D$5*$V23,('General assumptions'!$D$8+'General assumptions'!$D$9)/2*'General assumptions'!$D$16*$V23,-'General assumptions'!$D$13*'General assumptions'!$D$14*($C$8+$V23))/$W23))</f>
        <v>1.3210937500000028</v>
      </c>
      <c r="M8" s="53">
        <f>IF($J$3=$S$14,U$9*('General assumptions'!$D$7/'General assumptions'!$D$4)*('General assumptions'!$D$13*'General assumptions'!$D$14)/$W23-$J8-$G$29+$C$20/($W23),$V23*'General assumptions'!$D$6*U$7*'General assumptions'!$D$10/($W23)-(SUM($G$14,$G$18,$G$20,$G$15,$G$21,-SUM($C$26:$C$28),'General assumptions'!$D$12*$V23,('General assumptions'!$D$8-'General assumptions'!$D$9)*'General assumptions'!$D$5*$V23,('General assumptions'!$D$8+'General assumptions'!$D$9)/2*'General assumptions'!$D$16*$V23,-'General assumptions'!$D$13*'General assumptions'!$D$14*($C$8+$V23))/$W23))</f>
        <v>5.9600168269230807</v>
      </c>
      <c r="N8" s="53">
        <f>IF($J$3=$S$14,V$9*('General assumptions'!$D$7/'General assumptions'!$D$4)*('General assumptions'!$D$13*'General assumptions'!$D$14)/$W23-$J8-$G$29+$C$20/($W23),$V23*'General assumptions'!$D$6*V$7*'General assumptions'!$D$10/($W23)-(SUM($G$14,$G$18,$G$20,$G$15,$G$21,-SUM($C$26:$C$28),'General assumptions'!$D$12*$V23,('General assumptions'!$D$8-'General assumptions'!$D$9)*'General assumptions'!$D$5*$V23,('General assumptions'!$D$8+'General assumptions'!$D$9)/2*'General assumptions'!$D$16*$V23,-'General assumptions'!$D$13*'General assumptions'!$D$14*($C$8+$V23))/$W23))</f>
        <v>10.397247596153846</v>
      </c>
      <c r="O8" s="53">
        <f>IF($J$3=$S$14,W$9*('General assumptions'!$D$7/'General assumptions'!$D$4)*('General assumptions'!$D$13*'General assumptions'!$D$14)/$W23-$J8-$G$29+$C$20/($W23),$V23*'General assumptions'!$D$6*W$7*'General assumptions'!$D$10/($W23)-(SUM($G$14,$G$18,$G$20,$G$15,$G$21,-SUM($C$26:$C$28),'General assumptions'!$D$12*$V23,('General assumptions'!$D$8-'General assumptions'!$D$9)*'General assumptions'!$D$5*$V23,('General assumptions'!$D$8+'General assumptions'!$D$9)/2*'General assumptions'!$D$16*$V23,-'General assumptions'!$D$13*'General assumptions'!$D$14*($C$8+$V23))/$W23))</f>
        <v>15.237862980769222</v>
      </c>
      <c r="P8" s="53">
        <f>IF($J$3=$S$14,X$9*('General assumptions'!$D$7/'General assumptions'!$D$4)*('General assumptions'!$D$13*'General assumptions'!$D$14)/$W23-$J8-$G$29+$C$20/($W23),$V23*'General assumptions'!$D$6*X$7*'General assumptions'!$D$10/($W23)-(SUM($G$14,$G$18,$G$20,$G$15,$G$21,-SUM($C$26:$C$28),'General assumptions'!$D$12*$V23,('General assumptions'!$D$8-'General assumptions'!$D$9)*'General assumptions'!$D$5*$V23,('General assumptions'!$D$8+'General assumptions'!$D$9)/2*'General assumptions'!$D$16*$V23,-'General assumptions'!$D$13*'General assumptions'!$D$14*($C$8+$V23))/$W23))</f>
        <v>19.473401442307704</v>
      </c>
      <c r="T8" s="19"/>
      <c r="U8" s="19" t="s">
        <v>131</v>
      </c>
      <c r="V8" s="19"/>
      <c r="W8" s="19"/>
      <c r="X8" s="19"/>
    </row>
    <row r="9" spans="2:24" ht="17.100000000000001" customHeight="1">
      <c r="B9" s="30" t="s">
        <v>108</v>
      </c>
      <c r="C9" s="69">
        <v>10</v>
      </c>
      <c r="D9" s="49" t="s">
        <v>67</v>
      </c>
      <c r="E9" s="27"/>
      <c r="F9" s="27"/>
      <c r="G9" s="8"/>
      <c r="J9" s="99" t="str">
        <f>IF($J$3=$S$15,$J$7*100+10&amp;"%",$J$7+100)</f>
        <v>10%</v>
      </c>
      <c r="K9" s="53">
        <f>IF($J$3=$S$14,S$9*('General assumptions'!$D$7/'General assumptions'!$D$4)*('General assumptions'!$D$13*'General assumptions'!$D$14)/$W24-$J9-$G$29+$C$20/($W24),$V24*'General assumptions'!$D$6*S$7*'General assumptions'!$D$10/($W24)-(SUM($G$14,$G$18,$G$20,$G$15,$G$21,-SUM($C$26:$C$28),'General assumptions'!$D$12*$V24,('General assumptions'!$D$8-'General assumptions'!$D$9)*'General assumptions'!$D$5*$V24,('General assumptions'!$D$8+'General assumptions'!$D$9)/2*'General assumptions'!$D$16*$V24,-'General assumptions'!$D$13*'General assumptions'!$D$14*($C$8+$V24))/$W24))</f>
        <v>37.196670454545512</v>
      </c>
      <c r="L9" s="53">
        <f>IF($J$3=$S$14,T$9*('General assumptions'!$D$7/'General assumptions'!$D$4)*('General assumptions'!$D$13*'General assumptions'!$D$14)/$W24-$J9-$G$29+$C$20/($W24),$V24*'General assumptions'!$D$6*T$7*'General assumptions'!$D$10/($W24)-(SUM($G$14,$G$18,$G$20,$G$15,$G$21,-SUM($C$26:$C$28),'General assumptions'!$D$12*$V24,('General assumptions'!$D$8-'General assumptions'!$D$9)*'General assumptions'!$D$5*$V24,('General assumptions'!$D$8+'General assumptions'!$D$9)/2*'General assumptions'!$D$16*$V24,-'General assumptions'!$D$13*'General assumptions'!$D$14*($C$8+$V24))/$W24))</f>
        <v>47.684670454545511</v>
      </c>
      <c r="M9" s="53">
        <f>IF($J$3=$S$14,U$9*('General assumptions'!$D$7/'General assumptions'!$D$4)*('General assumptions'!$D$13*'General assumptions'!$D$14)/$W24-$J9-$G$29+$C$20/($W24),$V24*'General assumptions'!$D$6*U$7*'General assumptions'!$D$10/($W24)-(SUM($G$14,$G$18,$G$20,$G$15,$G$21,-SUM($C$26:$C$28),'General assumptions'!$D$12*$V24,('General assumptions'!$D$8-'General assumptions'!$D$9)*'General assumptions'!$D$5*$V24,('General assumptions'!$D$8+'General assumptions'!$D$9)/2*'General assumptions'!$D$16*$V24,-'General assumptions'!$D$13*'General assumptions'!$D$14*($C$8+$V24))/$W24))</f>
        <v>58.64939772727277</v>
      </c>
      <c r="N9" s="53">
        <f>IF($J$3=$S$14,V$9*('General assumptions'!$D$7/'General assumptions'!$D$4)*('General assumptions'!$D$13*'General assumptions'!$D$14)/$W24-$J9-$G$29+$C$20/($W24),$V24*'General assumptions'!$D$6*V$7*'General assumptions'!$D$10/($W24)-(SUM($G$14,$G$18,$G$20,$G$15,$G$21,-SUM($C$26:$C$28),'General assumptions'!$D$12*$V24,('General assumptions'!$D$8-'General assumptions'!$D$9)*'General assumptions'!$D$5*$V24,('General assumptions'!$D$8+'General assumptions'!$D$9)/2*'General assumptions'!$D$16*$V24,-'General assumptions'!$D$13*'General assumptions'!$D$14*($C$8+$V24))/$W24))</f>
        <v>69.13739772727277</v>
      </c>
      <c r="O9" s="53">
        <f>IF($J$3=$S$14,W$9*('General assumptions'!$D$7/'General assumptions'!$D$4)*('General assumptions'!$D$13*'General assumptions'!$D$14)/$W24-$J9-$G$29+$C$20/($W24),$V24*'General assumptions'!$D$6*W$7*'General assumptions'!$D$10/($W24)-(SUM($G$14,$G$18,$G$20,$G$15,$G$21,-SUM($C$26:$C$28),'General assumptions'!$D$12*$V24,('General assumptions'!$D$8-'General assumptions'!$D$9)*'General assumptions'!$D$5*$V24,('General assumptions'!$D$8+'General assumptions'!$D$9)/2*'General assumptions'!$D$16*$V24,-'General assumptions'!$D$13*'General assumptions'!$D$14*($C$8+$V24))/$W24))</f>
        <v>80.578852272727289</v>
      </c>
      <c r="P9" s="53">
        <f>IF($J$3=$S$14,X$9*('General assumptions'!$D$7/'General assumptions'!$D$4)*('General assumptions'!$D$13*'General assumptions'!$D$14)/$W24-$J9-$G$29+$C$20/($W24),$V24*'General assumptions'!$D$6*X$7*'General assumptions'!$D$10/($W24)-(SUM($G$14,$G$18,$G$20,$G$15,$G$21,-SUM($C$26:$C$28),'General assumptions'!$D$12*$V24,('General assumptions'!$D$8-'General assumptions'!$D$9)*'General assumptions'!$D$5*$V24,('General assumptions'!$D$8+'General assumptions'!$D$9)/2*'General assumptions'!$D$16*$V24,-'General assumptions'!$D$13*'General assumptions'!$D$14*($C$8+$V24))/$W24))</f>
        <v>90.590125000000029</v>
      </c>
      <c r="S9" s="104">
        <f t="shared" ref="S9:T9" si="1">T9-5</f>
        <v>-5</v>
      </c>
      <c r="T9" s="104">
        <f t="shared" si="1"/>
        <v>0</v>
      </c>
      <c r="U9" s="104">
        <f>V9-5</f>
        <v>5</v>
      </c>
      <c r="V9" s="104">
        <f>C8*('General assumptions'!D4*(1+$C$7))/'General assumptions'!$D$7</f>
        <v>10</v>
      </c>
      <c r="W9" s="104">
        <f>V9+5</f>
        <v>15</v>
      </c>
      <c r="X9" s="104">
        <f>W9+5</f>
        <v>20</v>
      </c>
    </row>
    <row r="10" spans="2:24" ht="17.100000000000001" customHeight="1">
      <c r="G10" s="5"/>
      <c r="J10" s="101" t="str">
        <f>IF($J$3=$S$15,$J$7*100+15&amp;"%",$J$7+150)</f>
        <v>15%</v>
      </c>
      <c r="K10" s="53">
        <f>IF($J$3=$S$14,S$9*('General assumptions'!$D$7/'General assumptions'!$D$4)*('General assumptions'!$D$13*'General assumptions'!$D$14)/$W25-$J10-$G$29+$C$20/($W25),$V25*'General assumptions'!$D$6*S$7*'General assumptions'!$D$10/($W25)-(SUM($G$14,$G$18,$G$20,$G$15,$G$21,-SUM($C$26:$C$28),'General assumptions'!$D$12*$V25,('General assumptions'!$D$8-'General assumptions'!$D$9)*'General assumptions'!$D$5*$V25,('General assumptions'!$D$8+'General assumptions'!$D$9)/2*'General assumptions'!$D$16*$V25,-'General assumptions'!$D$13*'General assumptions'!$D$14*($C$8+$V25))/$W25))</f>
        <v>61.714401315789502</v>
      </c>
      <c r="L10" s="53">
        <f>IF($J$3=$S$14,T$9*('General assumptions'!$D$7/'General assumptions'!$D$4)*('General assumptions'!$D$13*'General assumptions'!$D$14)/$W25-$J10-$G$29+$C$20/($W25),$V25*'General assumptions'!$D$6*T$7*'General assumptions'!$D$10/($W25)-(SUM($G$14,$G$18,$G$20,$G$15,$G$21,-SUM($C$26:$C$28),'General assumptions'!$D$12*$V25,('General assumptions'!$D$8-'General assumptions'!$D$9)*'General assumptions'!$D$5*$V25,('General assumptions'!$D$8+'General assumptions'!$D$9)/2*'General assumptions'!$D$16*$V25,-'General assumptions'!$D$13*'General assumptions'!$D$14*($C$8+$V25))/$W25))</f>
        <v>75.88240131578948</v>
      </c>
      <c r="M10" s="53">
        <f>IF($J$3=$S$14,U$9*('General assumptions'!$D$7/'General assumptions'!$D$4)*('General assumptions'!$D$13*'General assumptions'!$D$14)/$W25-$J10-$G$29+$C$20/($W25),$V25*'General assumptions'!$D$6*U$7*'General assumptions'!$D$10/($W25)-(SUM($G$14,$G$18,$G$20,$G$15,$G$21,-SUM($C$26:$C$28),'General assumptions'!$D$12*$V25,('General assumptions'!$D$8-'General assumptions'!$D$9)*'General assumptions'!$D$5*$V25,('General assumptions'!$D$8+'General assumptions'!$D$9)/2*'General assumptions'!$D$16*$V25,-'General assumptions'!$D$13*'General assumptions'!$D$14*($C$8+$V25))/$W25))</f>
        <v>90.694401315789491</v>
      </c>
      <c r="N10" s="53">
        <f>IF($J$3=$S$14,V$9*('General assumptions'!$D$7/'General assumptions'!$D$4)*('General assumptions'!$D$13*'General assumptions'!$D$14)/$W25-$J10-$G$29+$C$20/($W25),$V25*'General assumptions'!$D$6*V$7*'General assumptions'!$D$10/($W25)-(SUM($G$14,$G$18,$G$20,$G$15,$G$21,-SUM($C$26:$C$28),'General assumptions'!$D$12*$V25,('General assumptions'!$D$8-'General assumptions'!$D$9)*'General assumptions'!$D$5*$V25,('General assumptions'!$D$8+'General assumptions'!$D$9)/2*'General assumptions'!$D$16*$V25,-'General assumptions'!$D$13*'General assumptions'!$D$14*($C$8+$V25))/$W25))</f>
        <v>104.86240131578944</v>
      </c>
      <c r="O10" s="53">
        <f>IF($J$3=$S$14,W$9*('General assumptions'!$D$7/'General assumptions'!$D$4)*('General assumptions'!$D$13*'General assumptions'!$D$14)/$W25-$J10-$G$29+$C$20/($W25),$V25*'General assumptions'!$D$6*W$7*'General assumptions'!$D$10/($W25)-(SUM($G$14,$G$18,$G$20,$G$15,$G$21,-SUM($C$26:$C$28),'General assumptions'!$D$12*$V25,('General assumptions'!$D$8-'General assumptions'!$D$9)*'General assumptions'!$D$5*$V25,('General assumptions'!$D$8+'General assumptions'!$D$9)/2*'General assumptions'!$D$16*$V25,-'General assumptions'!$D$13*'General assumptions'!$D$14*($C$8+$V25))/$W25))</f>
        <v>120.31840131578957</v>
      </c>
      <c r="P10" s="53">
        <f>IF($J$3=$S$14,X$9*('General assumptions'!$D$7/'General assumptions'!$D$4)*('General assumptions'!$D$13*'General assumptions'!$D$14)/$W25-$J10-$G$29+$C$20/($W25),$V25*'General assumptions'!$D$6*X$7*'General assumptions'!$D$10/($W25)-(SUM($G$14,$G$18,$G$20,$G$15,$G$21,-SUM($C$26:$C$28),'General assumptions'!$D$12*$V25,('General assumptions'!$D$8-'General assumptions'!$D$9)*'General assumptions'!$D$5*$V25,('General assumptions'!$D$8+'General assumptions'!$D$9)/2*'General assumptions'!$D$16*$V25,-'General assumptions'!$D$13*'General assumptions'!$D$14*($C$8+$V25))/$W25))</f>
        <v>133.84240131578952</v>
      </c>
    </row>
    <row r="11" spans="2:24" ht="17.100000000000001" customHeight="1" thickBot="1">
      <c r="B11" s="6" t="s">
        <v>68</v>
      </c>
      <c r="C11" s="6"/>
      <c r="D11" s="6"/>
      <c r="E11" s="6"/>
      <c r="F11" s="6"/>
      <c r="G11" s="6"/>
    </row>
    <row r="12" spans="2:24" ht="17.100000000000001" customHeight="1">
      <c r="B12" s="36"/>
      <c r="C12" s="37"/>
      <c r="D12" s="37"/>
      <c r="E12" s="37"/>
      <c r="F12" s="37"/>
      <c r="G12" s="38"/>
    </row>
    <row r="13" spans="2:24" ht="17.100000000000001" customHeight="1">
      <c r="B13" s="143" t="s">
        <v>69</v>
      </c>
      <c r="C13" s="63" t="s">
        <v>70</v>
      </c>
      <c r="D13" s="144"/>
      <c r="E13" s="85" t="s">
        <v>71</v>
      </c>
      <c r="F13" s="127"/>
      <c r="G13" s="145" t="s">
        <v>70</v>
      </c>
    </row>
    <row r="14" spans="2:24" ht="17.100000000000001" customHeight="1">
      <c r="B14" s="146" t="s">
        <v>72</v>
      </c>
      <c r="C14" s="147">
        <f>T25*'General assumptions'!D6*'General assumptions'!D10*'General assumptions'!D11</f>
        <v>0</v>
      </c>
      <c r="D14" s="14"/>
      <c r="E14" s="14" t="s">
        <v>129</v>
      </c>
      <c r="F14" s="14"/>
      <c r="G14" s="148">
        <f>'Fence and Water system details'!H11+F7*'General assumptions'!D4*(1+$C$7)</f>
        <v>5048.5249999999996</v>
      </c>
      <c r="S14" s="21" t="s">
        <v>74</v>
      </c>
    </row>
    <row r="15" spans="2:24" ht="17.100000000000001" customHeight="1">
      <c r="B15" s="149" t="s">
        <v>75</v>
      </c>
      <c r="C15" s="150">
        <v>0</v>
      </c>
      <c r="D15" s="144"/>
      <c r="E15" s="14" t="s">
        <v>130</v>
      </c>
      <c r="F15" s="14"/>
      <c r="G15" s="148">
        <f>'Fence and Water system details'!H22</f>
        <v>497.91812500000003</v>
      </c>
      <c r="L15" s="19"/>
      <c r="M15" s="19"/>
      <c r="N15" s="19"/>
      <c r="O15" s="19"/>
      <c r="P15" s="19"/>
      <c r="S15" s="21" t="s">
        <v>60</v>
      </c>
    </row>
    <row r="16" spans="2:24" ht="17.100000000000001" customHeight="1">
      <c r="B16" s="151" t="s">
        <v>77</v>
      </c>
      <c r="C16" s="150">
        <v>0</v>
      </c>
      <c r="D16" s="144"/>
      <c r="E16" s="14" t="s">
        <v>76</v>
      </c>
      <c r="F16" s="14"/>
      <c r="G16" s="148">
        <f>$T$25*('General assumptions'!D8-'General assumptions'!D9)/(1/'General assumptions'!D5)</f>
        <v>0</v>
      </c>
      <c r="L16" s="19"/>
      <c r="M16" s="19"/>
      <c r="N16" s="19"/>
      <c r="O16" s="19"/>
      <c r="P16" s="19"/>
    </row>
    <row r="17" spans="2:23" ht="17.100000000000001" customHeight="1">
      <c r="B17" s="151" t="s">
        <v>77</v>
      </c>
      <c r="C17" s="150">
        <v>0</v>
      </c>
      <c r="D17" s="144"/>
      <c r="E17" s="14" t="s">
        <v>78</v>
      </c>
      <c r="F17" s="14"/>
      <c r="G17" s="148">
        <f>'General assumptions'!D16*T25*('General assumptions'!D8+'General assumptions'!D9)/2</f>
        <v>0</v>
      </c>
      <c r="L17" s="19"/>
      <c r="M17" s="19"/>
      <c r="N17" s="19"/>
      <c r="O17" s="19"/>
      <c r="P17" s="19"/>
    </row>
    <row r="18" spans="2:23" ht="17.100000000000001" customHeight="1">
      <c r="B18" s="151" t="s">
        <v>77</v>
      </c>
      <c r="C18" s="150">
        <v>0</v>
      </c>
      <c r="D18" s="144"/>
      <c r="E18" s="14" t="s">
        <v>79</v>
      </c>
      <c r="F18" s="14"/>
      <c r="G18" s="148">
        <f>F8*'General assumptions'!D17</f>
        <v>1237.5</v>
      </c>
      <c r="L18" s="19"/>
      <c r="M18" s="19"/>
      <c r="N18" s="19"/>
      <c r="O18" s="19"/>
      <c r="P18" s="19"/>
      <c r="T18" s="19"/>
      <c r="U18" s="19"/>
      <c r="V18" s="19" t="s">
        <v>111</v>
      </c>
      <c r="W18" s="19" t="s">
        <v>112</v>
      </c>
    </row>
    <row r="19" spans="2:23" ht="17.100000000000001" customHeight="1">
      <c r="B19" s="151" t="s">
        <v>77</v>
      </c>
      <c r="C19" s="152">
        <v>0</v>
      </c>
      <c r="D19" s="144"/>
      <c r="E19" s="14" t="s">
        <v>80</v>
      </c>
      <c r="F19" s="14"/>
      <c r="G19" s="148">
        <f>'General assumptions'!D12*T25</f>
        <v>0</v>
      </c>
      <c r="J19" s="19"/>
      <c r="K19" s="19"/>
      <c r="L19" s="19"/>
      <c r="M19" s="19"/>
      <c r="N19" s="19"/>
      <c r="O19" s="19"/>
      <c r="P19" s="19"/>
      <c r="T19" s="74"/>
      <c r="U19" s="75"/>
      <c r="V19" s="72">
        <f>W19-'General assumptions'!$D$4</f>
        <v>-8</v>
      </c>
      <c r="W19" s="72">
        <f>ROUNDDOWN(('Continuous to VF'!$T$25/'General assumptions'!$D$4-0.15+1)*'General assumptions'!$D$4,0)</f>
        <v>42</v>
      </c>
    </row>
    <row r="20" spans="2:23" ht="17.100000000000001" customHeight="1">
      <c r="B20" s="153" t="s">
        <v>81</v>
      </c>
      <c r="C20" s="3">
        <f>SUM(C14:C19)</f>
        <v>0</v>
      </c>
      <c r="D20" s="144"/>
      <c r="E20" s="61" t="s">
        <v>82</v>
      </c>
      <c r="F20" s="61"/>
      <c r="G20" s="154">
        <v>1200</v>
      </c>
      <c r="J20" s="19"/>
      <c r="K20" s="19"/>
      <c r="L20" s="19"/>
      <c r="M20" s="19"/>
      <c r="N20" s="19"/>
      <c r="O20" s="19"/>
      <c r="P20" s="19"/>
      <c r="T20" s="19"/>
      <c r="U20" s="19"/>
      <c r="V20" s="72">
        <f>W20-'General assumptions'!$D$4</f>
        <v>-5</v>
      </c>
      <c r="W20" s="72">
        <f>ROUNDDOWN(('Continuous to VF'!$T$25/'General assumptions'!$D$4-0.1+1)*'General assumptions'!$D$4,0)</f>
        <v>45</v>
      </c>
    </row>
    <row r="21" spans="2:23" ht="17.100000000000001" customHeight="1">
      <c r="B21" s="155"/>
      <c r="C21" s="147"/>
      <c r="D21" s="144"/>
      <c r="E21" s="156" t="s">
        <v>77</v>
      </c>
      <c r="F21" s="156"/>
      <c r="G21" s="157">
        <v>0</v>
      </c>
      <c r="J21" s="19"/>
      <c r="K21" s="19"/>
      <c r="L21" s="19"/>
      <c r="M21" s="19"/>
      <c r="N21" s="19"/>
      <c r="O21" s="19"/>
      <c r="P21" s="19"/>
      <c r="T21" s="19"/>
      <c r="U21" s="19"/>
      <c r="V21" s="72">
        <f>W21-'General assumptions'!$D$4</f>
        <v>-3</v>
      </c>
      <c r="W21" s="72">
        <f>ROUNDDOWN(('Continuous to VF'!$T$25/'General assumptions'!$D$4-0.05+1)*'General assumptions'!$D$4,0)</f>
        <v>47</v>
      </c>
    </row>
    <row r="22" spans="2:23" ht="17.100000000000001" customHeight="1">
      <c r="B22" s="146"/>
      <c r="C22" s="14"/>
      <c r="D22" s="144"/>
      <c r="E22" s="144"/>
      <c r="F22" s="158" t="s">
        <v>81</v>
      </c>
      <c r="G22" s="4">
        <f>SUM(G14:G21)</f>
        <v>7983.9431249999998</v>
      </c>
      <c r="J22" s="19"/>
      <c r="K22" s="19"/>
      <c r="L22" s="19"/>
      <c r="M22" s="19"/>
      <c r="N22" s="19"/>
      <c r="O22" s="19"/>
      <c r="P22" s="19"/>
      <c r="T22" s="74"/>
      <c r="U22" s="75"/>
      <c r="V22" s="72">
        <f>W22-'General assumptions'!$D$4</f>
        <v>0</v>
      </c>
      <c r="W22" s="73">
        <f>ROUNDDOWN('General assumptions'!$D$4+$T$25,0)</f>
        <v>50</v>
      </c>
    </row>
    <row r="23" spans="2:23" ht="17.100000000000001" customHeight="1">
      <c r="B23" s="146"/>
      <c r="C23" s="14"/>
      <c r="D23" s="144"/>
      <c r="E23" s="144"/>
      <c r="F23" s="158"/>
      <c r="G23" s="4"/>
      <c r="J23" s="19"/>
      <c r="K23" s="19"/>
      <c r="L23" s="19"/>
      <c r="M23" s="19"/>
      <c r="N23" s="19"/>
      <c r="O23" s="19"/>
      <c r="P23" s="19"/>
      <c r="T23" s="74"/>
      <c r="U23" s="75"/>
      <c r="V23" s="72">
        <f>W23-'General assumptions'!$D$4</f>
        <v>2</v>
      </c>
      <c r="W23" s="72">
        <f>ROUNDDOWN(('Continuous to VF'!$T$25/'General assumptions'!$D$4+1.05)*'General assumptions'!$D$4,0)</f>
        <v>52</v>
      </c>
    </row>
    <row r="24" spans="2:23" ht="17.100000000000001" customHeight="1">
      <c r="B24" s="143" t="s">
        <v>83</v>
      </c>
      <c r="C24" s="63" t="s">
        <v>70</v>
      </c>
      <c r="D24" s="144"/>
      <c r="E24" s="85" t="s">
        <v>84</v>
      </c>
      <c r="F24" s="127"/>
      <c r="G24" s="145" t="s">
        <v>70</v>
      </c>
      <c r="J24" s="19"/>
      <c r="K24" s="19"/>
      <c r="L24" s="19"/>
      <c r="M24" s="19"/>
      <c r="N24" s="19"/>
      <c r="O24" s="19"/>
      <c r="P24" s="19"/>
      <c r="T24" s="19"/>
      <c r="U24" s="19"/>
      <c r="V24" s="72">
        <f>W24-'General assumptions'!$D$4</f>
        <v>5</v>
      </c>
      <c r="W24" s="72">
        <f>ROUNDDOWN(('Continuous to VF'!$T$25/'General assumptions'!$D$4+1.1)*'General assumptions'!$D$4,0)</f>
        <v>55</v>
      </c>
    </row>
    <row r="25" spans="2:23" ht="17.100000000000001" customHeight="1">
      <c r="B25" s="146" t="s">
        <v>85</v>
      </c>
      <c r="C25" s="147">
        <f>(C8+V22)*'General assumptions'!D14*'General assumptions'!D13</f>
        <v>4050</v>
      </c>
      <c r="D25" s="14"/>
      <c r="E25" s="159" t="s">
        <v>77</v>
      </c>
      <c r="F25" s="159"/>
      <c r="G25" s="154">
        <v>0</v>
      </c>
      <c r="J25" s="19"/>
      <c r="K25" s="19"/>
      <c r="L25" s="19"/>
      <c r="M25" s="19"/>
      <c r="N25" s="19"/>
      <c r="O25" s="19"/>
      <c r="P25" s="19"/>
      <c r="T25" s="19">
        <f>ROUNDDOWN(C7*'General assumptions'!D4,0)</f>
        <v>0</v>
      </c>
      <c r="U25" s="19"/>
      <c r="V25" s="72">
        <f>W25-'General assumptions'!$D$4</f>
        <v>7</v>
      </c>
      <c r="W25" s="72">
        <f>ROUNDDOWN(('Continuous to VF'!$T$25/'General assumptions'!$D$4+1.15)*'General assumptions'!$D$4,0)</f>
        <v>57</v>
      </c>
    </row>
    <row r="26" spans="2:23" ht="17.100000000000001" customHeight="1">
      <c r="B26" s="146" t="s">
        <v>86</v>
      </c>
      <c r="C26" s="147">
        <f>C9*'General assumptions'!D7</f>
        <v>1500</v>
      </c>
      <c r="D26" s="144"/>
      <c r="E26" s="156" t="s">
        <v>77</v>
      </c>
      <c r="F26" s="160"/>
      <c r="G26" s="154">
        <v>0</v>
      </c>
      <c r="J26" s="19"/>
      <c r="K26" s="19"/>
      <c r="L26" s="19"/>
      <c r="M26" s="19"/>
      <c r="N26" s="19"/>
      <c r="O26" s="19"/>
      <c r="P26" s="19"/>
    </row>
    <row r="27" spans="2:23" ht="17.100000000000001" customHeight="1">
      <c r="B27" s="151" t="s">
        <v>87</v>
      </c>
      <c r="C27" s="150">
        <v>800</v>
      </c>
      <c r="D27" s="144"/>
      <c r="E27" s="28" t="s">
        <v>77</v>
      </c>
      <c r="F27" s="28"/>
      <c r="G27" s="154">
        <v>0</v>
      </c>
    </row>
    <row r="28" spans="2:23" ht="17.100000000000001" customHeight="1">
      <c r="B28" s="151" t="s">
        <v>167</v>
      </c>
      <c r="C28" s="152">
        <v>0</v>
      </c>
      <c r="D28" s="14"/>
      <c r="E28" s="28" t="s">
        <v>77</v>
      </c>
      <c r="F28" s="28"/>
      <c r="G28" s="157">
        <v>0</v>
      </c>
    </row>
    <row r="29" spans="2:23" ht="17.100000000000001" customHeight="1">
      <c r="B29" s="153" t="s">
        <v>81</v>
      </c>
      <c r="C29" s="3">
        <f>SUM(C25:C28)</f>
        <v>6350</v>
      </c>
      <c r="D29" s="161"/>
      <c r="E29" s="14"/>
      <c r="F29" s="158" t="s">
        <v>81</v>
      </c>
      <c r="G29" s="4">
        <f>SUM(G25:G28)</f>
        <v>0</v>
      </c>
    </row>
    <row r="30" spans="2:23" ht="17.100000000000001" customHeight="1" thickBot="1">
      <c r="B30" s="162"/>
      <c r="C30" s="163"/>
      <c r="D30" s="163"/>
      <c r="E30" s="163"/>
      <c r="F30" s="163"/>
      <c r="G30" s="164"/>
    </row>
    <row r="31" spans="2:23" ht="17.100000000000001" customHeight="1">
      <c r="B31" s="165" t="s">
        <v>88</v>
      </c>
      <c r="C31" s="166"/>
      <c r="D31" s="166"/>
      <c r="E31" s="166"/>
      <c r="F31" s="11" t="s">
        <v>89</v>
      </c>
      <c r="G31" s="12">
        <f>C20+C29-G22-G29</f>
        <v>-1633.9431249999998</v>
      </c>
    </row>
    <row r="32" spans="2:23" ht="17.100000000000001" customHeight="1">
      <c r="B32" s="146" t="s">
        <v>90</v>
      </c>
      <c r="C32" s="14"/>
      <c r="D32" s="14"/>
      <c r="E32" s="14"/>
      <c r="F32" s="10" t="s">
        <v>91</v>
      </c>
      <c r="G32" s="13">
        <f>G31/ROUNDDOWN(('General assumptions'!D4*(1+$C$7)),0)</f>
        <v>-32.678862499999994</v>
      </c>
    </row>
    <row r="33" spans="2:7" ht="16.2" thickBot="1">
      <c r="B33" s="167"/>
      <c r="C33" s="163"/>
      <c r="D33" s="163"/>
      <c r="E33" s="163"/>
      <c r="F33" s="39" t="s">
        <v>92</v>
      </c>
      <c r="G33" s="40">
        <f>G31/'General assumptions'!D7</f>
        <v>-10.892954166666666</v>
      </c>
    </row>
    <row r="34" spans="2:7"/>
  </sheetData>
  <sheetProtection sheet="1" objects="1" scenarios="1"/>
  <protectedRanges>
    <protectedRange sqref="C7:C9 F7:F8 J3 B16:C19 C15 G20:G21 F21 E21 B27:C28 E25:G28" name="Edit cells"/>
  </protectedRanges>
  <conditionalFormatting sqref="J4:J10">
    <cfRule type="expression" dxfId="1" priority="1">
      <formula>J4&amp;"&lt;"&amp;"1"</formula>
    </cfRule>
  </conditionalFormatting>
  <dataValidations count="6">
    <dataValidation allowBlank="1" showInputMessage="1" showErrorMessage="1" promptTitle="When to change stocking rate" prompt="Virtual fence can change stocking rates in a number of ways including accessing poorly fenced areas, improving forage utilization, and strip grazing annual forages. Enter your goal for stocking rate change here, as a percent." sqref="C7" xr:uid="{3E7BBDEF-F130-4944-851F-60E8C2797978}"/>
    <dataValidation type="list" allowBlank="1" showInputMessage="1" showErrorMessage="1" sqref="J3" xr:uid="{174DB707-0225-40F7-9A16-AB7F92D499D3}">
      <formula1>$S$14:$S$16</formula1>
    </dataValidation>
    <dataValidation allowBlank="1" showInputMessage="1" showErrorMessage="1" promptTitle="What's Virtual Fence Labor?" prompt="VF labor includes all activities associated with the management of the VF system. Collar maintenance, training new animals, and managing your herd in the app are all included in this category. " sqref="F8" xr:uid="{0240B55F-7926-42B6-843A-3E7C6C376A67}"/>
    <dataValidation allowBlank="1" showInputMessage="1" showErrorMessage="1" promptTitle="Changing the hay feeding season" prompt="If Virtual Fence allows you to feed less hay or other stored forage through access to more forages or improved utilization on existing pastures, enter the number of additional grazing days you expect each year here. " sqref="C8" xr:uid="{F0987F32-9831-4DCF-8D46-66A20D57655C}"/>
    <dataValidation allowBlank="1" showInputMessage="1" showErrorMessage="1" prompt="If Virtual Fence improves manure distribution to a degree that fertilization can be reduced, enter the reduction in fertilizer expense you expect on a per acre basis. " sqref="C9" xr:uid="{399B4E82-C6C3-4859-9630-5987D9B12E4F}"/>
    <dataValidation allowBlank="1" showInputMessage="1" showErrorMessage="1" prompt="Enter the annual cost of any additional maintenance to grazing systems as a result of adopting virtual fencing. " sqref="G20" xr:uid="{5AAE2949-E023-47BA-A4F3-AD6CE6E71C74}"/>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D456-CCEF-49A2-AB5F-367A7E2039A9}">
  <dimension ref="A1:W35"/>
  <sheetViews>
    <sheetView showGridLines="0" workbookViewId="0"/>
  </sheetViews>
  <sheetFormatPr defaultColWidth="0" defaultRowHeight="14.4" zeroHeight="1"/>
  <cols>
    <col min="1" max="1" width="3.109375" style="2" customWidth="1"/>
    <col min="2" max="2" width="40.33203125" style="2" customWidth="1"/>
    <col min="3" max="3" width="12.6640625" style="2" bestFit="1" customWidth="1"/>
    <col min="4" max="4" width="9.88671875" style="2" bestFit="1" customWidth="1"/>
    <col min="5" max="5" width="39.5546875" style="2" customWidth="1"/>
    <col min="6" max="6" width="16.88671875" style="2" customWidth="1"/>
    <col min="7" max="7" width="14.109375" style="2" customWidth="1"/>
    <col min="8" max="8" width="3.33203125" style="2" customWidth="1"/>
    <col min="9" max="9" width="34.6640625" style="2" customWidth="1"/>
    <col min="10" max="11" width="11.109375" style="2" bestFit="1" customWidth="1"/>
    <col min="12" max="12" width="14.109375" style="2" customWidth="1"/>
    <col min="13" max="15" width="11.109375" style="2" bestFit="1" customWidth="1"/>
    <col min="16" max="16" width="3.33203125" style="2" customWidth="1"/>
    <col min="17" max="19" width="9.109375" style="2" hidden="1" customWidth="1"/>
    <col min="20" max="20" width="9.5546875" style="2" hidden="1" customWidth="1"/>
    <col min="21" max="16384" width="9.109375" style="2" hidden="1"/>
  </cols>
  <sheetData>
    <row r="1" spans="2:23" ht="30" customHeight="1">
      <c r="B1" s="88" t="s">
        <v>57</v>
      </c>
      <c r="C1" s="89"/>
      <c r="D1" s="90"/>
      <c r="E1" s="90"/>
      <c r="F1" s="90"/>
      <c r="G1" s="91"/>
      <c r="H1" s="1"/>
      <c r="I1" s="15" t="s">
        <v>117</v>
      </c>
      <c r="J1" s="16"/>
      <c r="K1" s="16"/>
      <c r="L1" s="16"/>
      <c r="M1" s="16"/>
      <c r="N1" s="17"/>
      <c r="O1" s="18"/>
    </row>
    <row r="2" spans="2:23" ht="17.100000000000001" customHeight="1">
      <c r="B2" s="65"/>
      <c r="C2" s="65"/>
      <c r="D2" s="65"/>
      <c r="E2" s="65"/>
      <c r="F2" s="65"/>
      <c r="G2" s="65"/>
      <c r="H2" s="1"/>
      <c r="I2" s="57" t="s">
        <v>58</v>
      </c>
      <c r="K2" s="93"/>
      <c r="L2" s="93" t="str">
        <f>IF(I3=R14,T7,U5)</f>
        <v>Change in cow-days per acre</v>
      </c>
      <c r="N2" s="93"/>
      <c r="O2" s="93"/>
    </row>
    <row r="3" spans="2:23" ht="30" customHeight="1">
      <c r="B3" s="60" t="s">
        <v>126</v>
      </c>
      <c r="C3" s="58"/>
      <c r="D3" s="58"/>
      <c r="E3" s="58"/>
      <c r="F3" s="58"/>
      <c r="G3" s="58"/>
      <c r="H3" s="1"/>
      <c r="I3" s="92" t="s">
        <v>74</v>
      </c>
      <c r="J3" s="106">
        <f t="shared" ref="J3:L3" si="0">IF($I$3=$R$14,ROUND(R8,0),"$"&amp;R6*100)</f>
        <v>-15</v>
      </c>
      <c r="K3" s="106">
        <f t="shared" si="0"/>
        <v>-10</v>
      </c>
      <c r="L3" s="106">
        <f t="shared" si="0"/>
        <v>-5</v>
      </c>
      <c r="M3" s="107">
        <f>IF($I$3=$R$14,ROUND(U8,0),"$"&amp;U6*100)</f>
        <v>0</v>
      </c>
      <c r="N3" s="106">
        <f t="shared" ref="N3:O3" si="1">IF($I$3=$R$14,ROUND(V8,0),"$"&amp;V6*100)</f>
        <v>5</v>
      </c>
      <c r="O3" s="106">
        <f t="shared" si="1"/>
        <v>10</v>
      </c>
    </row>
    <row r="4" spans="2:23" ht="17.100000000000001" customHeight="1">
      <c r="B4" s="66" t="s">
        <v>118</v>
      </c>
      <c r="C4" s="66"/>
      <c r="D4" s="66"/>
      <c r="E4" s="66"/>
      <c r="F4" s="66"/>
      <c r="G4" s="66"/>
      <c r="H4" s="1"/>
      <c r="I4" s="52">
        <f>IF($I$3=$R$15,$I$5*100-5&amp;"%",$I$7-150)</f>
        <v>-105.82113750000001</v>
      </c>
      <c r="J4" s="53">
        <f>IF($I$3=$R$14,R$8*('General assumptions'!$D$7/'General assumptions'!$D$4)*('General assumptions'!$D$13*'General assumptions'!$D$14)/$U18-$I4-$G$30+$C$20/($U18),$T18*'General assumptions'!$D$6*J$3*'General assumptions'!$D$10/($U18)-(SUM($G$16,$G$19,$G$21,$G$22,$G$30,-SUM($C$25:$C$29),'General assumptions'!$D$12*$T18,('General assumptions'!$D$8-'General assumptions'!$D$9)*'General assumptions'!$D$5*$T18,('General assumptions'!$D$8+'General assumptions'!$D$9)/2*'General assumptions'!$D$16*$T18,-'General assumptions'!$D$13/2000*'General assumptions'!$D$14*$C$9*$U18)/$U18))</f>
        <v>-38.821719642857133</v>
      </c>
      <c r="K4" s="53">
        <f>IF($I$3=$R$14,S$8*('General assumptions'!$D$7/'General assumptions'!$D$4)*('General assumptions'!$D$13*'General assumptions'!$D$14)/$U18-$I4-$G$30+$C$20/($U18),$T18*'General assumptions'!$D$6*K$3*'General assumptions'!$D$10/($U18)-(SUM($G$16,$G$19,$G$21,$G$22,$G$30,-SUM($C$25:$C$29),'General assumptions'!$D$12*$T18,('General assumptions'!$D$8-'General assumptions'!$D$9)*'General assumptions'!$D$5*$T18,('General assumptions'!$D$8+'General assumptions'!$D$9)/2*'General assumptions'!$D$16*$T18,-'General assumptions'!$D$13/2000*'General assumptions'!$D$14*$C$9*$U18)/$U18))</f>
        <v>9.3925660714285755</v>
      </c>
      <c r="L4" s="53">
        <f>IF($I$3=$R$14,T$8*('General assumptions'!$D$7/'General assumptions'!$D$4)*('General assumptions'!$D$13*'General assumptions'!$D$14)/$U18-$I4-$G$30+$C$20/($U18),$T18*'General assumptions'!$D$6*L$3*'General assumptions'!$D$10/($U18)-(SUM($G$16,$G$19,$G$21,$G$22,$G$30,-SUM($C$25:$C$29),'General assumptions'!$D$12*$T18,('General assumptions'!$D$8-'General assumptions'!$D$9)*'General assumptions'!$D$5*$T18,('General assumptions'!$D$8+'General assumptions'!$D$9)/2*'General assumptions'!$D$16*$T18,-'General assumptions'!$D$13/2000*'General assumptions'!$D$14*$C$9*$U18)/$U18))</f>
        <v>57.606851785714291</v>
      </c>
      <c r="M4" s="53">
        <f>IF($I$3=$R$14,U$8*('General assumptions'!$D$7/'General assumptions'!$D$4)*('General assumptions'!$D$13*'General assumptions'!$D$14)/$U18-$I4-$G$30+$C$20/($U18),$T18*'General assumptions'!$D$6*M$3*'General assumptions'!$D$10/($U18)-(SUM($G$16,$G$19,$G$21,$G$22,$G$30,-SUM($C$25:$C$29),'General assumptions'!$D$12*$T18,('General assumptions'!$D$8-'General assumptions'!$D$9)*'General assumptions'!$D$5*$T18,('General assumptions'!$D$8+'General assumptions'!$D$9)/2*'General assumptions'!$D$16*$T18,-'General assumptions'!$D$13/2000*'General assumptions'!$D$14*$C$9*$U18)/$U18))</f>
        <v>105.82113750000001</v>
      </c>
      <c r="N4" s="53">
        <f>IF($I$3=$R$14,V$8*('General assumptions'!$D$7/'General assumptions'!$D$4)*('General assumptions'!$D$13*'General assumptions'!$D$14)/$U18-$I4-$G$30+$C$20/($U18),$T18*'General assumptions'!$D$6*N$3*'General assumptions'!$D$10/($U18)-(SUM($G$16,$G$19,$G$21,$G$22,$G$30,-SUM($C$25:$C$29),'General assumptions'!$D$12*$T18,('General assumptions'!$D$8-'General assumptions'!$D$9)*'General assumptions'!$D$5*$T18,('General assumptions'!$D$8+'General assumptions'!$D$9)/2*'General assumptions'!$D$16*$T18,-'General assumptions'!$D$13/2000*'General assumptions'!$D$14*$C$9*$U18)/$U18))</f>
        <v>154.03542321428571</v>
      </c>
      <c r="O4" s="53">
        <f>IF($I$3=$R$14,W$8*('General assumptions'!$D$7/'General assumptions'!$D$4)*('General assumptions'!$D$13*'General assumptions'!$D$14)/$U18-$I4-$G$30+$C$20/($U18),$T18*'General assumptions'!$D$6*O$3*'General assumptions'!$D$10/($U18)-(SUM($G$16,$G$19,$G$21,$G$22,$G$30,-SUM($C$25:$C$29),'General assumptions'!$D$12*$T18,('General assumptions'!$D$8-'General assumptions'!$D$9)*'General assumptions'!$D$5*$T18,('General assumptions'!$D$8+'General assumptions'!$D$9)/2*'General assumptions'!$D$16*$T18,-'General assumptions'!$D$13/2000*'General assumptions'!$D$14*$C$9*$U18)/$U18))</f>
        <v>202.24970892857144</v>
      </c>
    </row>
    <row r="5" spans="2:23" ht="17.100000000000001" customHeight="1">
      <c r="B5" s="66"/>
      <c r="C5" s="66"/>
      <c r="D5" s="66"/>
      <c r="E5" s="66"/>
      <c r="F5" s="66"/>
      <c r="G5" s="66"/>
      <c r="H5" s="1"/>
      <c r="I5" s="52">
        <f>IF($I$3=$R$15,$I$6*100-5&amp;"%",$I$7-100)</f>
        <v>-55.821137500000006</v>
      </c>
      <c r="J5" s="53">
        <f>IF($I$3=$R$14,R$8*('General assumptions'!$D$7/'General assumptions'!$D$4)*('General assumptions'!$D$13*'General assumptions'!$D$14)/$U19-$I5-$G$30+$C$20/($U19),$T19*'General assumptions'!$D$6*J$3*'General assumptions'!$D$10/($U19)-(SUM($G$16,$G$19,$G$21,$G$22,$G$30,-SUM($C$25:$C$29),'General assumptions'!$D$12*$T19,('General assumptions'!$D$8-'General assumptions'!$D$9)*'General assumptions'!$D$5*$T19,('General assumptions'!$D$8+'General assumptions'!$D$9)/2*'General assumptions'!$D$16*$T19,-'General assumptions'!$D$13/2000*'General assumptions'!$D$14*$C$9*$U19)/$U19))</f>
        <v>-79.178862499999994</v>
      </c>
      <c r="K5" s="53">
        <f>IF($I$3=$R$14,S$8*('General assumptions'!$D$7/'General assumptions'!$D$4)*('General assumptions'!$D$13*'General assumptions'!$D$14)/$U19-$I5-$G$30+$C$20/($U19),$T19*'General assumptions'!$D$6*K$3*'General assumptions'!$D$10/($U19)-(SUM($G$16,$G$19,$G$21,$G$22,$G$30,-SUM($C$25:$C$29),'General assumptions'!$D$12*$T19,('General assumptions'!$D$8-'General assumptions'!$D$9)*'General assumptions'!$D$5*$T19,('General assumptions'!$D$8+'General assumptions'!$D$9)/2*'General assumptions'!$D$16*$T19,-'General assumptions'!$D$13/2000*'General assumptions'!$D$14*$C$9*$U19)/$U19))</f>
        <v>-34.178862499999994</v>
      </c>
      <c r="L5" s="53">
        <f>IF($I$3=$R$14,T$8*('General assumptions'!$D$7/'General assumptions'!$D$4)*('General assumptions'!$D$13*'General assumptions'!$D$14)/$U19-$I5-$G$30+$C$20/($U19),$T19*'General assumptions'!$D$6*L$3*'General assumptions'!$D$10/($U19)-(SUM($G$16,$G$19,$G$21,$G$22,$G$30,-SUM($C$25:$C$29),'General assumptions'!$D$12*$T19,('General assumptions'!$D$8-'General assumptions'!$D$9)*'General assumptions'!$D$5*$T19,('General assumptions'!$D$8+'General assumptions'!$D$9)/2*'General assumptions'!$D$16*$T19,-'General assumptions'!$D$13/2000*'General assumptions'!$D$14*$C$9*$U19)/$U19))</f>
        <v>10.821137500000006</v>
      </c>
      <c r="M5" s="53">
        <f>IF($I$3=$R$14,U$8*('General assumptions'!$D$7/'General assumptions'!$D$4)*('General assumptions'!$D$13*'General assumptions'!$D$14)/$U19-$I5-$G$30+$C$20/($U19),$T19*'General assumptions'!$D$6*M$3*'General assumptions'!$D$10/($U19)-(SUM($G$16,$G$19,$G$21,$G$22,$G$30,-SUM($C$25:$C$29),'General assumptions'!$D$12*$T19,('General assumptions'!$D$8-'General assumptions'!$D$9)*'General assumptions'!$D$5*$T19,('General assumptions'!$D$8+'General assumptions'!$D$9)/2*'General assumptions'!$D$16*$T19,-'General assumptions'!$D$13/2000*'General assumptions'!$D$14*$C$9*$U19)/$U19))</f>
        <v>55.821137500000006</v>
      </c>
      <c r="N5" s="53">
        <f>IF($I$3=$R$14,V$8*('General assumptions'!$D$7/'General assumptions'!$D$4)*('General assumptions'!$D$13*'General assumptions'!$D$14)/$U19-$I5-$G$30+$C$20/($U19),$T19*'General assumptions'!$D$6*N$3*'General assumptions'!$D$10/($U19)-(SUM($G$16,$G$19,$G$21,$G$22,$G$30,-SUM($C$25:$C$29),'General assumptions'!$D$12*$T19,('General assumptions'!$D$8-'General assumptions'!$D$9)*'General assumptions'!$D$5*$T19,('General assumptions'!$D$8+'General assumptions'!$D$9)/2*'General assumptions'!$D$16*$T19,-'General assumptions'!$D$13/2000*'General assumptions'!$D$14*$C$9*$U19)/$U19))</f>
        <v>100.82113750000001</v>
      </c>
      <c r="O5" s="53">
        <f>IF($I$3=$R$14,W$8*('General assumptions'!$D$7/'General assumptions'!$D$4)*('General assumptions'!$D$13*'General assumptions'!$D$14)/$U19-$I5-$G$30+$C$20/($U19),$T19*'General assumptions'!$D$6*O$3*'General assumptions'!$D$10/($U19)-(SUM($G$16,$G$19,$G$21,$G$22,$G$30,-SUM($C$25:$C$29),'General assumptions'!$D$12*$T19,('General assumptions'!$D$8-'General assumptions'!$D$9)*'General assumptions'!$D$5*$T19,('General assumptions'!$D$8+'General assumptions'!$D$9)/2*'General assumptions'!$D$16*$T19,-'General assumptions'!$D$13/2000*'General assumptions'!$D$14*$C$9*$U19)/$U19))</f>
        <v>145.82113750000002</v>
      </c>
      <c r="S5" s="19"/>
      <c r="T5" s="19"/>
      <c r="U5" s="19" t="s">
        <v>132</v>
      </c>
      <c r="V5" s="19"/>
      <c r="W5" s="19"/>
    </row>
    <row r="6" spans="2:23" ht="17.100000000000001" customHeight="1">
      <c r="B6" s="190" t="s">
        <v>61</v>
      </c>
      <c r="C6" s="190"/>
      <c r="D6" s="190"/>
      <c r="E6" s="190"/>
      <c r="F6" s="190"/>
      <c r="G6" s="190"/>
      <c r="H6" s="1"/>
      <c r="I6" s="52">
        <f>IF($I$3=$R$15,$I$7*100-5&amp;"%",$I$7-50)</f>
        <v>-5.8211375000000061</v>
      </c>
      <c r="J6" s="53">
        <f>IF($I$3=$R$14,R$8*('General assumptions'!$D$7/'General assumptions'!$D$4)*('General assumptions'!$D$13*'General assumptions'!$D$14)/$U20-$I6-$G$30+$C$20/($U20),$T20*'General assumptions'!$D$6*J$3*'General assumptions'!$D$10/($U20)-(SUM($G$16,$G$19,$G$21,$G$22,$G$30,-SUM($C$25:$C$29),'General assumptions'!$D$12*$T20,('General assumptions'!$D$8-'General assumptions'!$D$9)*'General assumptions'!$D$5*$T20,('General assumptions'!$D$8+'General assumptions'!$D$9)/2*'General assumptions'!$D$16*$T20,-'General assumptions'!$D$13/2000*'General assumptions'!$D$14*$C$9*$U20)/$U20))</f>
        <v>-123.43418164893616</v>
      </c>
      <c r="K6" s="53">
        <f>IF($I$3=$R$14,S$8*('General assumptions'!$D$7/'General assumptions'!$D$4)*('General assumptions'!$D$13*'General assumptions'!$D$14)/$U20-$I6-$G$30+$C$20/($U20),$T20*'General assumptions'!$D$6*K$3*'General assumptions'!$D$10/($U20)-(SUM($G$16,$G$19,$G$21,$G$22,$G$30,-SUM($C$25:$C$29),'General assumptions'!$D$12*$T20,('General assumptions'!$D$8-'General assumptions'!$D$9)*'General assumptions'!$D$5*$T20,('General assumptions'!$D$8+'General assumptions'!$D$9)/2*'General assumptions'!$D$16*$T20,-'General assumptions'!$D$13/2000*'General assumptions'!$D$14*$C$9*$U20)/$U20))</f>
        <v>-80.349075265957438</v>
      </c>
      <c r="L6" s="53">
        <f>IF($I$3=$R$14,T$8*('General assumptions'!$D$7/'General assumptions'!$D$4)*('General assumptions'!$D$13*'General assumptions'!$D$14)/$U20-$I6-$G$30+$C$20/($U20),$T20*'General assumptions'!$D$6*L$3*'General assumptions'!$D$10/($U20)-(SUM($G$16,$G$19,$G$21,$G$22,$G$30,-SUM($C$25:$C$29),'General assumptions'!$D$12*$T20,('General assumptions'!$D$8-'General assumptions'!$D$9)*'General assumptions'!$D$5*$T20,('General assumptions'!$D$8+'General assumptions'!$D$9)/2*'General assumptions'!$D$16*$T20,-'General assumptions'!$D$13/2000*'General assumptions'!$D$14*$C$9*$U20)/$U20))</f>
        <v>-37.263968882978716</v>
      </c>
      <c r="M6" s="53">
        <f>IF($I$3=$R$14,U$8*('General assumptions'!$D$7/'General assumptions'!$D$4)*('General assumptions'!$D$13*'General assumptions'!$D$14)/$U20-$I6-$G$30+$C$20/($U20),$T20*'General assumptions'!$D$6*M$3*'General assumptions'!$D$10/($U20)-(SUM($G$16,$G$19,$G$21,$G$22,$G$30,-SUM($C$25:$C$29),'General assumptions'!$D$12*$T20,('General assumptions'!$D$8-'General assumptions'!$D$9)*'General assumptions'!$D$5*$T20,('General assumptions'!$D$8+'General assumptions'!$D$9)/2*'General assumptions'!$D$16*$T20,-'General assumptions'!$D$13/2000*'General assumptions'!$D$14*$C$9*$U20)/$U20))</f>
        <v>5.8211375000000061</v>
      </c>
      <c r="N6" s="53">
        <f>IF($I$3=$R$14,V$8*('General assumptions'!$D$7/'General assumptions'!$D$4)*('General assumptions'!$D$13*'General assumptions'!$D$14)/$U20-$I6-$G$30+$C$20/($U20),$T20*'General assumptions'!$D$6*N$3*'General assumptions'!$D$10/($U20)-(SUM($G$16,$G$19,$G$21,$G$22,$G$30,-SUM($C$25:$C$29),'General assumptions'!$D$12*$T20,('General assumptions'!$D$8-'General assumptions'!$D$9)*'General assumptions'!$D$5*$T20,('General assumptions'!$D$8+'General assumptions'!$D$9)/2*'General assumptions'!$D$16*$T20,-'General assumptions'!$D$13/2000*'General assumptions'!$D$14*$C$9*$U20)/$U20))</f>
        <v>48.906243882978728</v>
      </c>
      <c r="O6" s="53">
        <f>IF($I$3=$R$14,W$8*('General assumptions'!$D$7/'General assumptions'!$D$4)*('General assumptions'!$D$13*'General assumptions'!$D$14)/$U20-$I6-$G$30+$C$20/($U20),$T20*'General assumptions'!$D$6*O$3*'General assumptions'!$D$10/($U20)-(SUM($G$16,$G$19,$G$21,$G$22,$G$30,-SUM($C$25:$C$29),'General assumptions'!$D$12*$T20,('General assumptions'!$D$8-'General assumptions'!$D$9)*'General assumptions'!$D$5*$T20,('General assumptions'!$D$8+'General assumptions'!$D$9)/2*'General assumptions'!$D$16*$T20,-'General assumptions'!$D$13/2000*'General assumptions'!$D$14*$C$9*$U20)/$U20))</f>
        <v>91.99135026595745</v>
      </c>
      <c r="R6" s="50">
        <f>ROUND(U6*0.85,2)</f>
        <v>3.83</v>
      </c>
      <c r="S6" s="50">
        <f>ROUND(U6*0.9,2)</f>
        <v>4.05</v>
      </c>
      <c r="T6" s="50">
        <f>ROUND(U6*0.95,2)</f>
        <v>4.28</v>
      </c>
      <c r="U6" s="51">
        <f>'General assumptions'!D11</f>
        <v>4.5</v>
      </c>
      <c r="V6" s="50">
        <f>ROUND(U6/0.95,2)</f>
        <v>4.74</v>
      </c>
      <c r="W6" s="50">
        <f>ROUND(U6*1.1,2)</f>
        <v>4.95</v>
      </c>
    </row>
    <row r="7" spans="2:23" ht="17.100000000000001" customHeight="1">
      <c r="B7" s="62" t="s">
        <v>119</v>
      </c>
      <c r="C7" s="63" t="s">
        <v>62</v>
      </c>
      <c r="D7" s="62" t="s">
        <v>5</v>
      </c>
      <c r="E7" s="62" t="s">
        <v>119</v>
      </c>
      <c r="F7" s="67"/>
      <c r="G7" s="62" t="s">
        <v>5</v>
      </c>
      <c r="H7" s="1"/>
      <c r="I7" s="54">
        <f>IF(I3=R14,(G23-C30+C24)/('General assumptions'!$D$4*(1+$C$8)),ROUND($C$8*100,0)&amp;"%")</f>
        <v>44.178862499999994</v>
      </c>
      <c r="J7" s="53">
        <f>IF($I$3=$R$14,R$8*('General assumptions'!$D$7/'General assumptions'!$D$4)*('General assumptions'!$D$13*'General assumptions'!$D$14)/$U21-$I7-$G$30+$C$20/($U21),$T21*'General assumptions'!$D$6*J$3*'General assumptions'!$D$10/($U21)-(SUM($G$16,$G$19,$G$21,$G$22,$G$30,-SUM($C$25:$C$29),'General assumptions'!$D$12*$T21,('General assumptions'!$D$8-'General assumptions'!$D$9)*'General assumptions'!$D$5*$T21,('General assumptions'!$D$8+'General assumptions'!$D$9)/2*'General assumptions'!$D$16*$T21,-'General assumptions'!$D$13/2000*'General assumptions'!$D$14*$C$9*$U21)/$U21))</f>
        <v>-165.67886249999998</v>
      </c>
      <c r="K7" s="53">
        <f>IF($I$3=$R$14,S$8*('General assumptions'!$D$7/'General assumptions'!$D$4)*('General assumptions'!$D$13*'General assumptions'!$D$14)/$U21-$I7-$G$30+$C$20/($U21),$T21*'General assumptions'!$D$6*K$3*'General assumptions'!$D$10/($U21)-(SUM($G$16,$G$19,$G$21,$G$22,$G$30,-SUM($C$25:$C$29),'General assumptions'!$D$12*$T21,('General assumptions'!$D$8-'General assumptions'!$D$9)*'General assumptions'!$D$5*$T21,('General assumptions'!$D$8+'General assumptions'!$D$9)/2*'General assumptions'!$D$16*$T21,-'General assumptions'!$D$13/2000*'General assumptions'!$D$14*$C$9*$U21)/$U21))</f>
        <v>-125.17886249999999</v>
      </c>
      <c r="L7" s="53">
        <f>IF($I$3=$R$14,T$8*('General assumptions'!$D$7/'General assumptions'!$D$4)*('General assumptions'!$D$13*'General assumptions'!$D$14)/$U21-$I7-$G$30+$C$20/($U21),$T21*'General assumptions'!$D$6*L$3*'General assumptions'!$D$10/($U21)-(SUM($G$16,$G$19,$G$21,$G$22,$G$30,-SUM($C$25:$C$29),'General assumptions'!$D$12*$T21,('General assumptions'!$D$8-'General assumptions'!$D$9)*'General assumptions'!$D$5*$T21,('General assumptions'!$D$8+'General assumptions'!$D$9)/2*'General assumptions'!$D$16*$T21,-'General assumptions'!$D$13/2000*'General assumptions'!$D$14*$C$9*$U21)/$U21))</f>
        <v>-84.678862499999994</v>
      </c>
      <c r="M7" s="20">
        <f>IF($I$3=$R$14,U$8*('General assumptions'!$D$7/'General assumptions'!$D$4)*('General assumptions'!$D$13*'General assumptions'!$D$14)/$U21-$I7-$G$30+$C$20/($U21),$T21*'General assumptions'!$D$6*M$3*'General assumptions'!$D$10/($U21)-(SUM($G$16,$G$19,$G$21,$G$22,$G$30,-SUM($C$25:$C$29),'General assumptions'!$D$12*$T21,('General assumptions'!$D$8-'General assumptions'!$D$9)*'General assumptions'!$D$5*$T21,('General assumptions'!$D$8+'General assumptions'!$D$9)/2*'General assumptions'!$D$16*$T21,-'General assumptions'!$D$13/2000*'General assumptions'!$D$14*$C$9*$U21)/$U21))</f>
        <v>-44.178862499999994</v>
      </c>
      <c r="N7" s="53">
        <f>IF($I$3=$R$14,V$8*('General assumptions'!$D$7/'General assumptions'!$D$4)*('General assumptions'!$D$13*'General assumptions'!$D$14)/$U21-$I7-$G$30+$C$20/($U21),$T21*'General assumptions'!$D$6*N$3*'General assumptions'!$D$10/($U21)-(SUM($G$16,$G$19,$G$21,$G$22,$G$30,-SUM($C$25:$C$29),'General assumptions'!$D$12*$T21,('General assumptions'!$D$8-'General assumptions'!$D$9)*'General assumptions'!$D$5*$T21,('General assumptions'!$D$8+'General assumptions'!$D$9)/2*'General assumptions'!$D$16*$T21,-'General assumptions'!$D$13/2000*'General assumptions'!$D$14*$C$9*$U21)/$U21))</f>
        <v>-3.6788624999999939</v>
      </c>
      <c r="O7" s="53">
        <f>IF($I$3=$R$14,W$8*('General assumptions'!$D$7/'General assumptions'!$D$4)*('General assumptions'!$D$13*'General assumptions'!$D$14)/$U21-$I7-$G$30+$C$20/($U21),$T21*'General assumptions'!$D$6*O$3*'General assumptions'!$D$10/($U21)-(SUM($G$16,$G$19,$G$21,$G$22,$G$30,-SUM($C$25:$C$29),'General assumptions'!$D$12*$T21,('General assumptions'!$D$8-'General assumptions'!$D$9)*'General assumptions'!$D$5*$T21,('General assumptions'!$D$8+'General assumptions'!$D$9)/2*'General assumptions'!$D$16*$T21,-'General assumptions'!$D$13/2000*'General assumptions'!$D$14*$C$9*$U21)/$U21))</f>
        <v>36.821137500000006</v>
      </c>
      <c r="S7" s="19"/>
      <c r="T7" s="19" t="s">
        <v>131</v>
      </c>
      <c r="U7" s="19"/>
      <c r="V7" s="19"/>
      <c r="W7" s="19"/>
    </row>
    <row r="8" spans="2:23" ht="17.100000000000001" customHeight="1">
      <c r="B8" s="61" t="s">
        <v>110</v>
      </c>
      <c r="C8" s="29">
        <v>0</v>
      </c>
      <c r="D8" s="48" t="s">
        <v>11</v>
      </c>
      <c r="E8" s="14" t="s">
        <v>93</v>
      </c>
      <c r="F8" s="64">
        <v>0</v>
      </c>
      <c r="G8" s="48" t="s">
        <v>94</v>
      </c>
      <c r="H8" s="1"/>
      <c r="I8" s="52">
        <f>IF($I$3=$R$15,$I$7*100+5&amp;"%",$I$7+50)</f>
        <v>94.178862499999994</v>
      </c>
      <c r="J8" s="53">
        <f>IF($I$3=$R$14,R$8*('General assumptions'!$D$7/'General assumptions'!$D$4)*('General assumptions'!$D$13*'General assumptions'!$D$14)/$U22-$I8-$G$30+$C$20/($U22),$T22*'General assumptions'!$D$6*J$3*'General assumptions'!$D$10/($U22)-(SUM($G$16,$G$19,$G$21,$G$22,$G$30,-SUM($C$25:$C$29),'General assumptions'!$D$12*$T22,('General assumptions'!$D$8-'General assumptions'!$D$9)*'General assumptions'!$D$5*$T22,('General assumptions'!$D$8+'General assumptions'!$D$9)/2*'General assumptions'!$D$16*$T22,-'General assumptions'!$D$13/2000*'General assumptions'!$D$14*$C$9*$U22)/$U22))</f>
        <v>-211.00578557692307</v>
      </c>
      <c r="K8" s="53">
        <f>IF($I$3=$R$14,S$8*('General assumptions'!$D$7/'General assumptions'!$D$4)*('General assumptions'!$D$13*'General assumptions'!$D$14)/$U22-$I8-$G$30+$C$20/($U22),$T22*'General assumptions'!$D$6*K$3*'General assumptions'!$D$10/($U22)-(SUM($G$16,$G$19,$G$21,$G$22,$G$30,-SUM($C$25:$C$29),'General assumptions'!$D$12*$T22,('General assumptions'!$D$8-'General assumptions'!$D$9)*'General assumptions'!$D$5*$T22,('General assumptions'!$D$8+'General assumptions'!$D$9)/2*'General assumptions'!$D$16*$T22,-'General assumptions'!$D$13/2000*'General assumptions'!$D$14*$C$9*$U22)/$U22))</f>
        <v>-172.06347788461539</v>
      </c>
      <c r="L8" s="53">
        <f>IF($I$3=$R$14,T$8*('General assumptions'!$D$7/'General assumptions'!$D$4)*('General assumptions'!$D$13*'General assumptions'!$D$14)/$U22-$I8-$G$30+$C$20/($U22),$T22*'General assumptions'!$D$6*L$3*'General assumptions'!$D$10/($U22)-(SUM($G$16,$G$19,$G$21,$G$22,$G$30,-SUM($C$25:$C$29),'General assumptions'!$D$12*$T22,('General assumptions'!$D$8-'General assumptions'!$D$9)*'General assumptions'!$D$5*$T22,('General assumptions'!$D$8+'General assumptions'!$D$9)/2*'General assumptions'!$D$16*$T22,-'General assumptions'!$D$13/2000*'General assumptions'!$D$14*$C$9*$U22)/$U22))</f>
        <v>-133.12117019230769</v>
      </c>
      <c r="M8" s="53">
        <f>IF($I$3=$R$14,U$8*('General assumptions'!$D$7/'General assumptions'!$D$4)*('General assumptions'!$D$13*'General assumptions'!$D$14)/$U22-$I8-$G$30+$C$20/($U22),$T22*'General assumptions'!$D$6*M$3*'General assumptions'!$D$10/($U22)-(SUM($G$16,$G$19,$G$21,$G$22,$G$30,-SUM($C$25:$C$29),'General assumptions'!$D$12*$T22,('General assumptions'!$D$8-'General assumptions'!$D$9)*'General assumptions'!$D$5*$T22,('General assumptions'!$D$8+'General assumptions'!$D$9)/2*'General assumptions'!$D$16*$T22,-'General assumptions'!$D$13/2000*'General assumptions'!$D$14*$C$9*$U22)/$U22))</f>
        <v>-94.178862499999994</v>
      </c>
      <c r="N8" s="53">
        <f>IF($I$3=$R$14,V$8*('General assumptions'!$D$7/'General assumptions'!$D$4)*('General assumptions'!$D$13*'General assumptions'!$D$14)/$U22-$I8-$G$30+$C$20/($U22),$T22*'General assumptions'!$D$6*N$3*'General assumptions'!$D$10/($U22)-(SUM($G$16,$G$19,$G$21,$G$22,$G$30,-SUM($C$25:$C$29),'General assumptions'!$D$12*$T22,('General assumptions'!$D$8-'General assumptions'!$D$9)*'General assumptions'!$D$5*$T22,('General assumptions'!$D$8+'General assumptions'!$D$9)/2*'General assumptions'!$D$16*$T22,-'General assumptions'!$D$13/2000*'General assumptions'!$D$14*$C$9*$U22)/$U22))</f>
        <v>-55.236554807692301</v>
      </c>
      <c r="O8" s="53">
        <f>IF($I$3=$R$14,W$8*('General assumptions'!$D$7/'General assumptions'!$D$4)*('General assumptions'!$D$13*'General assumptions'!$D$14)/$U22-$I8-$G$30+$C$20/($U22),$T22*'General assumptions'!$D$6*O$3*'General assumptions'!$D$10/($U22)-(SUM($G$16,$G$19,$G$21,$G$22,$G$30,-SUM($C$25:$C$29),'General assumptions'!$D$12*$T22,('General assumptions'!$D$8-'General assumptions'!$D$9)*'General assumptions'!$D$5*$T22,('General assumptions'!$D$8+'General assumptions'!$D$9)/2*'General assumptions'!$D$16*$T22,-'General assumptions'!$D$13/2000*'General assumptions'!$D$14*$C$9*$U22)/$U22))</f>
        <v>-16.294247115384607</v>
      </c>
      <c r="R8" s="104">
        <f t="shared" ref="R8:S8" si="2">S8-5</f>
        <v>-15</v>
      </c>
      <c r="S8" s="104">
        <f t="shared" si="2"/>
        <v>-10</v>
      </c>
      <c r="T8" s="104">
        <f>U8-5</f>
        <v>-5</v>
      </c>
      <c r="U8" s="104">
        <f>C9*('General assumptions'!D4*(1+$C$8))/'General assumptions'!$D$7</f>
        <v>0</v>
      </c>
      <c r="V8" s="104">
        <f>U8+5</f>
        <v>5</v>
      </c>
      <c r="W8" s="104">
        <f>V8+5</f>
        <v>10</v>
      </c>
    </row>
    <row r="9" spans="2:23" ht="17.100000000000001" customHeight="1">
      <c r="B9" s="14" t="s">
        <v>107</v>
      </c>
      <c r="C9" s="28">
        <v>0</v>
      </c>
      <c r="D9" s="48" t="s">
        <v>66</v>
      </c>
      <c r="E9" s="14" t="s">
        <v>95</v>
      </c>
      <c r="F9" s="70">
        <v>12</v>
      </c>
      <c r="G9" s="48" t="s">
        <v>96</v>
      </c>
      <c r="H9" s="1"/>
      <c r="I9" s="52">
        <f>IF($I$3=$R$15,$I$8*100+5&amp;"%",$I$7+100)</f>
        <v>144.17886249999998</v>
      </c>
      <c r="J9" s="53">
        <f>IF($I$3=$R$14,R$8*('General assumptions'!$D$7/'General assumptions'!$D$4)*('General assumptions'!$D$13*'General assumptions'!$D$14)/$U23-$I9-$G$30+$C$20/($U23),$T23*'General assumptions'!$D$6*J$3*'General assumptions'!$D$10/($U23)-(SUM($G$16,$G$19,$G$21,$G$22,$G$30,-SUM($C$25:$C$29),'General assumptions'!$D$12*$T23,('General assumptions'!$D$8-'General assumptions'!$D$9)*'General assumptions'!$D$5*$T23,('General assumptions'!$D$8+'General assumptions'!$D$9)/2*'General assumptions'!$D$16*$T23,-'General assumptions'!$D$13/2000*'General assumptions'!$D$14*$C$9*$U23)/$U23))</f>
        <v>-254.63340795454542</v>
      </c>
      <c r="K9" s="53">
        <f>IF($I$3=$R$14,S$8*('General assumptions'!$D$7/'General assumptions'!$D$4)*('General assumptions'!$D$13*'General assumptions'!$D$14)/$U23-$I9-$G$30+$C$20/($U23),$T23*'General assumptions'!$D$6*K$3*'General assumptions'!$D$10/($U23)-(SUM($G$16,$G$19,$G$21,$G$22,$G$30,-SUM($C$25:$C$29),'General assumptions'!$D$12*$T23,('General assumptions'!$D$8-'General assumptions'!$D$9)*'General assumptions'!$D$5*$T23,('General assumptions'!$D$8+'General assumptions'!$D$9)/2*'General assumptions'!$D$16*$T23,-'General assumptions'!$D$13/2000*'General assumptions'!$D$14*$C$9*$U23)/$U23))</f>
        <v>-217.81522613636361</v>
      </c>
      <c r="L9" s="53">
        <f>IF($I$3=$R$14,T$8*('General assumptions'!$D$7/'General assumptions'!$D$4)*('General assumptions'!$D$13*'General assumptions'!$D$14)/$U23-$I9-$G$30+$C$20/($U23),$T23*'General assumptions'!$D$6*L$3*'General assumptions'!$D$10/($U23)-(SUM($G$16,$G$19,$G$21,$G$22,$G$30,-SUM($C$25:$C$29),'General assumptions'!$D$12*$T23,('General assumptions'!$D$8-'General assumptions'!$D$9)*'General assumptions'!$D$5*$T23,('General assumptions'!$D$8+'General assumptions'!$D$9)/2*'General assumptions'!$D$16*$T23,-'General assumptions'!$D$13/2000*'General assumptions'!$D$14*$C$9*$U23)/$U23))</f>
        <v>-180.99704431818179</v>
      </c>
      <c r="M9" s="53">
        <f>IF($I$3=$R$14,U$8*('General assumptions'!$D$7/'General assumptions'!$D$4)*('General assumptions'!$D$13*'General assumptions'!$D$14)/$U23-$I9-$G$30+$C$20/($U23),$T23*'General assumptions'!$D$6*M$3*'General assumptions'!$D$10/($U23)-(SUM($G$16,$G$19,$G$21,$G$22,$G$30,-SUM($C$25:$C$29),'General assumptions'!$D$12*$T23,('General assumptions'!$D$8-'General assumptions'!$D$9)*'General assumptions'!$D$5*$T23,('General assumptions'!$D$8+'General assumptions'!$D$9)/2*'General assumptions'!$D$16*$T23,-'General assumptions'!$D$13/2000*'General assumptions'!$D$14*$C$9*$U23)/$U23))</f>
        <v>-144.17886249999998</v>
      </c>
      <c r="N9" s="53">
        <f>IF($I$3=$R$14,V$8*('General assumptions'!$D$7/'General assumptions'!$D$4)*('General assumptions'!$D$13*'General assumptions'!$D$14)/$U23-$I9-$G$30+$C$20/($U23),$T23*'General assumptions'!$D$6*N$3*'General assumptions'!$D$10/($U23)-(SUM($G$16,$G$19,$G$21,$G$22,$G$30,-SUM($C$25:$C$29),'General assumptions'!$D$12*$T23,('General assumptions'!$D$8-'General assumptions'!$D$9)*'General assumptions'!$D$5*$T23,('General assumptions'!$D$8+'General assumptions'!$D$9)/2*'General assumptions'!$D$16*$T23,-'General assumptions'!$D$13/2000*'General assumptions'!$D$14*$C$9*$U23)/$U23))</f>
        <v>-107.36068068181817</v>
      </c>
      <c r="O9" s="53">
        <f>IF($I$3=$R$14,W$8*('General assumptions'!$D$7/'General assumptions'!$D$4)*('General assumptions'!$D$13*'General assumptions'!$D$14)/$U23-$I9-$G$30+$C$20/($U23),$T23*'General assumptions'!$D$6*O$3*'General assumptions'!$D$10/($U23)-(SUM($G$16,$G$19,$G$21,$G$22,$G$30,-SUM($C$25:$C$29),'General assumptions'!$D$12*$T23,('General assumptions'!$D$8-'General assumptions'!$D$9)*'General assumptions'!$D$5*$T23,('General assumptions'!$D$8+'General assumptions'!$D$9)/2*'General assumptions'!$D$16*$T23,-'General assumptions'!$D$13/2000*'General assumptions'!$D$14*$C$9*$U23)/$U23))</f>
        <v>-70.542498863636339</v>
      </c>
    </row>
    <row r="10" spans="2:23" ht="17.100000000000001" customHeight="1">
      <c r="B10" s="14" t="s">
        <v>108</v>
      </c>
      <c r="C10" s="33">
        <v>0</v>
      </c>
      <c r="D10" s="48" t="s">
        <v>97</v>
      </c>
      <c r="E10" s="14" t="s">
        <v>120</v>
      </c>
      <c r="F10" s="68">
        <v>47.5</v>
      </c>
      <c r="G10" s="48" t="s">
        <v>65</v>
      </c>
      <c r="I10" s="55">
        <f>IF($I$3=$R$15,$I$9*100+5&amp;"%",$I$7+150)</f>
        <v>194.17886249999998</v>
      </c>
      <c r="J10" s="53">
        <f>IF($I$3=$R$14,R$8*('General assumptions'!$D$7/'General assumptions'!$D$4)*('General assumptions'!$D$13*'General assumptions'!$D$14)/$U24-$I10-$G$30+$C$20/($U24),$T24*'General assumptions'!$D$6*J$3*'General assumptions'!$D$10/($U24)-(SUM($G$16,$G$19,$G$21,$G$22,$G$30,-SUM($C$25:$C$29),'General assumptions'!$D$12*$T24,('General assumptions'!$D$8-'General assumptions'!$D$9)*'General assumptions'!$D$5*$T24,('General assumptions'!$D$8+'General assumptions'!$D$9)/2*'General assumptions'!$D$16*$T24,-'General assumptions'!$D$13/2000*'General assumptions'!$D$14*$C$9*$U24)/$U24))</f>
        <v>-300.75780986842102</v>
      </c>
      <c r="K10" s="53">
        <f>IF($I$3=$R$14,S$8*('General assumptions'!$D$7/'General assumptions'!$D$4)*('General assumptions'!$D$13*'General assumptions'!$D$14)/$U24-$I10-$G$30+$C$20/($U24),$T24*'General assumptions'!$D$6*K$3*'General assumptions'!$D$10/($U24)-(SUM($G$16,$G$19,$G$21,$G$22,$G$30,-SUM($C$25:$C$29),'General assumptions'!$D$12*$T24,('General assumptions'!$D$8-'General assumptions'!$D$9)*'General assumptions'!$D$5*$T24,('General assumptions'!$D$8+'General assumptions'!$D$9)/2*'General assumptions'!$D$16*$T24,-'General assumptions'!$D$13/2000*'General assumptions'!$D$14*$C$9*$U24)/$U24))</f>
        <v>-265.23149407894732</v>
      </c>
      <c r="L10" s="53">
        <f>IF($I$3=$R$14,T$8*('General assumptions'!$D$7/'General assumptions'!$D$4)*('General assumptions'!$D$13*'General assumptions'!$D$14)/$U24-$I10-$G$30+$C$20/($U24),$T24*'General assumptions'!$D$6*L$3*'General assumptions'!$D$10/($U24)-(SUM($G$16,$G$19,$G$21,$G$22,$G$30,-SUM($C$25:$C$29),'General assumptions'!$D$12*$T24,('General assumptions'!$D$8-'General assumptions'!$D$9)*'General assumptions'!$D$5*$T24,('General assumptions'!$D$8+'General assumptions'!$D$9)/2*'General assumptions'!$D$16*$T24,-'General assumptions'!$D$13/2000*'General assumptions'!$D$14*$C$9*$U24)/$U24))</f>
        <v>-229.70517828947368</v>
      </c>
      <c r="M10" s="53">
        <f>IF($I$3=$R$14,U$8*('General assumptions'!$D$7/'General assumptions'!$D$4)*('General assumptions'!$D$13*'General assumptions'!$D$14)/$U24-$I10-$G$30+$C$20/($U24),$T24*'General assumptions'!$D$6*M$3*'General assumptions'!$D$10/($U24)-(SUM($G$16,$G$19,$G$21,$G$22,$G$30,-SUM($C$25:$C$29),'General assumptions'!$D$12*$T24,('General assumptions'!$D$8-'General assumptions'!$D$9)*'General assumptions'!$D$5*$T24,('General assumptions'!$D$8+'General assumptions'!$D$9)/2*'General assumptions'!$D$16*$T24,-'General assumptions'!$D$13/2000*'General assumptions'!$D$14*$C$9*$U24)/$U24))</f>
        <v>-194.17886249999998</v>
      </c>
      <c r="N10" s="53">
        <f>IF($I$3=$R$14,V$8*('General assumptions'!$D$7/'General assumptions'!$D$4)*('General assumptions'!$D$13*'General assumptions'!$D$14)/$U24-$I10-$G$30+$C$20/($U24),$T24*'General assumptions'!$D$6*N$3*'General assumptions'!$D$10/($U24)-(SUM($G$16,$G$19,$G$21,$G$22,$G$30,-SUM($C$25:$C$29),'General assumptions'!$D$12*$T24,('General assumptions'!$D$8-'General assumptions'!$D$9)*'General assumptions'!$D$5*$T24,('General assumptions'!$D$8+'General assumptions'!$D$9)/2*'General assumptions'!$D$16*$T24,-'General assumptions'!$D$13/2000*'General assumptions'!$D$14*$C$9*$U24)/$U24))</f>
        <v>-158.65254671052628</v>
      </c>
      <c r="O10" s="53">
        <f>IF($I$3=$R$14,W$8*('General assumptions'!$D$7/'General assumptions'!$D$4)*('General assumptions'!$D$13*'General assumptions'!$D$14)/$U24-$I10-$G$30+$C$20/($U24),$T24*'General assumptions'!$D$6*O$3*'General assumptions'!$D$10/($U24)-(SUM($G$16,$G$19,$G$21,$G$22,$G$30,-SUM($C$25:$C$29),'General assumptions'!$D$12*$T24,('General assumptions'!$D$8-'General assumptions'!$D$9)*'General assumptions'!$D$5*$T24,('General assumptions'!$D$8+'General assumptions'!$D$9)/2*'General assumptions'!$D$16*$T24,-'General assumptions'!$D$13/2000*'General assumptions'!$D$14*$C$9*$U24)/$U24))</f>
        <v>-123.12623092105261</v>
      </c>
    </row>
    <row r="11" spans="2:23" ht="17.100000000000001" customHeight="1">
      <c r="B11" s="30" t="s">
        <v>98</v>
      </c>
      <c r="C11" s="35">
        <v>150</v>
      </c>
      <c r="D11" s="49" t="s">
        <v>42</v>
      </c>
      <c r="E11" s="30" t="s">
        <v>99</v>
      </c>
      <c r="F11" s="35">
        <v>55</v>
      </c>
      <c r="G11" s="49" t="s">
        <v>42</v>
      </c>
      <c r="H11" s="1"/>
    </row>
    <row r="12" spans="2:23" ht="17.100000000000001" customHeight="1">
      <c r="G12" s="5"/>
      <c r="H12" s="1"/>
    </row>
    <row r="13" spans="2:23" ht="17.100000000000001" customHeight="1" thickBot="1">
      <c r="B13" s="6" t="s">
        <v>68</v>
      </c>
      <c r="C13" s="6"/>
      <c r="D13" s="6"/>
      <c r="E13" s="6"/>
      <c r="F13" s="6"/>
      <c r="G13" s="6"/>
      <c r="H13" s="1"/>
    </row>
    <row r="14" spans="2:23" ht="17.100000000000001" customHeight="1">
      <c r="B14" s="165"/>
      <c r="C14" s="168"/>
      <c r="D14" s="168"/>
      <c r="E14" s="168"/>
      <c r="F14" s="168"/>
      <c r="G14" s="169"/>
      <c r="H14" s="1"/>
      <c r="R14" s="21" t="s">
        <v>74</v>
      </c>
    </row>
    <row r="15" spans="2:23" ht="17.100000000000001" customHeight="1">
      <c r="B15" s="143" t="s">
        <v>100</v>
      </c>
      <c r="C15" s="63" t="s">
        <v>70</v>
      </c>
      <c r="D15" s="144"/>
      <c r="E15" s="85" t="s">
        <v>123</v>
      </c>
      <c r="F15" s="127"/>
      <c r="G15" s="145" t="s">
        <v>70</v>
      </c>
      <c r="H15" s="9"/>
      <c r="K15" s="47"/>
      <c r="R15" s="21" t="s">
        <v>60</v>
      </c>
    </row>
    <row r="16" spans="2:23" ht="17.100000000000001" customHeight="1">
      <c r="B16" s="146" t="s">
        <v>72</v>
      </c>
      <c r="C16" s="147">
        <f>R24*'General assumptions'!D6*'General assumptions'!D10*'General assumptions'!D11</f>
        <v>0</v>
      </c>
      <c r="D16" s="14"/>
      <c r="E16" s="14" t="s">
        <v>73</v>
      </c>
      <c r="F16" s="14"/>
      <c r="G16" s="148">
        <f>'Fence and Water system details'!H11+'Fence and Water system details'!H22+F10*'General assumptions'!D4*(1+$C$8)</f>
        <v>5546.4431249999998</v>
      </c>
      <c r="K16" s="47"/>
    </row>
    <row r="17" spans="2:21" ht="17.100000000000001" customHeight="1">
      <c r="B17" s="149" t="s">
        <v>101</v>
      </c>
      <c r="C17" s="150">
        <v>0</v>
      </c>
      <c r="D17" s="144"/>
      <c r="E17" s="14" t="s">
        <v>76</v>
      </c>
      <c r="F17" s="14"/>
      <c r="G17" s="148">
        <f>$R$24*('General assumptions'!D8-'General assumptions'!D9)/(1/'General assumptions'!D5)</f>
        <v>0</v>
      </c>
      <c r="T17" s="19" t="s">
        <v>111</v>
      </c>
      <c r="U17" s="19" t="s">
        <v>112</v>
      </c>
    </row>
    <row r="18" spans="2:21" ht="17.100000000000001" customHeight="1">
      <c r="B18" s="151" t="s">
        <v>77</v>
      </c>
      <c r="C18" s="150">
        <v>0</v>
      </c>
      <c r="D18" s="144"/>
      <c r="E18" s="14" t="s">
        <v>78</v>
      </c>
      <c r="F18" s="14"/>
      <c r="G18" s="148">
        <f>'General assumptions'!D16*R24*('General assumptions'!D8+'General assumptions'!D9)/2</f>
        <v>0</v>
      </c>
      <c r="R18" s="76"/>
      <c r="S18" s="77"/>
      <c r="T18" s="72">
        <f>U18-'General assumptions'!$D$4</f>
        <v>-8</v>
      </c>
      <c r="U18" s="78">
        <f>ROUNDDOWN(($R$24/'General assumptions'!$D$4-0.15+1)*'General assumptions'!$D$4,0)</f>
        <v>42</v>
      </c>
    </row>
    <row r="19" spans="2:21" ht="17.100000000000001" customHeight="1">
      <c r="B19" s="151" t="s">
        <v>77</v>
      </c>
      <c r="C19" s="150">
        <v>0</v>
      </c>
      <c r="D19" s="144"/>
      <c r="E19" s="14" t="s">
        <v>165</v>
      </c>
      <c r="F19" s="14"/>
      <c r="G19" s="148">
        <f>F11*'General assumptions'!D17</f>
        <v>1237.5</v>
      </c>
      <c r="T19" s="72">
        <f>U19-'General assumptions'!$D$4</f>
        <v>-5</v>
      </c>
      <c r="U19" s="78">
        <f>ROUNDDOWN(($R$24/'General assumptions'!$D$4-0.1+1)*'General assumptions'!$D$4,0)</f>
        <v>45</v>
      </c>
    </row>
    <row r="20" spans="2:21" ht="17.100000000000001" customHeight="1">
      <c r="B20" s="151" t="s">
        <v>77</v>
      </c>
      <c r="C20" s="152">
        <v>0</v>
      </c>
      <c r="D20" s="144"/>
      <c r="E20" s="14" t="s">
        <v>80</v>
      </c>
      <c r="F20" s="14"/>
      <c r="G20" s="148">
        <f>'General assumptions'!D12*R24</f>
        <v>0</v>
      </c>
      <c r="T20" s="72">
        <f>U20-'General assumptions'!$D$4</f>
        <v>-3</v>
      </c>
      <c r="U20" s="78">
        <f>ROUNDDOWN(($R$24/'General assumptions'!$D$4-0.05+1)*'General assumptions'!$D$4,0)</f>
        <v>47</v>
      </c>
    </row>
    <row r="21" spans="2:21" ht="17.100000000000001" customHeight="1">
      <c r="B21" s="153" t="s">
        <v>81</v>
      </c>
      <c r="C21" s="3">
        <f>SUM(C16:C20)</f>
        <v>0</v>
      </c>
      <c r="D21" s="144"/>
      <c r="E21" s="61" t="s">
        <v>102</v>
      </c>
      <c r="F21" s="61"/>
      <c r="G21" s="154">
        <v>0</v>
      </c>
      <c r="R21" s="76"/>
      <c r="S21" s="77"/>
      <c r="T21" s="72">
        <f>U21-'General assumptions'!$D$4</f>
        <v>0</v>
      </c>
      <c r="U21" s="78">
        <f>'General assumptions'!$D$4*(1+$C$8)</f>
        <v>50</v>
      </c>
    </row>
    <row r="22" spans="2:21" ht="17.100000000000001" customHeight="1">
      <c r="B22" s="146"/>
      <c r="C22" s="14"/>
      <c r="D22" s="144"/>
      <c r="E22" s="156" t="s">
        <v>77</v>
      </c>
      <c r="F22" s="156"/>
      <c r="G22" s="157">
        <v>0</v>
      </c>
      <c r="R22" s="76"/>
      <c r="S22" s="77"/>
      <c r="T22" s="72">
        <f>U22-'General assumptions'!$D$4</f>
        <v>2</v>
      </c>
      <c r="U22" s="78">
        <f>ROUNDDOWN(($R$24/'General assumptions'!$D$4+1.05)*'General assumptions'!$D$4,0)</f>
        <v>52</v>
      </c>
    </row>
    <row r="23" spans="2:21" ht="17.100000000000001" customHeight="1">
      <c r="B23" s="143" t="s">
        <v>124</v>
      </c>
      <c r="C23" s="63" t="s">
        <v>70</v>
      </c>
      <c r="D23" s="144"/>
      <c r="E23" s="144"/>
      <c r="F23" s="158" t="s">
        <v>81</v>
      </c>
      <c r="G23" s="4">
        <f>SUM(G16:G22)</f>
        <v>6783.9431249999998</v>
      </c>
      <c r="T23" s="72">
        <f>U23-'General assumptions'!$D$4</f>
        <v>5</v>
      </c>
      <c r="U23" s="78">
        <f>ROUNDDOWN(($R$24/'General assumptions'!$D$4+1.1)*'General assumptions'!$D$4,0)</f>
        <v>55</v>
      </c>
    </row>
    <row r="24" spans="2:21" ht="17.100000000000001" customHeight="1">
      <c r="B24" s="146" t="s">
        <v>85</v>
      </c>
      <c r="C24" s="147">
        <f>(C9+T21)*'General assumptions'!D14*'General assumptions'!D13</f>
        <v>0</v>
      </c>
      <c r="D24" s="144"/>
      <c r="E24" s="144"/>
      <c r="F24" s="158"/>
      <c r="G24" s="4"/>
      <c r="R24" s="2">
        <f>C8*'General assumptions'!D4</f>
        <v>0</v>
      </c>
      <c r="T24" s="72">
        <f>U24-'General assumptions'!$D$4</f>
        <v>7</v>
      </c>
      <c r="U24" s="78">
        <f>ROUNDDOWN(($R$24/'General assumptions'!$D$4+1.15)*'General assumptions'!$D$4,0)</f>
        <v>57</v>
      </c>
    </row>
    <row r="25" spans="2:21" ht="17.100000000000001" customHeight="1">
      <c r="B25" s="146" t="s">
        <v>86</v>
      </c>
      <c r="C25" s="147">
        <f>C10*'General assumptions'!D7</f>
        <v>0</v>
      </c>
      <c r="D25" s="144"/>
      <c r="E25" s="85" t="s">
        <v>125</v>
      </c>
      <c r="F25" s="127"/>
      <c r="G25" s="145" t="s">
        <v>70</v>
      </c>
    </row>
    <row r="26" spans="2:21" ht="17.100000000000001" customHeight="1">
      <c r="B26" s="146" t="s">
        <v>103</v>
      </c>
      <c r="C26" s="147">
        <f>F8/F9+F8/2*'General assumptions'!D16</f>
        <v>0</v>
      </c>
      <c r="D26" s="14"/>
      <c r="E26" s="61" t="s">
        <v>104</v>
      </c>
      <c r="F26" s="61"/>
      <c r="G26" s="170">
        <v>0</v>
      </c>
    </row>
    <row r="27" spans="2:21" ht="17.100000000000001" customHeight="1">
      <c r="B27" s="146" t="s">
        <v>105</v>
      </c>
      <c r="C27" s="150">
        <v>1200</v>
      </c>
      <c r="D27" s="144"/>
      <c r="E27" s="156" t="s">
        <v>77</v>
      </c>
      <c r="F27" s="156"/>
      <c r="G27" s="154">
        <v>0</v>
      </c>
    </row>
    <row r="28" spans="2:21" ht="17.100000000000001" customHeight="1">
      <c r="B28" s="146" t="s">
        <v>106</v>
      </c>
      <c r="C28" s="147">
        <f>C11*'General assumptions'!D17</f>
        <v>3375</v>
      </c>
      <c r="D28" s="144"/>
      <c r="E28" s="156" t="s">
        <v>77</v>
      </c>
      <c r="F28" s="156"/>
      <c r="G28" s="154">
        <v>0</v>
      </c>
    </row>
    <row r="29" spans="2:21" ht="17.100000000000001" customHeight="1">
      <c r="B29" s="151" t="s">
        <v>77</v>
      </c>
      <c r="C29" s="152">
        <v>0</v>
      </c>
      <c r="D29" s="14"/>
      <c r="E29" s="156" t="s">
        <v>77</v>
      </c>
      <c r="F29" s="156"/>
      <c r="G29" s="157">
        <v>0</v>
      </c>
    </row>
    <row r="30" spans="2:21" ht="17.100000000000001" customHeight="1">
      <c r="B30" s="153" t="s">
        <v>81</v>
      </c>
      <c r="C30" s="3">
        <f>SUM(C24:C29)</f>
        <v>4575</v>
      </c>
      <c r="D30" s="161"/>
      <c r="E30" s="14"/>
      <c r="F30" s="158" t="s">
        <v>81</v>
      </c>
      <c r="G30" s="4">
        <f>SUM(G26:G29)</f>
        <v>0</v>
      </c>
    </row>
    <row r="31" spans="2:21" ht="17.100000000000001" customHeight="1" thickBot="1">
      <c r="B31" s="162"/>
      <c r="C31" s="163"/>
      <c r="D31" s="163"/>
      <c r="E31" s="163"/>
      <c r="F31" s="163"/>
      <c r="G31" s="164"/>
    </row>
    <row r="32" spans="2:21" ht="17.100000000000001" customHeight="1">
      <c r="B32" s="165" t="s">
        <v>88</v>
      </c>
      <c r="C32" s="166"/>
      <c r="D32" s="166"/>
      <c r="E32" s="166"/>
      <c r="F32" s="11" t="s">
        <v>89</v>
      </c>
      <c r="G32" s="12">
        <f>C21+C30-G23-G30</f>
        <v>-2208.9431249999998</v>
      </c>
    </row>
    <row r="33" spans="2:7" ht="17.100000000000001" customHeight="1">
      <c r="B33" s="146" t="s">
        <v>90</v>
      </c>
      <c r="C33" s="14"/>
      <c r="D33" s="14"/>
      <c r="E33" s="14"/>
      <c r="F33" s="10" t="s">
        <v>91</v>
      </c>
      <c r="G33" s="13">
        <f>G32/('General assumptions'!D4*(1+$C$8))</f>
        <v>-44.178862499999994</v>
      </c>
    </row>
    <row r="34" spans="2:7" ht="17.100000000000001" customHeight="1" thickBot="1">
      <c r="B34" s="167"/>
      <c r="C34" s="163"/>
      <c r="D34" s="163"/>
      <c r="E34" s="163"/>
      <c r="F34" s="39" t="s">
        <v>92</v>
      </c>
      <c r="G34" s="40">
        <f>G32/'General assumptions'!D7</f>
        <v>-14.726287499999998</v>
      </c>
    </row>
    <row r="35" spans="2:7"/>
  </sheetData>
  <sheetProtection sheet="1" objects="1" scenarios="1"/>
  <protectedRanges>
    <protectedRange sqref="C8:C11 F8:F11 I3 C17:C20 B18:B20 G21:G22 F22 E22 C27 B29:C29 G26:G29 E27:F29" name="Edit cells"/>
  </protectedRanges>
  <mergeCells count="1">
    <mergeCell ref="B6:G6"/>
  </mergeCells>
  <conditionalFormatting sqref="I4:I10">
    <cfRule type="expression" dxfId="0" priority="1">
      <formula>I4&amp;"&lt;"&amp;"1"</formula>
    </cfRule>
  </conditionalFormatting>
  <dataValidations count="7">
    <dataValidation allowBlank="1" showInputMessage="1" showErrorMessage="1" promptTitle="When to change stocking rate" prompt="Virtual fence can change stocking rates in a number of ways including accessing poorly fenced areas, improving forage utilization, and strip grazing annual forages. Enter your goal for stocking rate change here, as a percent." sqref="C8" xr:uid="{3FEA4F14-3330-4F46-B9FC-E71A942F9848}"/>
    <dataValidation allowBlank="1" showInputMessage="1" showErrorMessage="1" prompt="Do not enter an investment in electric fence if you already own electric fence materials for an existing management intensive grazing system. " sqref="F8" xr:uid="{DF2F6207-AEE4-470D-AA3C-CB2F17EA1AD9}"/>
    <dataValidation type="list" allowBlank="1" showInputMessage="1" showErrorMessage="1" sqref="I3" xr:uid="{9EDDEFAB-FA06-4993-91F3-A7AA8136DC06}">
      <formula1>$R$14:$R$16</formula1>
    </dataValidation>
    <dataValidation allowBlank="1" showInputMessage="1" showErrorMessage="1" prompt="If Virtual Fence improves manure distribution to a degree that fertilization can be reduced, enter the reduction in fertilizer expense you expect on a per acre basis. " sqref="C10" xr:uid="{323BFF72-B9B4-424C-9217-B661A70E91EB}"/>
    <dataValidation allowBlank="1" showInputMessage="1" showErrorMessage="1" promptTitle="Changing the hay feeding season" prompt="If Virtual Fence allows you to feed less hay or other stored forage through access to more forages or improved utilization on existing pastures, enter the number of additional grazing days you expect each year here. " sqref="C9" xr:uid="{75A8D7BF-75CB-4419-952C-BF8C139AD6D4}"/>
    <dataValidation allowBlank="1" showInputMessage="1" showErrorMessage="1" promptTitle="What's Virtual Fence Labor?" prompt="VF labor includes all activities associated with the management of the VF system. Collar maintenance, training new animals, and managing your herd in the app are all included in this category. " sqref="F11" xr:uid="{74A66A55-4D62-42B7-A9D1-D53D676372A5}"/>
    <dataValidation allowBlank="1" showInputMessage="1" showErrorMessage="1" prompt="Enter the annual cost of any additional maintenance to grazing systems as a result of adopting virtual fencing. " sqref="G21" xr:uid="{83F27F3A-C821-4ECB-B96D-38645AB1B3A9}"/>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5742-F6EF-4B99-A7A8-7C1C5492D8D1}">
  <dimension ref="A1:I20"/>
  <sheetViews>
    <sheetView showGridLines="0" tabSelected="1" workbookViewId="0">
      <selection activeCell="D20" sqref="D20"/>
    </sheetView>
  </sheetViews>
  <sheetFormatPr defaultColWidth="0" defaultRowHeight="14.4" zeroHeight="1"/>
  <cols>
    <col min="1" max="1" width="3.109375" style="2" customWidth="1"/>
    <col min="2" max="2" width="39.44140625" style="2" customWidth="1"/>
    <col min="3" max="3" width="8.5546875" style="2" customWidth="1"/>
    <col min="4" max="4" width="16.88671875" style="2" customWidth="1"/>
    <col min="5" max="5" width="9.109375" style="2" customWidth="1"/>
    <col min="6" max="6" width="30" style="2" customWidth="1"/>
    <col min="7" max="7" width="17.6640625" style="2" customWidth="1"/>
    <col min="8" max="8" width="13" style="2" bestFit="1" customWidth="1"/>
    <col min="9" max="9" width="3.109375" style="2" customWidth="1"/>
    <col min="10" max="16384" width="9.109375" style="2" hidden="1"/>
  </cols>
  <sheetData>
    <row r="1" spans="2:8" ht="23.4">
      <c r="B1" s="88" t="s">
        <v>135</v>
      </c>
      <c r="C1" s="171"/>
      <c r="D1" s="108"/>
      <c r="E1" s="108"/>
      <c r="F1" s="108"/>
      <c r="G1" s="108"/>
      <c r="H1" s="108"/>
    </row>
    <row r="2" spans="2:8" ht="17.399999999999999">
      <c r="B2" s="180" t="s">
        <v>159</v>
      </c>
      <c r="C2" s="178"/>
      <c r="D2" s="179"/>
      <c r="E2" s="179"/>
      <c r="F2" s="181" t="s">
        <v>160</v>
      </c>
      <c r="G2" s="179"/>
      <c r="H2" s="179"/>
    </row>
    <row r="3" spans="2:8" ht="18">
      <c r="B3" s="172" t="s">
        <v>141</v>
      </c>
      <c r="C3" s="172"/>
      <c r="D3" s="28">
        <v>20</v>
      </c>
      <c r="E3" s="1"/>
      <c r="F3" s="172" t="s">
        <v>146</v>
      </c>
      <c r="G3" s="172"/>
      <c r="H3" s="33">
        <v>100</v>
      </c>
    </row>
    <row r="4" spans="2:8" ht="18">
      <c r="B4" s="172" t="s">
        <v>142</v>
      </c>
      <c r="C4" s="172"/>
      <c r="D4" s="28">
        <v>15</v>
      </c>
      <c r="E4" s="1"/>
      <c r="F4" s="172" t="s">
        <v>163</v>
      </c>
      <c r="G4" s="172"/>
      <c r="H4" s="28">
        <v>1350</v>
      </c>
    </row>
    <row r="5" spans="2:8" ht="18">
      <c r="B5" s="173" t="s">
        <v>162</v>
      </c>
      <c r="C5" s="173"/>
      <c r="D5" s="35">
        <v>120</v>
      </c>
      <c r="E5" s="1"/>
      <c r="F5" s="172" t="s">
        <v>147</v>
      </c>
      <c r="G5" s="172"/>
      <c r="H5" s="32">
        <v>0.03</v>
      </c>
    </row>
    <row r="6" spans="2:8" ht="18">
      <c r="C6" s="174" t="s">
        <v>143</v>
      </c>
      <c r="D6" s="10">
        <f>IFERROR(D4*D5/D3,0)</f>
        <v>90</v>
      </c>
      <c r="E6" s="1"/>
      <c r="F6" s="14" t="s">
        <v>148</v>
      </c>
      <c r="G6" s="174"/>
      <c r="H6" s="32">
        <v>0.15</v>
      </c>
    </row>
    <row r="7" spans="2:8" ht="18">
      <c r="B7" s="174"/>
      <c r="C7" s="174"/>
      <c r="D7" s="14"/>
      <c r="E7" s="1"/>
      <c r="F7" s="14" t="s">
        <v>149</v>
      </c>
      <c r="G7" s="1"/>
      <c r="H7" s="28">
        <v>6</v>
      </c>
    </row>
    <row r="8" spans="2:8" ht="18">
      <c r="B8" s="34" t="s">
        <v>161</v>
      </c>
      <c r="C8" s="34"/>
      <c r="D8" s="30" t="s">
        <v>67</v>
      </c>
      <c r="F8" s="14" t="s">
        <v>158</v>
      </c>
      <c r="G8" s="1"/>
      <c r="H8" s="33">
        <v>75</v>
      </c>
    </row>
    <row r="9" spans="2:8" ht="15.6">
      <c r="B9" s="14" t="s">
        <v>136</v>
      </c>
      <c r="C9" s="14"/>
      <c r="D9" s="33">
        <v>50</v>
      </c>
      <c r="F9" s="30" t="s">
        <v>150</v>
      </c>
      <c r="G9" s="27"/>
      <c r="H9" s="69">
        <v>25</v>
      </c>
    </row>
    <row r="10" spans="2:8" ht="15.6">
      <c r="B10" s="14" t="s">
        <v>137</v>
      </c>
      <c r="C10" s="14"/>
      <c r="D10" s="33">
        <v>50</v>
      </c>
      <c r="G10" s="158" t="s">
        <v>151</v>
      </c>
      <c r="H10" s="176">
        <f>IFERROR((H3/2000*H4*H5/(1-H6)+H7/D4*(H9+H8)/60)*D5*D4,0)</f>
        <v>5488.2352941176468</v>
      </c>
    </row>
    <row r="11" spans="2:8" ht="15.6">
      <c r="B11" s="14" t="s">
        <v>138</v>
      </c>
      <c r="C11" s="14"/>
      <c r="D11" s="33">
        <v>15</v>
      </c>
      <c r="G11" s="158" t="s">
        <v>153</v>
      </c>
      <c r="H11" s="176">
        <f>IFERROR(H10/D4,0)</f>
        <v>365.88235294117646</v>
      </c>
    </row>
    <row r="12" spans="2:8" ht="15.6">
      <c r="B12" s="14" t="s">
        <v>139</v>
      </c>
      <c r="C12" s="14"/>
      <c r="D12" s="33">
        <v>40</v>
      </c>
      <c r="F12" s="27"/>
      <c r="G12" s="133" t="s">
        <v>154</v>
      </c>
      <c r="H12" s="177">
        <f>IFERROR(H11/D5,0)</f>
        <v>3.0490196078431371</v>
      </c>
    </row>
    <row r="13" spans="2:8" ht="15.6">
      <c r="B13" s="30" t="s">
        <v>140</v>
      </c>
      <c r="C13" s="30"/>
      <c r="D13" s="175">
        <v>0</v>
      </c>
    </row>
    <row r="14" spans="2:8" ht="18">
      <c r="C14" s="158" t="s">
        <v>152</v>
      </c>
      <c r="D14" s="176">
        <f>D15*D3</f>
        <v>3100</v>
      </c>
      <c r="F14" s="186" t="str">
        <f>IF(D16&gt;H12,"Disadvantage","Advantage")&amp;" of grazing"</f>
        <v>Advantage of grazing</v>
      </c>
      <c r="G14" s="187"/>
    </row>
    <row r="15" spans="2:8" ht="15.6">
      <c r="C15" s="158" t="s">
        <v>144</v>
      </c>
      <c r="D15" s="176">
        <f>SUM(D9:D13)</f>
        <v>155</v>
      </c>
      <c r="F15" s="182" t="s">
        <v>155</v>
      </c>
      <c r="G15" s="188">
        <f>H10-D14</f>
        <v>2388.2352941176468</v>
      </c>
    </row>
    <row r="16" spans="2:8" ht="15.6">
      <c r="B16" s="27"/>
      <c r="C16" s="133" t="s">
        <v>145</v>
      </c>
      <c r="D16" s="177">
        <f>IFERROR(D15/D6,0)</f>
        <v>1.7222222222222223</v>
      </c>
      <c r="F16" s="182" t="s">
        <v>156</v>
      </c>
      <c r="G16" s="183">
        <f>H11-D16*D5</f>
        <v>159.21568627450978</v>
      </c>
    </row>
    <row r="17" spans="2:8" ht="15.6">
      <c r="C17" s="158"/>
      <c r="D17" s="176"/>
      <c r="F17" s="184" t="s">
        <v>157</v>
      </c>
      <c r="G17" s="185">
        <f>H12-D16</f>
        <v>1.3267973856209148</v>
      </c>
    </row>
    <row r="18" spans="2:8" ht="15.6">
      <c r="C18" s="158"/>
      <c r="D18" s="176"/>
      <c r="F18" s="158"/>
      <c r="G18" s="176"/>
    </row>
    <row r="19" spans="2:8" ht="29.25" customHeight="1">
      <c r="B19" s="189" t="s">
        <v>166</v>
      </c>
      <c r="C19" s="189"/>
      <c r="D19" s="189"/>
      <c r="E19" s="189"/>
      <c r="F19" s="189"/>
      <c r="G19" s="189"/>
      <c r="H19" s="189"/>
    </row>
    <row r="20" spans="2:8"/>
  </sheetData>
  <sheetProtection sheet="1" objects="1" scenarios="1"/>
  <protectedRanges>
    <protectedRange sqref="D3:D5 D9:D13 H3:H9" name="Edit cells"/>
  </protectedRanges>
  <mergeCells count="1">
    <mergeCell ref="B19:H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029b82-de8b-4bb8-a3ab-fd0183ed5d77" xsi:nil="true"/>
    <lcf76f155ced4ddcb4097134ff3c332f xmlns="efba6830-88fc-4660-8252-66421c0ed6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9" ma:contentTypeDescription="Create a new document." ma:contentTypeScope="" ma:versionID="f610af42f5f35fc6cfbfb3e5795ca45d">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b56cae5f79f0fb0f797c4f61633a70a8"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C24467-393C-4A39-A688-51D2F6079646}">
  <ds:schemaRefs>
    <ds:schemaRef ds:uri="http://purl.org/dc/elements/1.1/"/>
    <ds:schemaRef ds:uri="http://www.w3.org/XML/1998/namespace"/>
    <ds:schemaRef ds:uri="http://purl.org/dc/dcmitype/"/>
    <ds:schemaRef ds:uri="68029b82-de8b-4bb8-a3ab-fd0183ed5d77"/>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fba6830-88fc-4660-8252-66421c0ed606"/>
    <ds:schemaRef ds:uri="http://schemas.microsoft.com/office/2006/metadata/properties"/>
  </ds:schemaRefs>
</ds:datastoreItem>
</file>

<file path=customXml/itemProps2.xml><?xml version="1.0" encoding="utf-8"?>
<ds:datastoreItem xmlns:ds="http://schemas.openxmlformats.org/officeDocument/2006/customXml" ds:itemID="{981D8A55-7B0A-4075-8745-462A41CF91C8}">
  <ds:schemaRefs>
    <ds:schemaRef ds:uri="http://schemas.microsoft.com/sharepoint/v3/contenttype/forms"/>
  </ds:schemaRefs>
</ds:datastoreItem>
</file>

<file path=customXml/itemProps3.xml><?xml version="1.0" encoding="utf-8"?>
<ds:datastoreItem xmlns:ds="http://schemas.openxmlformats.org/officeDocument/2006/customXml" ds:itemID="{9ADBD012-C46C-4C83-A5A8-5F6C2664A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General assumptions</vt:lpstr>
      <vt:lpstr>Fence and Water system details</vt:lpstr>
      <vt:lpstr>Continuous to VF</vt:lpstr>
      <vt:lpstr>MiG - EF to VF</vt:lpstr>
      <vt:lpstr>Forage access evaluator</vt:lpstr>
    </vt:vector>
  </TitlesOfParts>
  <Manager/>
  <Company>University of Missouri Extension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virtual fencing decision tool</dc:title>
  <dc:subject/>
  <dc:creator>dkientzy@missouri.edu</dc:creator>
  <cp:keywords>Agriculture, Virtual Fencing</cp:keywords>
  <dc:description/>
  <cp:lastModifiedBy>Salmons, Michael</cp:lastModifiedBy>
  <cp:revision/>
  <dcterms:created xsi:type="dcterms:W3CDTF">2016-09-29T15:43:09Z</dcterms:created>
  <dcterms:modified xsi:type="dcterms:W3CDTF">2026-06-23T16:56:58Z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