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mailmissouri-my.sharepoint.com/personal/knappv_umsystem_edu/Documents/Documents/ABP pubs/2026 BUDGETS/3-Final/g687-689-swine/"/>
    </mc:Choice>
  </mc:AlternateContent>
  <xr:revisionPtr revIDLastSave="0" documentId="8_{938257D0-3564-4274-ABB6-20B256F43C9F}" xr6:coauthVersionLast="47" xr6:coauthVersionMax="47" xr10:uidLastSave="{00000000-0000-0000-0000-000000000000}"/>
  <bookViews>
    <workbookView xWindow="3510" yWindow="720" windowWidth="20520" windowHeight="15480" xr2:uid="{00000000-000D-0000-FFFF-FFFF00000000}"/>
  </bookViews>
  <sheets>
    <sheet name="Introduction" sheetId="16" r:id="rId1"/>
    <sheet name="Input sheet" sheetId="15" r:id="rId2"/>
    <sheet name="Farrow-finish" sheetId="13" r:id="rId3"/>
    <sheet name="Farrow-feeder" sheetId="12" r:id="rId4"/>
    <sheet name="Feeder-finish" sheetId="11" r:id="rId5"/>
    <sheet name="Price data and justification" sheetId="17" state="hidden" r:id="rId6"/>
  </sheets>
  <externalReferences>
    <externalReference r:id="rId7"/>
    <externalReference r:id="rId8"/>
    <externalReference r:id="rId9"/>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 localSheetId="0">#REF!</definedName>
    <definedName name="acres">[1]Input!$B$12</definedName>
    <definedName name="Boom_Sprayer" localSheetId="0">#REF!</definedName>
    <definedName name="Boom_Sprayer">[1]MDB!$A$100:$A$101</definedName>
    <definedName name="Boom_Sprayer_SP" localSheetId="0">#REF!</definedName>
    <definedName name="Boom_Sprayer_SP">[1]MDB!$A$99</definedName>
    <definedName name="BudgetActivities">#REF!</definedName>
    <definedName name="byyield" localSheetId="0">#REF!</definedName>
    <definedName name="byyield">[1]MDB!$C$160</definedName>
    <definedName name="Chisel_Plow" localSheetId="0">#REF!</definedName>
    <definedName name="Chisel_Plow">[1]MDB!$A$39:$A$42</definedName>
    <definedName name="Chisel_Plow_FD" localSheetId="0">#REF!</definedName>
    <definedName name="Chisel_Plow_FD">[1]MDB!$A$43:$A$44</definedName>
    <definedName name="Comb_Disk_VRipper" localSheetId="0">#REF!</definedName>
    <definedName name="Comb_Disk_VRipper">[1]MDB!$A$66:$A$67</definedName>
    <definedName name="Comb_Fld_Cult_Incorp" localSheetId="0">#REF!</definedName>
    <definedName name="Comb_Fld_Cult_Incorp">[1]MDB!$A$63:$A$65</definedName>
    <definedName name="Combine_Size" localSheetId="0">#REF!</definedName>
    <definedName name="Combine_Size">[1]MDB!$B$24:$B$27</definedName>
    <definedName name="Cornhead_Size" localSheetId="0">#REF!</definedName>
    <definedName name="Cornhead_Size">[1]MDB!$A$133:$A$135</definedName>
    <definedName name="CornWt">'Input sheet'!$D$26</definedName>
    <definedName name="crop" localSheetId="0">#REF!</definedName>
    <definedName name="crop">[1]MDB!$C$164</definedName>
    <definedName name="cropnum" localSheetId="0">#REF!</definedName>
    <definedName name="cropnum">[1]MDB!$C$158</definedName>
    <definedName name="Crops" localSheetId="0">#REF!</definedName>
    <definedName name="Crops">[1]MDB!$I$157:$I$163</definedName>
    <definedName name="Cultivator" localSheetId="0">#REF!</definedName>
    <definedName name="Cultivator">[1]MDB!$A$91:$A$94</definedName>
    <definedName name="Cultivator_HR" localSheetId="0">#REF!</definedName>
    <definedName name="Cultivator_HR">[1]MDB!$A$95:$A$97</definedName>
    <definedName name="CustomActivities" localSheetId="0">#REF!</definedName>
    <definedName name="CustomActivities">'[2]Activity list'!$W$4:$AA$14</definedName>
    <definedName name="customhire2" localSheetId="0">#REF!,#REF!</definedName>
    <definedName name="customhire2">[1]Input!$F$114:$F$117,[1]Input!$F$123:$F$126</definedName>
    <definedName name="CustomImps" localSheetId="0">#REF!</definedName>
    <definedName name="CustomImps">[2]!Table4[Implement]</definedName>
    <definedName name="Disc_Mower" localSheetId="0">#REF!</definedName>
    <definedName name="Disc_Mower">[1]MDB!$A$104:$A$107</definedName>
    <definedName name="Disk" localSheetId="0">#REF!</definedName>
    <definedName name="Disk">[1]MDB!$A$68:$A$69</definedName>
    <definedName name="Disk_Mower" localSheetId="0">#REF!</definedName>
    <definedName name="Disk_Mower">[1]MDB!$A$108:$A$109</definedName>
    <definedName name="drying" localSheetId="0">#REF!,#REF!</definedName>
    <definedName name="drying">[1]Input!$B$106,[1]Input!$F$106</definedName>
    <definedName name="Field_Cultivator" localSheetId="0">#REF!</definedName>
    <definedName name="Field_Cultivator">[1]MDB!$A$49:$A$54</definedName>
    <definedName name="Grain_Auger" localSheetId="0">#REF!</definedName>
    <definedName name="Grain_Auger">[1]MDB!$A$34</definedName>
    <definedName name="Graincart" localSheetId="0">#REF!</definedName>
    <definedName name="Graincart">[1]MDB!$A$32:$A$33</definedName>
    <definedName name="Grainhead_Size" localSheetId="0">#REF!</definedName>
    <definedName name="Grainhead_Size">[1]MDB!$A$125:$A$127</definedName>
    <definedName name="Harrow" localSheetId="0">#REF!</definedName>
    <definedName name="Harrow">[1]MDB!$A$70:$A$71</definedName>
    <definedName name="hauling" localSheetId="0">#REF!,#REF!</definedName>
    <definedName name="hauling">[1]Input!$B$108:$B$109,[1]Input!$F$108:$F$109</definedName>
    <definedName name="herbicide2" localSheetId="0">#REF!,#REF!</definedName>
    <definedName name="herbicide2">[1]Input!$F$43:$F$50,[1]Input!$B$51:$F$51</definedName>
    <definedName name="Implementlist">#REF!</definedName>
    <definedName name="Implements">#REF!</definedName>
    <definedName name="Implements7">#REF!</definedName>
    <definedName name="ImplSel">#REF!</definedName>
    <definedName name="import" localSheetId="0">#REF!</definedName>
    <definedName name="import">[1]Store!$E$3:$F$297</definedName>
    <definedName name="income" localSheetId="0">#REF!</definedName>
    <definedName name="income">[1]Output!$F$12</definedName>
    <definedName name="insecticide2" localSheetId="0">#REF!,#REF!</definedName>
    <definedName name="insecticide2">[1]Input!$F$55:$F$58,[1]Input!$B$59:$F$59</definedName>
    <definedName name="Irrigation" localSheetId="0">#REF!</definedName>
    <definedName name="Irrigation">[1]MDB!$G$157:$G$158</definedName>
    <definedName name="irrigation2" localSheetId="0">#REF!</definedName>
    <definedName name="irrigation2">[1]MDB!$C$161</definedName>
    <definedName name="lease_arrangement" localSheetId="0">#REF!</definedName>
    <definedName name="lease_arrangement">[1]MDB!$G$160:$G$162</definedName>
    <definedName name="leasenum" localSheetId="0">#REF!</definedName>
    <definedName name="leasenum">[1]MDB!$C$162</definedName>
    <definedName name="mdbvalues" localSheetId="0">#REF!,#REF!,#REF!,#REF!</definedName>
    <definedName name="mdbvalues">[1]Output!$C$8:$H$12,[1]Output!$D$15:$H$49,[1]Output!$B$51:$G$62,[1]Output!$B$68:$G$104</definedName>
    <definedName name="Moldboard_Plow" localSheetId="0">#REF!</definedName>
    <definedName name="Moldboard_Plow">[1]MDB!$A$45:$A$48</definedName>
    <definedName name="NoTill_Drill" localSheetId="0">#REF!</definedName>
    <definedName name="NoTill_Drill">[1]MDB!$A$88:$A$90</definedName>
    <definedName name="NoTill_Planter" localSheetId="0">#REF!</definedName>
    <definedName name="NoTill_Planter">[1]MDB!$A$80:$A$83</definedName>
    <definedName name="Passes" localSheetId="0">#REF!,#REF!,#REF!,#REF!</definedName>
    <definedName name="Passes">[1]Input!$F$149:$F$158,[1]Input!$F$160:$F$164,[1]Input!$F$166:$F$173,[1]Input!$F$175:$F$195</definedName>
    <definedName name="Pcorn">'Input sheet'!$H$11</definedName>
    <definedName name="Pddg">'Input sheet'!$H$13</definedName>
    <definedName name="Phogs">'Input sheet'!$H$4</definedName>
    <definedName name="Planter" localSheetId="0">#REF!</definedName>
    <definedName name="Planter">[1]MDB!$A$72:$A$75</definedName>
    <definedName name="postharvest" localSheetId="0">#REF!,#REF!,#REF!</definedName>
    <definedName name="postharvest">[1]Input!$B$104:$B$109,[1]Input!$F$105:$F$106,[1]Input!$F$108:$F$109</definedName>
    <definedName name="poundton">'Input sheet'!$D$25</definedName>
    <definedName name="Power" localSheetId="0">#REF!</definedName>
    <definedName name="power">[1]Input!$D$149:$D$158,[1]Input!$D$160:$D$164,[1]Input!$D$166:$D$170,[1]Input!$D$172:$D$173,[1]Input!$D$175:$D$192,[1]Input!$D$196:$D$197</definedName>
    <definedName name="Power_Size" localSheetId="0">#REF!</definedName>
    <definedName name="Power_Size">[1]MDB!$H$4:$H$5</definedName>
    <definedName name="Powerlist">#REF!</definedName>
    <definedName name="PowerSel">#REF!</definedName>
    <definedName name="Presswheel_Drill" localSheetId="0">#REF!</definedName>
    <definedName name="Presswheel_Drill">[1]MDB!$A$84:$A$87</definedName>
    <definedName name="price_selections">[3]Prices!$A$1:$A$3</definedName>
    <definedName name="Primary_Units" localSheetId="0">#REF!</definedName>
    <definedName name="Primary_Units">[1]MDB!$L$157:$L$160</definedName>
    <definedName name="primyield" localSheetId="0">#REF!</definedName>
    <definedName name="primyield">[1]MDB!$C$159</definedName>
    <definedName name="_xlnm.Print_Area" localSheetId="3">'Farrow-feeder'!$B$1:$F$50,'Farrow-feeder'!$I$1:$Q$9</definedName>
    <definedName name="_xlnm.Print_Area" localSheetId="2">'Farrow-finish'!$B:$F,'Farrow-finish'!$I$1:$Q$9</definedName>
    <definedName name="_xlnm.Print_Area" localSheetId="4">'Feeder-finish'!$B:$H,'Feeder-finish'!$K$1:$S$9</definedName>
    <definedName name="_xlnm.Print_Area" localSheetId="1">'Input sheet'!$B:$K</definedName>
    <definedName name="ProfitF2F">'Farrow-feeder'!$F$36</definedName>
    <definedName name="ProfitFin">'Feeder-finish'!$H$32</definedName>
    <definedName name="ProfitFtF">'Farrow-finish'!$F$36</definedName>
    <definedName name="Psbm">'Input sheet'!$H$12</definedName>
    <definedName name="PUAlloc" localSheetId="0">#REF!</definedName>
    <definedName name="PUAlloc">[1]Input!$B$100</definedName>
    <definedName name="PUMiles" localSheetId="0">#REF!</definedName>
    <definedName name="PUMiles">[1]Input!$B$99</definedName>
    <definedName name="rental" localSheetId="0">#REF!,#REF!,#REF!,#REF!</definedName>
    <definedName name="rental">[1]Input!$H$149:$H$158,[1]Input!$H$160:$H$164,[1]Input!$H$166:$H$173,[1]Input!$H$175:$H$195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 localSheetId="0">#REF!</definedName>
    <definedName name="Roller_Bar_Rake">[1]MDB!$A$110:$A$112</definedName>
    <definedName name="Round_Baler_Tie" localSheetId="0">#REF!</definedName>
    <definedName name="Round_Baler_Tie">[1]MDB!$A$118:$A$121</definedName>
    <definedName name="seed2" localSheetId="0">#REF!,#REF!,#REF!</definedName>
    <definedName name="seed2">[1]Input!$B$22:$B$25,[1]Input!$B$27,[1]Input!$B$28:$F$28</definedName>
    <definedName name="SemiAlloc" localSheetId="0">#REF!</definedName>
    <definedName name="SemiAlloc">[1]Input!$B$109</definedName>
    <definedName name="SemiMiles" localSheetId="0">#REF!</definedName>
    <definedName name="SemiMiles">[1]Input!$F$109</definedName>
    <definedName name="Silage_Wrapper" localSheetId="0">#REF!</definedName>
    <definedName name="Silage_Wrapper">[1]MDB!$A$31</definedName>
    <definedName name="Soybeanhead_Size" localSheetId="0">#REF!</definedName>
    <definedName name="Soybeanhead_Size">[1]MDB!$A$128:$A$132</definedName>
    <definedName name="SplitRow_Planter" localSheetId="0">#REF!</definedName>
    <definedName name="SplitRow_Planter">[1]MDB!$A$76:$A$79</definedName>
    <definedName name="ss">#REF!</definedName>
    <definedName name="storage" localSheetId="0">#REF!,#REF!</definedName>
    <definedName name="storage">[1]Input!$B$105,[1]Input!$F$105</definedName>
    <definedName name="Swather_Mower_Conditioner" localSheetId="0">#REF!</definedName>
    <definedName name="Swather_Mower_Conditioner">[1]MDB!$A$113:$A$115</definedName>
    <definedName name="Tandem_Disk" localSheetId="0">#REF!</definedName>
    <definedName name="Tandem_Disk">[1]MDB!$A$55:$A$58</definedName>
    <definedName name="TenWheelAlloc" localSheetId="0">#REF!</definedName>
    <definedName name="TenWheelAlloc">[1]Input!$B$108</definedName>
    <definedName name="TenWheelMiles" localSheetId="0">#REF!</definedName>
    <definedName name="TenWheelMiles">[1]Input!$F$108</definedName>
    <definedName name="VRipper" localSheetId="0">#REF!</definedName>
    <definedName name="VRipper">[1]MDB!$A$59:$A$62</definedName>
    <definedName name="WeanPerYear">'Input sheet'!$D$5</definedName>
    <definedName name="Wheel_Rake" localSheetId="0">#REF!</definedName>
    <definedName name="Wheel_Rake">[1]MDB!$A$136:$A$140</definedName>
    <definedName name="wrn.all." hidden="1">{"detail",#N/A,FALSE,"Trac_Table";"tractable",#N/A,FALSE,"Trac_Table";"sensitivity",#N/A,FALSE,"Trac_Table"}</definedName>
    <definedName name="ww" localSheetId="0">#REF!</definedName>
    <definedName name="ww">[2]!Table4[Implement]</definedName>
    <definedName name="yield" localSheetId="0">#REF!</definedName>
    <definedName name="yield">[1]Input!$B$13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1" l="1"/>
  <c r="Q8" i="11"/>
  <c r="P8" i="11"/>
  <c r="O8" i="11"/>
  <c r="N8" i="11"/>
  <c r="R7" i="11"/>
  <c r="Q7" i="11"/>
  <c r="P7" i="11"/>
  <c r="O7" i="11"/>
  <c r="N7" i="11"/>
  <c r="R6" i="11"/>
  <c r="Q6" i="11"/>
  <c r="P6" i="11"/>
  <c r="O6" i="11"/>
  <c r="N6" i="11"/>
  <c r="R5" i="11"/>
  <c r="Q5" i="11"/>
  <c r="N4" i="11"/>
  <c r="P5" i="11"/>
  <c r="O5" i="11"/>
  <c r="N5" i="11"/>
  <c r="R4" i="11"/>
  <c r="Q4" i="11"/>
  <c r="P4" i="11"/>
  <c r="O4" i="11"/>
  <c r="P3" i="11"/>
  <c r="C12" i="11"/>
  <c r="D4" i="13" l="1"/>
  <c r="F7" i="12"/>
  <c r="G12" i="17"/>
  <c r="H12" i="17"/>
  <c r="F5" i="12"/>
  <c r="F6" i="12"/>
  <c r="F41" i="13" l="1"/>
  <c r="E4" i="13" s="1"/>
  <c r="N3" i="13"/>
  <c r="O3" i="13" s="1"/>
  <c r="P3" i="13" s="1"/>
  <c r="G13" i="11"/>
  <c r="E15" i="11"/>
  <c r="G12" i="11"/>
  <c r="E13" i="12"/>
  <c r="D16" i="12"/>
  <c r="E12" i="12"/>
  <c r="D16" i="13"/>
  <c r="E13" i="13"/>
  <c r="E12" i="13"/>
  <c r="F40" i="11"/>
  <c r="M6" i="11" s="1"/>
  <c r="F46" i="12"/>
  <c r="E11" i="12" s="1"/>
  <c r="F46" i="13"/>
  <c r="E11" i="13" s="1"/>
  <c r="G4" i="11"/>
  <c r="F38" i="11"/>
  <c r="H9" i="15"/>
  <c r="H7" i="15"/>
  <c r="H11" i="17"/>
  <c r="G11" i="17"/>
  <c r="B43" i="17"/>
  <c r="B45" i="17" s="1"/>
  <c r="C9" i="17"/>
  <c r="B9" i="17"/>
  <c r="C13" i="17"/>
  <c r="H13" i="17" s="1"/>
  <c r="B13" i="17"/>
  <c r="G13" i="17" s="1"/>
  <c r="C54" i="17"/>
  <c r="C56" i="17" s="1"/>
  <c r="C36" i="17"/>
  <c r="C28" i="17"/>
  <c r="C29" i="17"/>
  <c r="C27" i="17"/>
  <c r="H10" i="17"/>
  <c r="H8" i="17"/>
  <c r="H6" i="17"/>
  <c r="G10" i="17"/>
  <c r="G8" i="17"/>
  <c r="G6" i="17"/>
  <c r="C30" i="17" l="1"/>
  <c r="B47" i="17"/>
  <c r="B49" i="17" s="1"/>
  <c r="M5" i="11"/>
  <c r="M4" i="11" s="1"/>
  <c r="M7" i="11"/>
  <c r="M8" i="11" s="1"/>
  <c r="K6" i="13"/>
  <c r="K7" i="13" s="1"/>
  <c r="K8" i="13" s="1"/>
  <c r="K6" i="12"/>
  <c r="K7" i="12" s="1"/>
  <c r="K8" i="12" s="1"/>
  <c r="M3" i="13"/>
  <c r="L3" i="13" s="1"/>
  <c r="K5" i="13" l="1"/>
  <c r="K4" i="13" s="1"/>
  <c r="K5" i="12"/>
  <c r="K4" i="12" s="1"/>
  <c r="C41" i="12"/>
  <c r="C48" i="12"/>
  <c r="G9" i="11" l="1"/>
  <c r="E20" i="12" l="1"/>
  <c r="H5" i="11"/>
  <c r="E24" i="12" l="1"/>
  <c r="F30" i="12" l="1"/>
  <c r="F30" i="13"/>
  <c r="C49" i="12"/>
  <c r="C48" i="13"/>
  <c r="C47" i="13"/>
  <c r="C41" i="11" l="1"/>
  <c r="D17" i="13"/>
  <c r="C44" i="13" s="1"/>
  <c r="C47" i="12"/>
  <c r="C46" i="13" l="1"/>
  <c r="C38" i="11"/>
  <c r="F39" i="11"/>
  <c r="F37" i="11"/>
  <c r="C37" i="11"/>
  <c r="F41" i="12"/>
  <c r="N3" i="12" s="1"/>
  <c r="O3" i="11" l="1"/>
  <c r="N3" i="11" s="1"/>
  <c r="Q3" i="11"/>
  <c r="M3" i="12"/>
  <c r="L3" i="12" s="1"/>
  <c r="O3" i="12"/>
  <c r="P3" i="12" s="1"/>
  <c r="E4" i="12"/>
  <c r="C50" i="12"/>
  <c r="F45" i="12"/>
  <c r="F44" i="12"/>
  <c r="F43" i="12"/>
  <c r="C43" i="12"/>
  <c r="F42" i="12"/>
  <c r="C42" i="12"/>
  <c r="F45" i="13"/>
  <c r="F44" i="13"/>
  <c r="F43" i="13"/>
  <c r="F42" i="13"/>
  <c r="C49" i="13"/>
  <c r="C43" i="13"/>
  <c r="C42" i="13"/>
  <c r="C41" i="13"/>
  <c r="R3" i="11" l="1"/>
  <c r="D17" i="12"/>
  <c r="C44" i="12" s="1"/>
  <c r="C4" i="11"/>
  <c r="E24" i="13" l="1"/>
  <c r="G21" i="11" l="1"/>
  <c r="G11" i="11"/>
  <c r="D20" i="13"/>
  <c r="D19" i="13" l="1"/>
  <c r="E18" i="12" l="1"/>
  <c r="E19" i="13" l="1"/>
  <c r="E5" i="13"/>
  <c r="C26" i="11"/>
  <c r="C16" i="11"/>
  <c r="C39" i="11" s="1"/>
  <c r="D5" i="13"/>
  <c r="H4" i="11" l="1"/>
  <c r="E20" i="13"/>
  <c r="F20" i="13" s="1"/>
  <c r="G14" i="11" l="1"/>
  <c r="E14" i="12"/>
  <c r="E14" i="13"/>
  <c r="E21" i="12" l="1"/>
  <c r="E22" i="12"/>
  <c r="E23" i="12"/>
  <c r="G16" i="11" l="1"/>
  <c r="G15" i="11"/>
  <c r="E17" i="12"/>
  <c r="F17" i="12" s="1"/>
  <c r="E16" i="12"/>
  <c r="E15" i="12"/>
  <c r="C20" i="11"/>
  <c r="E20" i="11" s="1"/>
  <c r="C19" i="11"/>
  <c r="E19" i="11" s="1"/>
  <c r="C18" i="11"/>
  <c r="E18" i="11" s="1"/>
  <c r="C17" i="11"/>
  <c r="E17" i="11" s="1"/>
  <c r="C25" i="11"/>
  <c r="E5" i="12"/>
  <c r="D7" i="15"/>
  <c r="D4" i="12" s="1"/>
  <c r="C46" i="12" s="1"/>
  <c r="D29" i="12" l="1"/>
  <c r="D28" i="12"/>
  <c r="D23" i="12"/>
  <c r="D22" i="12"/>
  <c r="D21" i="12"/>
  <c r="D18" i="12"/>
  <c r="F4" i="12"/>
  <c r="E29" i="12"/>
  <c r="E29" i="13"/>
  <c r="C45" i="12"/>
  <c r="C45" i="13"/>
  <c r="E19" i="12"/>
  <c r="G20" i="11"/>
  <c r="G19" i="11"/>
  <c r="G18" i="11"/>
  <c r="G17" i="11"/>
  <c r="C9" i="11"/>
  <c r="E9" i="11" s="1"/>
  <c r="H9" i="11" s="1"/>
  <c r="D20" i="12"/>
  <c r="D18" i="13" l="1"/>
  <c r="F18" i="12"/>
  <c r="F6" i="13"/>
  <c r="F20" i="12"/>
  <c r="F28" i="12" l="1"/>
  <c r="F23" i="12"/>
  <c r="F22" i="12"/>
  <c r="F29" i="12"/>
  <c r="F21" i="12"/>
  <c r="F10" i="12"/>
  <c r="E21" i="13"/>
  <c r="E22" i="13"/>
  <c r="E23" i="13"/>
  <c r="E18" i="13"/>
  <c r="E17" i="13"/>
  <c r="E15" i="13"/>
  <c r="F10" i="13" s="1"/>
  <c r="E16" i="13"/>
  <c r="F31" i="12" l="1"/>
  <c r="F17" i="13"/>
  <c r="F19" i="13"/>
  <c r="F5" i="13" l="1"/>
  <c r="D19" i="12"/>
  <c r="D5" i="12" s="1"/>
  <c r="F19" i="12" l="1"/>
  <c r="F23" i="13"/>
  <c r="D29" i="13"/>
  <c r="F29" i="13" s="1"/>
  <c r="D28" i="13"/>
  <c r="F28" i="13" s="1"/>
  <c r="D21" i="13"/>
  <c r="F22" i="13"/>
  <c r="D23" i="13"/>
  <c r="D22" i="13"/>
  <c r="F21" i="13"/>
  <c r="F18" i="13"/>
  <c r="F4" i="13"/>
  <c r="F7" i="13" s="1"/>
  <c r="F24" i="13" l="1"/>
  <c r="F25" i="13" s="1"/>
  <c r="F31" i="13"/>
  <c r="F24" i="12" l="1"/>
  <c r="F25" i="12" s="1"/>
  <c r="E26" i="11"/>
  <c r="H26" i="11" s="1"/>
  <c r="E25" i="11"/>
  <c r="H25" i="11" s="1"/>
  <c r="H20" i="11"/>
  <c r="H19" i="11"/>
  <c r="H18" i="11"/>
  <c r="H17" i="11"/>
  <c r="E12" i="11"/>
  <c r="E13" i="11"/>
  <c r="E14" i="11"/>
  <c r="E11" i="11"/>
  <c r="H10" i="11" l="1"/>
  <c r="E16" i="11"/>
  <c r="H16" i="11" s="1"/>
  <c r="H6" i="11"/>
  <c r="H27" i="11"/>
  <c r="H21" i="11" l="1"/>
  <c r="H22" i="11" l="1"/>
  <c r="H31" i="11" l="1"/>
  <c r="G31" i="11" s="1"/>
  <c r="H29" i="11"/>
  <c r="H32" i="11" l="1"/>
  <c r="F35" i="12"/>
  <c r="F33" i="12"/>
  <c r="F33" i="13"/>
  <c r="F35" i="13"/>
  <c r="G32" i="11" l="1"/>
  <c r="F36" i="12"/>
  <c r="F36" i="13"/>
  <c r="M6" i="13" l="1"/>
  <c r="L8" i="13"/>
  <c r="N6" i="13"/>
  <c r="L7" i="13"/>
  <c r="O6" i="13"/>
  <c r="L6" i="13"/>
  <c r="P6" i="13"/>
  <c r="L5" i="13"/>
  <c r="M7" i="13"/>
  <c r="M4" i="13"/>
  <c r="N7" i="13"/>
  <c r="N4" i="13"/>
  <c r="O7" i="13"/>
  <c r="O4" i="13"/>
  <c r="P7" i="13"/>
  <c r="P4" i="13"/>
  <c r="M5" i="13"/>
  <c r="M8" i="13"/>
  <c r="L4" i="13"/>
  <c r="N5" i="13"/>
  <c r="N8" i="13"/>
  <c r="O5" i="13"/>
  <c r="O8" i="13"/>
  <c r="P5" i="13"/>
  <c r="P8" i="13"/>
  <c r="N5" i="12"/>
  <c r="N6" i="12"/>
  <c r="N8" i="12"/>
  <c r="N4" i="12"/>
  <c r="L4" i="12"/>
  <c r="L8" i="12"/>
  <c r="M8" i="12"/>
  <c r="M7" i="12"/>
  <c r="M4" i="12"/>
  <c r="N7" i="12"/>
  <c r="M5" i="12"/>
  <c r="M6" i="12"/>
  <c r="L7" i="12"/>
  <c r="L6" i="12"/>
  <c r="L5" i="12"/>
  <c r="O6" i="12"/>
  <c r="O7" i="12"/>
  <c r="O4" i="12"/>
  <c r="O5" i="12"/>
  <c r="O8" i="12"/>
  <c r="P8" i="12"/>
  <c r="P6" i="12"/>
  <c r="P4" i="12"/>
  <c r="P7" i="12"/>
  <c r="P5" i="12"/>
</calcChain>
</file>

<file path=xl/sharedStrings.xml><?xml version="1.0" encoding="utf-8"?>
<sst xmlns="http://schemas.openxmlformats.org/spreadsheetml/2006/main" count="768" uniqueCount="565">
  <si>
    <t>Missouri Confinement Swine Budgets</t>
  </si>
  <si>
    <t>Updated: 10/2025</t>
  </si>
  <si>
    <t>Developed by:</t>
  </si>
  <si>
    <t>Ryan Milhollin, Magdiel Lopez Soriano and Timothy Safranski</t>
  </si>
  <si>
    <t>University of Missouri Extension</t>
  </si>
  <si>
    <t>Develop customized confinement swine budgets by changing production and cost assumptions to fit your farming situation. Reported on a per sow or lot basis. Gray cells can be adjusted for each spreadsheet. In addition,  "Input sheet" has gray cells that can be adjusted that factor into individual swine enterprise spreadsheets. For more on swine budgets, see MU Extension publications:</t>
  </si>
  <si>
    <t>Farrow to Finish Swine Planning Budget</t>
  </si>
  <si>
    <t>Feeder Pigs Planning Budget</t>
  </si>
  <si>
    <t>Hog Finishing Planning Budget</t>
  </si>
  <si>
    <t>This workbook is for educational purposes only and the user assumes all risks associated with its use.</t>
  </si>
  <si>
    <t>Input Assumptions</t>
  </si>
  <si>
    <t>Technical parameters</t>
  </si>
  <si>
    <t>Unit</t>
  </si>
  <si>
    <t>Value</t>
  </si>
  <si>
    <t>Prices</t>
  </si>
  <si>
    <t>All budgets</t>
  </si>
  <si>
    <t>Farrow-feeder</t>
  </si>
  <si>
    <t>Farrow to finish</t>
  </si>
  <si>
    <t>Feeder to finish</t>
  </si>
  <si>
    <t>Litters/sow/year</t>
  </si>
  <si>
    <t>litters</t>
  </si>
  <si>
    <t>Market hog price</t>
  </si>
  <si>
    <t>cwt. (live weight)</t>
  </si>
  <si>
    <t>Pigs weaned/litter</t>
  </si>
  <si>
    <t>pigs</t>
  </si>
  <si>
    <t>Feeder pig price</t>
  </si>
  <si>
    <t xml:space="preserve"> head</t>
  </si>
  <si>
    <t>Average litters/sow (lifetime)</t>
  </si>
  <si>
    <t>litters per sow</t>
  </si>
  <si>
    <t>Gilt premium over market hogs</t>
  </si>
  <si>
    <t xml:space="preserve"> gilt</t>
  </si>
  <si>
    <t>Weaned pigs/sow/year</t>
  </si>
  <si>
    <t>weaned pigs</t>
  </si>
  <si>
    <t>Gilts for sow replacement</t>
  </si>
  <si>
    <t>Death loss</t>
  </si>
  <si>
    <t>Culled Sow price relative to market hog price</t>
  </si>
  <si>
    <t xml:space="preserve">    Sows</t>
  </si>
  <si>
    <t>annual percent</t>
  </si>
  <si>
    <t>Market price for culled sow</t>
  </si>
  <si>
    <t xml:space="preserve">    Weaned-finish</t>
  </si>
  <si>
    <t xml:space="preserve">    Weaned-feeder</t>
  </si>
  <si>
    <t xml:space="preserve">Corn </t>
  </si>
  <si>
    <t xml:space="preserve"> bushel</t>
  </si>
  <si>
    <t xml:space="preserve">    Feeder to finish</t>
  </si>
  <si>
    <t xml:space="preserve">Soybean meal </t>
  </si>
  <si>
    <t xml:space="preserve"> ton</t>
  </si>
  <si>
    <t xml:space="preserve">Weight </t>
  </si>
  <si>
    <t>Dried distiller's grain with solubles (DDG)</t>
  </si>
  <si>
    <t xml:space="preserve">    Feeder</t>
  </si>
  <si>
    <t>pounds (live wt.)</t>
  </si>
  <si>
    <t xml:space="preserve">Vitamin and mineral premix </t>
  </si>
  <si>
    <t xml:space="preserve">    Market hog</t>
  </si>
  <si>
    <t xml:space="preserve">    Sow and pig</t>
  </si>
  <si>
    <t xml:space="preserve"> pound</t>
  </si>
  <si>
    <t xml:space="preserve">    Replacement gilt</t>
  </si>
  <si>
    <t xml:space="preserve">    Hog</t>
  </si>
  <si>
    <t xml:space="preserve">    Culled sows</t>
  </si>
  <si>
    <t xml:space="preserve">Nursery pellet </t>
  </si>
  <si>
    <t>Labor</t>
  </si>
  <si>
    <t xml:space="preserve">Feed processing </t>
  </si>
  <si>
    <t xml:space="preserve">    Farrow-finish</t>
  </si>
  <si>
    <t>hours/sow/litter</t>
  </si>
  <si>
    <t xml:space="preserve"> hour</t>
  </si>
  <si>
    <t xml:space="preserve">    Farrow-feeder</t>
  </si>
  <si>
    <t>Semen cost and genetics</t>
  </si>
  <si>
    <t xml:space="preserve"> litter</t>
  </si>
  <si>
    <t xml:space="preserve"> Feeder-finish</t>
  </si>
  <si>
    <t>hours/finishing hog</t>
  </si>
  <si>
    <t>Operating interest</t>
  </si>
  <si>
    <t>percent</t>
  </si>
  <si>
    <t>Long term interest</t>
  </si>
  <si>
    <t xml:space="preserve">Vet, medicine </t>
  </si>
  <si>
    <t xml:space="preserve"> cwt gain</t>
  </si>
  <si>
    <t>Identities</t>
  </si>
  <si>
    <t xml:space="preserve">Utilities and fuel </t>
  </si>
  <si>
    <t>Weight conversion</t>
  </si>
  <si>
    <t>pounds/ton</t>
  </si>
  <si>
    <t xml:space="preserve">Facility repair and maintenance </t>
  </si>
  <si>
    <t>pounds/bushel</t>
  </si>
  <si>
    <t xml:space="preserve">Marketing and miscellaneous </t>
  </si>
  <si>
    <t>Sensitivity table increments</t>
  </si>
  <si>
    <t>Corn price</t>
  </si>
  <si>
    <t>Manure production was calculated using numbers from Clemson University. Manure value was estimated as the fertilizer valueof its contribution of nitrogen, phosphorus, and potassium for a 2-year crop rotation (corn-soybean), assuming that it is managed in pits and used locally (no transportation costs). A custom manure application charge is deducted from the value to obtain its net value on each budget.</t>
  </si>
  <si>
    <t>Values used to determine fertilizer value (not changeable in this spreadsheet)</t>
  </si>
  <si>
    <t>Fertilizer value for manure nutrients</t>
  </si>
  <si>
    <t>Nitrogen</t>
  </si>
  <si>
    <t xml:space="preserve"> lb N</t>
  </si>
  <si>
    <r>
      <t>P</t>
    </r>
    <r>
      <rPr>
        <vertAlign val="subscript"/>
        <sz val="12"/>
        <color theme="1"/>
        <rFont val="Aptos"/>
        <family val="2"/>
        <scheme val="minor"/>
      </rPr>
      <t>2</t>
    </r>
    <r>
      <rPr>
        <sz val="12"/>
        <color theme="1"/>
        <rFont val="Aptos"/>
        <family val="2"/>
        <scheme val="minor"/>
      </rPr>
      <t>O</t>
    </r>
    <r>
      <rPr>
        <vertAlign val="subscript"/>
        <sz val="12"/>
        <color theme="1"/>
        <rFont val="Aptos"/>
        <family val="2"/>
        <scheme val="minor"/>
      </rPr>
      <t>5</t>
    </r>
  </si>
  <si>
    <t xml:space="preserve"> lb. P2O5</t>
  </si>
  <si>
    <r>
      <t>K</t>
    </r>
    <r>
      <rPr>
        <vertAlign val="subscript"/>
        <sz val="12"/>
        <rFont val="Arial"/>
        <family val="2"/>
      </rPr>
      <t>2</t>
    </r>
    <r>
      <rPr>
        <sz val="12"/>
        <rFont val="Arial"/>
        <family val="2"/>
      </rPr>
      <t>O</t>
    </r>
  </si>
  <si>
    <t xml:space="preserve"> lb K2O</t>
  </si>
  <si>
    <t>Custom manure application</t>
  </si>
  <si>
    <t>$/1000 gallons</t>
  </si>
  <si>
    <t xml:space="preserve">Farrow to Finish Swine Planning Budget </t>
  </si>
  <si>
    <t>Income over total cost sensitivity analysis ($ per sow)</t>
  </si>
  <si>
    <t>Income</t>
  </si>
  <si>
    <t>Quantity</t>
  </si>
  <si>
    <t>Price/unit</t>
  </si>
  <si>
    <t>Total/sow</t>
  </si>
  <si>
    <t>Market hogs sold</t>
  </si>
  <si>
    <t>cwt</t>
  </si>
  <si>
    <t>Culled sows sold</t>
  </si>
  <si>
    <t>Other income (manure)</t>
  </si>
  <si>
    <t>1,000 gallons</t>
  </si>
  <si>
    <t>Total income</t>
  </si>
  <si>
    <t>Operating costs</t>
  </si>
  <si>
    <t>Feed</t>
  </si>
  <si>
    <t>Corn</t>
  </si>
  <si>
    <t>pounds per sow</t>
  </si>
  <si>
    <t>Soybean meal</t>
  </si>
  <si>
    <t>DDG with solubles</t>
  </si>
  <si>
    <t>Vitamin and mineral premix</t>
  </si>
  <si>
    <t>Nursery pellet</t>
  </si>
  <si>
    <t>Feed processing</t>
  </si>
  <si>
    <t>tons per sow</t>
  </si>
  <si>
    <t>hours per sow</t>
  </si>
  <si>
    <t>Veterinary and medicine</t>
  </si>
  <si>
    <t>hogs sold</t>
  </si>
  <si>
    <t>Replacement gilts</t>
  </si>
  <si>
    <t>sow</t>
  </si>
  <si>
    <t>Semen and genetics</t>
  </si>
  <si>
    <t>litter/sow/year</t>
  </si>
  <si>
    <t>Utilities and fuel</t>
  </si>
  <si>
    <t>Facility repair and maintenance</t>
  </si>
  <si>
    <t>Marketing and miscellaneous</t>
  </si>
  <si>
    <t>months</t>
  </si>
  <si>
    <t>Total operating costs</t>
  </si>
  <si>
    <t>Ownership costs</t>
  </si>
  <si>
    <t>Taxes and insurance</t>
  </si>
  <si>
    <t>Machinery/equipment</t>
  </si>
  <si>
    <t>Interest on breeding stock (sows)</t>
  </si>
  <si>
    <t>Total ownership costs</t>
  </si>
  <si>
    <t>Total costs</t>
  </si>
  <si>
    <t>Income over operating costs</t>
  </si>
  <si>
    <t>Income over total costs</t>
  </si>
  <si>
    <t>Assumptions used in Missouri farrow to finish swine (confinement) planning budget</t>
  </si>
  <si>
    <t>Selected quantities</t>
  </si>
  <si>
    <t>Selected prices</t>
  </si>
  <si>
    <t>Market hog sale weight, pounds</t>
  </si>
  <si>
    <t>Market hog sale price, per cwt</t>
  </si>
  <si>
    <t>Cull sow sale weight, pounds</t>
  </si>
  <si>
    <t>Cull sow price, per cwt</t>
  </si>
  <si>
    <t>Replacement gilt weight, pounds</t>
  </si>
  <si>
    <t>Replacement gilts, per head</t>
  </si>
  <si>
    <t>Labor, hours/sow per year</t>
  </si>
  <si>
    <t>Labor rate, per hour</t>
  </si>
  <si>
    <t>Feed processing, per ton</t>
  </si>
  <si>
    <t>Manure production, 1,000 gallons</t>
  </si>
  <si>
    <t>Corn price, per bushel</t>
  </si>
  <si>
    <t>Weaned to finish death loss, percent</t>
  </si>
  <si>
    <t>Sow/gilt death loss, percent</t>
  </si>
  <si>
    <t>Operating interest, annual percentage</t>
  </si>
  <si>
    <t xml:space="preserve">Feeder Pigs Planning Budget </t>
  </si>
  <si>
    <t>Feeder pigs sold</t>
  </si>
  <si>
    <t>head</t>
  </si>
  <si>
    <t>hours/sow</t>
  </si>
  <si>
    <t>cwt/year/sow</t>
  </si>
  <si>
    <t>cwt./year/sow</t>
  </si>
  <si>
    <t>Assumptions used in Missouri farrow to feeder swine (confinement) planning budget</t>
  </si>
  <si>
    <t>Selected  quantities</t>
  </si>
  <si>
    <t>Feeder pig sale weight, pounds</t>
  </si>
  <si>
    <t>Feeder pig sale price, head</t>
  </si>
  <si>
    <t>Replacement gilt price, per head</t>
  </si>
  <si>
    <t>Labor, hours/sow</t>
  </si>
  <si>
    <t>Weaned pigs/sow/year (number)</t>
  </si>
  <si>
    <t>Weaned pigs/sow/year (cwt.)</t>
  </si>
  <si>
    <t>Weaned to feeder death loss, percent</t>
  </si>
  <si>
    <t>Income over total cost sensitivity analysis ($ per 100 hog lot)</t>
  </si>
  <si>
    <t>Quantity/hog</t>
  </si>
  <si>
    <t>Total/lot</t>
  </si>
  <si>
    <t>Market hogs</t>
  </si>
  <si>
    <t>cwt/hog</t>
  </si>
  <si>
    <t>hogs/lot</t>
  </si>
  <si>
    <t xml:space="preserve">Total income </t>
  </si>
  <si>
    <t xml:space="preserve">Purchased feeder pigs </t>
  </si>
  <si>
    <t>% death loss</t>
  </si>
  <si>
    <t>pounds/hog</t>
  </si>
  <si>
    <t>total pounds</t>
  </si>
  <si>
    <t>DDG with soluables</t>
  </si>
  <si>
    <t>tons</t>
  </si>
  <si>
    <t>hours/hog</t>
  </si>
  <si>
    <t>total hours</t>
  </si>
  <si>
    <t>cwt gain</t>
  </si>
  <si>
    <t>total cwt gain</t>
  </si>
  <si>
    <t>Facility/equipment repair &amp; maintenance</t>
  </si>
  <si>
    <t>Marketing &amp; miscellaneous</t>
  </si>
  <si>
    <t xml:space="preserve">               </t>
  </si>
  <si>
    <t>Assumptions used in Missouri feeder to finish swine (confinement) planning budget</t>
  </si>
  <si>
    <t>Feeder pig purchase weight, pounds</t>
  </si>
  <si>
    <t>Feeder pig price, per head</t>
  </si>
  <si>
    <t>Market hog price, per cwt</t>
  </si>
  <si>
    <t>Labor, hours/pig</t>
  </si>
  <si>
    <t>Manure production per hog, 1,000 gallons</t>
  </si>
  <si>
    <t>Start</t>
  </si>
  <si>
    <t>cropnum-22706</t>
  </si>
  <si>
    <t>primyieldtype-22706</t>
  </si>
  <si>
    <t>byyieldtype-22706</t>
  </si>
  <si>
    <t>irrigation2-22706</t>
  </si>
  <si>
    <t>leasenum-22706</t>
  </si>
  <si>
    <t>40hp-22706</t>
  </si>
  <si>
    <t>60hp-22706</t>
  </si>
  <si>
    <t>75hp-22706</t>
  </si>
  <si>
    <t>105twd-22706</t>
  </si>
  <si>
    <t>140twd-22706</t>
  </si>
  <si>
    <t>105mfwd-22706</t>
  </si>
  <si>
    <t>130mfwd-22706</t>
  </si>
  <si>
    <t>160mfwd-22706</t>
  </si>
  <si>
    <t>200mfwd-22706</t>
  </si>
  <si>
    <t>225mfwd-22706</t>
  </si>
  <si>
    <t>2604wd-22706</t>
  </si>
  <si>
    <t>3104wd-22706</t>
  </si>
  <si>
    <t>360 4wd-22706</t>
  </si>
  <si>
    <t>4254wd-22706</t>
  </si>
  <si>
    <t>225tt-22706</t>
  </si>
  <si>
    <t>425tt-22706</t>
  </si>
  <si>
    <t>description-1-22706</t>
  </si>
  <si>
    <t>Corn(2015 Dryland)</t>
  </si>
  <si>
    <t>acres-1-22706</t>
  </si>
  <si>
    <t>receipts-1-22706</t>
  </si>
  <si>
    <t>receipts-2-22706</t>
  </si>
  <si>
    <t>receipts-3-22706</t>
  </si>
  <si>
    <t>receipts-4-22706</t>
  </si>
  <si>
    <t>receipts-5-22706</t>
  </si>
  <si>
    <t>receipts-6-22706</t>
  </si>
  <si>
    <t>seed1-1-22706</t>
  </si>
  <si>
    <t>seed1-2-22706</t>
  </si>
  <si>
    <t>seed1-3-22706</t>
  </si>
  <si>
    <t>seed1-4-22706</t>
  </si>
  <si>
    <t>seed1-5-22706</t>
  </si>
  <si>
    <t>seed1-6-22706</t>
  </si>
  <si>
    <t>seed2-1-22706</t>
  </si>
  <si>
    <t>seed2-2-22706</t>
  </si>
  <si>
    <t>seed2-3-22706</t>
  </si>
  <si>
    <t>seed2-4-22706</t>
  </si>
  <si>
    <t>seed2-5-22706</t>
  </si>
  <si>
    <t>seed2-6-22706</t>
  </si>
  <si>
    <t>fertilizer1-1-22706</t>
  </si>
  <si>
    <t>fertilizer1-2-22706</t>
  </si>
  <si>
    <t>fertilizer1-3-22706</t>
  </si>
  <si>
    <t>fertilizer1-4-22706</t>
  </si>
  <si>
    <t>fertilizer1-5-22706</t>
  </si>
  <si>
    <t>fertilizer1-6-22706</t>
  </si>
  <si>
    <t>fertilizer1-7-22706</t>
  </si>
  <si>
    <t>fertilizer1-8-22706</t>
  </si>
  <si>
    <t>fertilizer2-1-22706</t>
  </si>
  <si>
    <t>fertilizer2-2-22706</t>
  </si>
  <si>
    <t>fertilizer2-3-22706</t>
  </si>
  <si>
    <t>fertilizer2-4-22706</t>
  </si>
  <si>
    <t>fertilizer2-5-22706</t>
  </si>
  <si>
    <t>fertilizer2-6-22706</t>
  </si>
  <si>
    <t>fertilizer2-7-22706</t>
  </si>
  <si>
    <t>fertilizer2-8-22706</t>
  </si>
  <si>
    <t>herbicide1-1-22706</t>
  </si>
  <si>
    <t>herbicide1-2-22706</t>
  </si>
  <si>
    <t>herbicide1-3-22706</t>
  </si>
  <si>
    <t>herbicide1-4-22706</t>
  </si>
  <si>
    <t>herbicide1-5-22706</t>
  </si>
  <si>
    <t>herbicide1-6-22706</t>
  </si>
  <si>
    <t>herbicide1-7-22706</t>
  </si>
  <si>
    <t>herbicide1-8-22706</t>
  </si>
  <si>
    <t>herbicide2-1-22706</t>
  </si>
  <si>
    <t>herbicide2-2-22706</t>
  </si>
  <si>
    <t>herbicide2-3-22706</t>
  </si>
  <si>
    <t>herbicide2-4-22706</t>
  </si>
  <si>
    <t>herbicide2-5-22706</t>
  </si>
  <si>
    <t>herbicide2-6-22706</t>
  </si>
  <si>
    <t>herbicide2-7-22706</t>
  </si>
  <si>
    <t>herbicide2-8-22706</t>
  </si>
  <si>
    <t>herbicide2-9-22706</t>
  </si>
  <si>
    <t>insecticide1-1-22706</t>
  </si>
  <si>
    <t>insecticide1-2-22706</t>
  </si>
  <si>
    <t>insecticide1-3-22706</t>
  </si>
  <si>
    <t>insecticide1-4-22706</t>
  </si>
  <si>
    <t>insecticide2-1-22706</t>
  </si>
  <si>
    <t>insecticide2-2-22706</t>
  </si>
  <si>
    <t>insecticide2-3-22706</t>
  </si>
  <si>
    <t>insecticide2-4-22706</t>
  </si>
  <si>
    <t>insecticide2-5-22706</t>
  </si>
  <si>
    <t>None</t>
  </si>
  <si>
    <t>labor-1-22706</t>
  </si>
  <si>
    <t>labor-2-22706</t>
  </si>
  <si>
    <t>labor-3-22706</t>
  </si>
  <si>
    <t>irrigation1-1-22706</t>
  </si>
  <si>
    <t>irrigation1-2-22706</t>
  </si>
  <si>
    <t>irrigation1-3-22706</t>
  </si>
  <si>
    <t>land-1-22706</t>
  </si>
  <si>
    <t>land-2-22706</t>
  </si>
  <si>
    <t>land-3-22706</t>
  </si>
  <si>
    <t>land-3-9106</t>
  </si>
  <si>
    <t>land-4-22706</t>
  </si>
  <si>
    <t>otheritems1-1-22706</t>
  </si>
  <si>
    <t>otheritems1-2-22706</t>
  </si>
  <si>
    <t>otheritems1-3-22706</t>
  </si>
  <si>
    <t>otheritems1-4-22706</t>
  </si>
  <si>
    <t>otheritems1-5-22706</t>
  </si>
  <si>
    <t>otheritems1-6-22706</t>
  </si>
  <si>
    <t>otheritems1-7-22706</t>
  </si>
  <si>
    <t>postharvest-1-22706</t>
  </si>
  <si>
    <t>postharvest-2-22706</t>
  </si>
  <si>
    <t>postharvest-3-22706</t>
  </si>
  <si>
    <t>postharvest-4-22706</t>
  </si>
  <si>
    <t>postharvest-5-22706</t>
  </si>
  <si>
    <t>postharvest-6-22706</t>
  </si>
  <si>
    <t>postharvest-7-22706</t>
  </si>
  <si>
    <t>postharvest-8-22706</t>
  </si>
  <si>
    <t>postharvest-9-22706</t>
  </si>
  <si>
    <t>postharvest-10-22706</t>
  </si>
  <si>
    <t>overhead-1-22706</t>
  </si>
  <si>
    <t>overhead-2-22706</t>
  </si>
  <si>
    <t>overhead-3-22706</t>
  </si>
  <si>
    <t>overhead-4-22706</t>
  </si>
  <si>
    <t>overhead-5-22706</t>
  </si>
  <si>
    <t>overhead-6-22706</t>
  </si>
  <si>
    <t>landlord_share-1-22706</t>
  </si>
  <si>
    <t>landlord_share-2-22706</t>
  </si>
  <si>
    <t>landlord_share-3-22706</t>
  </si>
  <si>
    <t>landlord_share-4-22706</t>
  </si>
  <si>
    <t>landlord_share-5-22706</t>
  </si>
  <si>
    <t>landlord_share-6-22706</t>
  </si>
  <si>
    <t>landlord_share-7-22706</t>
  </si>
  <si>
    <t>landlord_share-8-22706</t>
  </si>
  <si>
    <t>landlord_share-9-22706</t>
  </si>
  <si>
    <t>landlord_share-10-22706</t>
  </si>
  <si>
    <t>landlord_share-11-22706</t>
  </si>
  <si>
    <t>customhire1-1-22706</t>
  </si>
  <si>
    <t>customhire1-2-22706</t>
  </si>
  <si>
    <t>customhire1-3-22706</t>
  </si>
  <si>
    <t>customhire1-4-22706</t>
  </si>
  <si>
    <t>customhire1-5-22706</t>
  </si>
  <si>
    <t>customhire1-6-22706</t>
  </si>
  <si>
    <t>customhire1-7-22706</t>
  </si>
  <si>
    <t>customhire1-8-22706</t>
  </si>
  <si>
    <t>customhire1-9-22706</t>
  </si>
  <si>
    <t>customhire1-10-22706</t>
  </si>
  <si>
    <t>customhire1-11-22706</t>
  </si>
  <si>
    <t>customhire1-12-22706</t>
  </si>
  <si>
    <t>customhire1-13-22706</t>
  </si>
  <si>
    <t>customhire2-1-22706</t>
  </si>
  <si>
    <t>customhire2-2-22706</t>
  </si>
  <si>
    <t>customhire2-3-22706</t>
  </si>
  <si>
    <t>customhire2-4-22706</t>
  </si>
  <si>
    <t>customhire2-5-22706</t>
  </si>
  <si>
    <t>customhire2-6-22706</t>
  </si>
  <si>
    <t>customhire2-7-22706</t>
  </si>
  <si>
    <t>customhire2-8-22706</t>
  </si>
  <si>
    <t>size-1-3806</t>
  </si>
  <si>
    <t>15 ft</t>
  </si>
  <si>
    <t>size-2-3806</t>
  </si>
  <si>
    <t>16.3 ft</t>
  </si>
  <si>
    <t>size-3-3806</t>
  </si>
  <si>
    <t>6 ft</t>
  </si>
  <si>
    <t>size-4-3806</t>
  </si>
  <si>
    <t>35 ft</t>
  </si>
  <si>
    <t>size-5-3806</t>
  </si>
  <si>
    <t>11 ft</t>
  </si>
  <si>
    <t>size-6-3806</t>
  </si>
  <si>
    <t>30" O.C., 17 ft</t>
  </si>
  <si>
    <t>size-7-3806</t>
  </si>
  <si>
    <t>16 ft</t>
  </si>
  <si>
    <t>size-8-3806</t>
  </si>
  <si>
    <t>17.5 ft</t>
  </si>
  <si>
    <t>size-9-3806</t>
  </si>
  <si>
    <t>22 ft</t>
  </si>
  <si>
    <t>size-10-3806</t>
  </si>
  <si>
    <t>12 ft</t>
  </si>
  <si>
    <t>size-11-3806</t>
  </si>
  <si>
    <t>6 row</t>
  </si>
  <si>
    <t>size-12-3806</t>
  </si>
  <si>
    <t>(16/31 row 30/15")</t>
  </si>
  <si>
    <t>size-13-3806</t>
  </si>
  <si>
    <t>size-14-3806</t>
  </si>
  <si>
    <t>size-15-3806</t>
  </si>
  <si>
    <t>size-16-3806</t>
  </si>
  <si>
    <t>size-17-3806</t>
  </si>
  <si>
    <t>size-18-3806</t>
  </si>
  <si>
    <t>30 ft</t>
  </si>
  <si>
    <t>size-27-101707</t>
  </si>
  <si>
    <t>7 ft swath</t>
  </si>
  <si>
    <t>size-19-3806</t>
  </si>
  <si>
    <t>size-28-101707</t>
  </si>
  <si>
    <t>size-25-101707</t>
  </si>
  <si>
    <t>10 wheel, 20 ft</t>
  </si>
  <si>
    <t>size-26-101707</t>
  </si>
  <si>
    <t>9.5 ft</t>
  </si>
  <si>
    <t>size-20-101707</t>
  </si>
  <si>
    <t>1000 lb.</t>
  </si>
  <si>
    <t>size-21-3806</t>
  </si>
  <si>
    <t>size-22-3806</t>
  </si>
  <si>
    <t>size-23-3806</t>
  </si>
  <si>
    <t>8 row</t>
  </si>
  <si>
    <t>size-24-3806</t>
  </si>
  <si>
    <t>500 bushel</t>
  </si>
  <si>
    <t>power-1-22706</t>
  </si>
  <si>
    <t>power-2-22706</t>
  </si>
  <si>
    <t>power-3-22706</t>
  </si>
  <si>
    <t>power-4-22706</t>
  </si>
  <si>
    <t>310 4WD</t>
  </si>
  <si>
    <t>power-5-22706</t>
  </si>
  <si>
    <t>power-6-22706</t>
  </si>
  <si>
    <t>power-7-22706</t>
  </si>
  <si>
    <t>power-8-22706</t>
  </si>
  <si>
    <t>power-9-22706</t>
  </si>
  <si>
    <t>power-10-22706</t>
  </si>
  <si>
    <t>power-11-22706</t>
  </si>
  <si>
    <t>power-12-22706</t>
  </si>
  <si>
    <t>200 MFWD</t>
  </si>
  <si>
    <t>power-13-22706</t>
  </si>
  <si>
    <t>power-14-22706</t>
  </si>
  <si>
    <t>power-15-22706</t>
  </si>
  <si>
    <t>power-16-22706</t>
  </si>
  <si>
    <t>power-17-22706</t>
  </si>
  <si>
    <t>power-18-22706</t>
  </si>
  <si>
    <t>power-19-22706</t>
  </si>
  <si>
    <t>power-20-22706</t>
  </si>
  <si>
    <t>160 MFWD</t>
  </si>
  <si>
    <t>power-21-22706</t>
  </si>
  <si>
    <t>power-22-22706</t>
  </si>
  <si>
    <t>power-23-22706</t>
  </si>
  <si>
    <t>power-24-22706</t>
  </si>
  <si>
    <t>power-25-22706</t>
  </si>
  <si>
    <t>power-26-22706</t>
  </si>
  <si>
    <t>power-27-22706</t>
  </si>
  <si>
    <t>power-28-22706</t>
  </si>
  <si>
    <t>power-29-22706</t>
  </si>
  <si>
    <t>power-30-22706</t>
  </si>
  <si>
    <t>power-31-22706</t>
  </si>
  <si>
    <t>power-32-22706</t>
  </si>
  <si>
    <t>power-33-22706</t>
  </si>
  <si>
    <t>power-34-22706</t>
  </si>
  <si>
    <t>power-35-22706</t>
  </si>
  <si>
    <t>power-36-22706</t>
  </si>
  <si>
    <t>power-37-22706</t>
  </si>
  <si>
    <t>power-38-22706</t>
  </si>
  <si>
    <t>130 MFWD</t>
  </si>
  <si>
    <t>passes-1-22706</t>
  </si>
  <si>
    <t>passes-2-22706</t>
  </si>
  <si>
    <t>passes-3-22706</t>
  </si>
  <si>
    <t>passes-4-22706</t>
  </si>
  <si>
    <t>passes-5-22706</t>
  </si>
  <si>
    <t>passes-6-22706</t>
  </si>
  <si>
    <t>passes-7-22706</t>
  </si>
  <si>
    <t>passes-8-22706</t>
  </si>
  <si>
    <t>passes-9-22706</t>
  </si>
  <si>
    <t>passes-10-22706</t>
  </si>
  <si>
    <t>passes-11-22706</t>
  </si>
  <si>
    <t>passes-12-22706</t>
  </si>
  <si>
    <t>passes-13-22706</t>
  </si>
  <si>
    <t>passes-14-22706</t>
  </si>
  <si>
    <t>passes-15-22706</t>
  </si>
  <si>
    <t>passes-16-22706</t>
  </si>
  <si>
    <t>passes-17-22706</t>
  </si>
  <si>
    <t>passes-18-22706</t>
  </si>
  <si>
    <t>passes-19-22706</t>
  </si>
  <si>
    <t>passes-20-22706</t>
  </si>
  <si>
    <t>passes-21-22706</t>
  </si>
  <si>
    <t>passes-22-22706</t>
  </si>
  <si>
    <t>passes-23-22706</t>
  </si>
  <si>
    <t>passes-24-22706</t>
  </si>
  <si>
    <t>passes-25-22706</t>
  </si>
  <si>
    <t>passes-26-22706</t>
  </si>
  <si>
    <t>passes-27-22706</t>
  </si>
  <si>
    <t>passes-28-22706</t>
  </si>
  <si>
    <t>passes-29-22706</t>
  </si>
  <si>
    <t>passes-30-22706</t>
  </si>
  <si>
    <t>passes-31-22706</t>
  </si>
  <si>
    <t>passes-32-22706</t>
  </si>
  <si>
    <t>passes-33-22706</t>
  </si>
  <si>
    <t>passes-34-22706</t>
  </si>
  <si>
    <t>passes-35-22706</t>
  </si>
  <si>
    <t>passes-36-22706</t>
  </si>
  <si>
    <t>passes-37-22706</t>
  </si>
  <si>
    <t>passes-38-22706</t>
  </si>
  <si>
    <t>passes-39-22706</t>
  </si>
  <si>
    <t>passes-40-22706</t>
  </si>
  <si>
    <t>rent-1-82906</t>
  </si>
  <si>
    <t>rent-2-82906</t>
  </si>
  <si>
    <t>rent-3-82906</t>
  </si>
  <si>
    <t>rent-4-82906</t>
  </si>
  <si>
    <t>rent-5-82906</t>
  </si>
  <si>
    <t>rent-6-82906</t>
  </si>
  <si>
    <t>rent-7-82906</t>
  </si>
  <si>
    <t>rent-8-82906</t>
  </si>
  <si>
    <t>rent-9-82906</t>
  </si>
  <si>
    <t>rent-10-82906</t>
  </si>
  <si>
    <t>rent-11-82906</t>
  </si>
  <si>
    <t>rent-12-82906</t>
  </si>
  <si>
    <t>rent-13-82906</t>
  </si>
  <si>
    <t>rent-14-82906</t>
  </si>
  <si>
    <t>rent-15-82906</t>
  </si>
  <si>
    <t>rent-16-82906</t>
  </si>
  <si>
    <t>rent-17-82906</t>
  </si>
  <si>
    <t>rent-18-82906</t>
  </si>
  <si>
    <t>rent-19-82906</t>
  </si>
  <si>
    <t>rent-20-82906</t>
  </si>
  <si>
    <t>rent-21-82906</t>
  </si>
  <si>
    <t>rent-22-82906</t>
  </si>
  <si>
    <t>rent-23-82906</t>
  </si>
  <si>
    <t>rent-24-82906</t>
  </si>
  <si>
    <t>rent-25-82906</t>
  </si>
  <si>
    <t>rent-26-82906</t>
  </si>
  <si>
    <t>rent-27-82906</t>
  </si>
  <si>
    <t>rent-28-82906</t>
  </si>
  <si>
    <t>rent-29-82906</t>
  </si>
  <si>
    <t>rent-30-82906</t>
  </si>
  <si>
    <t>rent-31-82906</t>
  </si>
  <si>
    <t>rent-32-82906</t>
  </si>
  <si>
    <t>rent-33-82906</t>
  </si>
  <si>
    <t>rent-34-82906</t>
  </si>
  <si>
    <t>rent-35-82906</t>
  </si>
  <si>
    <t>rent-36-82906</t>
  </si>
  <si>
    <t>rent-37-82906</t>
  </si>
  <si>
    <t>rent-38-82906</t>
  </si>
  <si>
    <t>rent-39-82906</t>
  </si>
  <si>
    <t>rent-40-82906</t>
  </si>
  <si>
    <t>Hog Price Justifications</t>
  </si>
  <si>
    <t>KSU Hog Budget prices for 2026 published 7/2/25</t>
  </si>
  <si>
    <t>My calculations</t>
  </si>
  <si>
    <t>Current Prices</t>
  </si>
  <si>
    <t>One Year Out Prices</t>
  </si>
  <si>
    <t>(as of June 24th, 2025)</t>
  </si>
  <si>
    <t>Market weight</t>
  </si>
  <si>
    <t>$/head</t>
  </si>
  <si>
    <t>Market Hogs ($/cwt)</t>
  </si>
  <si>
    <t>Weaned Pig ($/hd)</t>
  </si>
  <si>
    <t>Feeder Pig ($/hd)</t>
  </si>
  <si>
    <t>Feeder pig ($/lb)</t>
  </si>
  <si>
    <t>Cull Sows ($/cwt)</t>
  </si>
  <si>
    <t>Replacement Gilts ($/hd)</t>
  </si>
  <si>
    <t>Gilt premium over market hog assuming 280 weight for both</t>
  </si>
  <si>
    <t>Replacement Gilts ($/cwt)</t>
  </si>
  <si>
    <t>Swine Feed processing ($/ton) charge</t>
  </si>
  <si>
    <t>Corn ($/bu)</t>
  </si>
  <si>
    <t>Soybean Meal ($/ton)</t>
  </si>
  <si>
    <t>DDGS ($/ton)</t>
  </si>
  <si>
    <t>ERS forecast in Amber Waves on 3/17/25</t>
  </si>
  <si>
    <t xml:space="preserve">Market hog prices </t>
  </si>
  <si>
    <t>FAPRI baseline published Sept 2025</t>
  </si>
  <si>
    <t>National daily direct, producer sold net price, live equivalent</t>
  </si>
  <si>
    <t>FarmDoc daily published 9-29-25</t>
  </si>
  <si>
    <t>Carcass value</t>
  </si>
  <si>
    <t>carcass yield</t>
  </si>
  <si>
    <t>Q1</t>
  </si>
  <si>
    <t>Q2</t>
  </si>
  <si>
    <t>Q3</t>
  </si>
  <si>
    <t>Avg</t>
  </si>
  <si>
    <t>USDA forecast on 9/19/25</t>
  </si>
  <si>
    <t>Price chosen for budget</t>
  </si>
  <si>
    <t>Feeder pig price/lb calculations</t>
  </si>
  <si>
    <t>MU 2025 budget</t>
  </si>
  <si>
    <t>$</t>
  </si>
  <si>
    <t>Wt</t>
  </si>
  <si>
    <t>Feeder pig ($/hd)</t>
  </si>
  <si>
    <t>Feeder pig ($/cwt)</t>
  </si>
  <si>
    <t>Market hogs ($/cwt)</t>
  </si>
  <si>
    <t>Multiplier</t>
  </si>
  <si>
    <t>KSU budget multiplier (see above)</t>
  </si>
  <si>
    <t>Average MU - KSU multiplier</t>
  </si>
  <si>
    <t>Final prices used in budget</t>
  </si>
  <si>
    <t>Ray Massey determination after thinking through the above data</t>
  </si>
  <si>
    <t>Multiplier over market hog price</t>
  </si>
  <si>
    <t>times</t>
  </si>
  <si>
    <t>Averaged MU and KSU multipliers</t>
  </si>
  <si>
    <t xml:space="preserve">Feeder pig price/lb </t>
  </si>
  <si>
    <t>Feeder pig weight</t>
  </si>
  <si>
    <t>Feeder pig $/head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</si>
</sst>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m/d/yyyy;@"/>
    <numFmt numFmtId="165" formatCode="&quot;$&quot;#,##0.00"/>
    <numFmt numFmtId="166" formatCode="0.0%"/>
    <numFmt numFmtId="167" formatCode="0.0"/>
    <numFmt numFmtId="168" formatCode="_(* #,##0_);_(* \(#,##0\);_(* &quot;-&quot;??_);_(@_)"/>
    <numFmt numFmtId="169" formatCode="0.000"/>
    <numFmt numFmtId="170" formatCode="&quot;$&quot;#,##0"/>
    <numFmt numFmtId="171" formatCode="&quot;$&quot;#,##0.000"/>
  </numFmts>
  <fonts count="38">
    <font>
      <sz val="11"/>
      <color theme="1"/>
      <name val="Aptos"/>
      <family val="2"/>
      <scheme val="minor"/>
    </font>
    <font>
      <sz val="10"/>
      <name val="TimesNewRomanPS"/>
    </font>
    <font>
      <sz val="11"/>
      <color theme="1"/>
      <name val="Aptos"/>
      <family val="2"/>
      <scheme val="minor"/>
    </font>
    <font>
      <b/>
      <sz val="11"/>
      <color rgb="FF3F3F3F"/>
      <name val="Aptos"/>
      <family val="2"/>
      <scheme val="minor"/>
    </font>
    <font>
      <b/>
      <sz val="11"/>
      <color theme="1"/>
      <name val="Aptos"/>
      <family val="2"/>
      <scheme val="minor"/>
    </font>
    <font>
      <b/>
      <sz val="14"/>
      <color rgb="FFF1B82D"/>
      <name val="Aptos Black"/>
      <family val="2"/>
      <scheme val="major"/>
    </font>
    <font>
      <sz val="10"/>
      <color theme="1"/>
      <name val="Aptos"/>
      <family val="2"/>
      <scheme val="minor"/>
    </font>
    <font>
      <sz val="12"/>
      <color theme="1"/>
      <name val="Aptos"/>
      <family val="2"/>
      <scheme val="minor"/>
    </font>
    <font>
      <sz val="12"/>
      <name val="Aptos"/>
      <family val="2"/>
      <scheme val="minor"/>
    </font>
    <font>
      <sz val="10"/>
      <name val="Verdana"/>
      <family val="2"/>
    </font>
    <font>
      <b/>
      <sz val="10"/>
      <name val="Verdana"/>
      <family val="2"/>
    </font>
    <font>
      <sz val="10"/>
      <color indexed="8"/>
      <name val="Verdana"/>
      <family val="2"/>
    </font>
    <font>
      <u/>
      <sz val="10"/>
      <color indexed="8"/>
      <name val="Verdana"/>
      <family val="2"/>
    </font>
    <font>
      <sz val="9"/>
      <name val="TimesNewRomanPS"/>
    </font>
    <font>
      <b/>
      <sz val="10"/>
      <color rgb="FFF1B82D"/>
      <name val="Aptos"/>
      <family val="2"/>
      <scheme val="minor"/>
    </font>
    <font>
      <b/>
      <sz val="10"/>
      <name val="Aptos"/>
      <family val="2"/>
      <scheme val="minor"/>
    </font>
    <font>
      <sz val="10"/>
      <name val="Aptos"/>
      <family val="2"/>
      <scheme val="minor"/>
    </font>
    <font>
      <sz val="10"/>
      <color indexed="8"/>
      <name val="Aptos"/>
      <family val="2"/>
      <scheme val="minor"/>
    </font>
    <font>
      <u/>
      <sz val="10"/>
      <color indexed="8"/>
      <name val="Aptos"/>
      <family val="2"/>
      <scheme val="minor"/>
    </font>
    <font>
      <i/>
      <u/>
      <sz val="10"/>
      <color indexed="8"/>
      <name val="Aptos"/>
      <family val="2"/>
      <scheme val="minor"/>
    </font>
    <font>
      <sz val="9"/>
      <name val="Aptos"/>
      <family val="2"/>
      <scheme val="minor"/>
    </font>
    <font>
      <sz val="11"/>
      <color theme="1"/>
      <name val="Segoe UI"/>
      <family val="2"/>
    </font>
    <font>
      <b/>
      <sz val="16"/>
      <color rgb="FFF1B82D"/>
      <name val="Aptos Black"/>
      <family val="2"/>
      <scheme val="major"/>
    </font>
    <font>
      <b/>
      <sz val="12"/>
      <color theme="1"/>
      <name val="Aptos"/>
      <family val="2"/>
      <scheme val="minor"/>
    </font>
    <font>
      <b/>
      <sz val="12"/>
      <color rgb="FF3F3F3F"/>
      <name val="Aptos"/>
      <family val="2"/>
      <scheme val="minor"/>
    </font>
    <font>
      <b/>
      <sz val="14"/>
      <color rgb="FFF1B82D"/>
      <name val="Segoe UI"/>
      <family val="2"/>
    </font>
    <font>
      <u/>
      <sz val="11"/>
      <color theme="10"/>
      <name val="Aptos"/>
      <family val="2"/>
      <scheme val="minor"/>
    </font>
    <font>
      <u/>
      <sz val="12"/>
      <color theme="10"/>
      <name val="Aptos"/>
      <family val="2"/>
      <scheme val="minor"/>
    </font>
    <font>
      <b/>
      <sz val="12"/>
      <name val="Aptos"/>
      <family val="2"/>
      <scheme val="minor"/>
    </font>
    <font>
      <b/>
      <sz val="11"/>
      <name val="Aptos"/>
      <family val="2"/>
      <scheme val="minor"/>
    </font>
    <font>
      <sz val="11"/>
      <name val="Aptos"/>
      <family val="2"/>
      <scheme val="minor"/>
    </font>
    <font>
      <sz val="9"/>
      <color theme="1"/>
      <name val="Aptos"/>
      <family val="2"/>
      <scheme val="minor"/>
    </font>
    <font>
      <vertAlign val="subscript"/>
      <sz val="12"/>
      <color theme="1"/>
      <name val="Aptos"/>
      <family val="2"/>
      <scheme val="minor"/>
    </font>
    <font>
      <vertAlign val="subscript"/>
      <sz val="12"/>
      <name val="Arial"/>
      <family val="2"/>
    </font>
    <font>
      <sz val="12"/>
      <name val="Arial"/>
      <family val="2"/>
    </font>
    <font>
      <b/>
      <sz val="9"/>
      <color theme="1"/>
      <name val="Aptos"/>
      <family val="2"/>
      <scheme val="minor"/>
    </font>
    <font>
      <i/>
      <sz val="12"/>
      <name val="Aptos"/>
      <family val="2"/>
      <scheme val="minor"/>
    </font>
    <font>
      <sz val="8"/>
      <name val="Aptos"/>
      <family val="2"/>
      <scheme val="minor"/>
    </font>
  </fonts>
  <fills count="6">
    <fill>
      <patternFill patternType="none"/>
    </fill>
    <fill>
      <patternFill patternType="gray125"/>
    </fill>
    <fill>
      <patternFill patternType="solid">
        <fgColor theme="2"/>
        <bgColor indexed="64"/>
      </patternFill>
    </fill>
    <fill>
      <patternFill patternType="solid">
        <fgColor rgb="FFF2F2F2"/>
      </patternFill>
    </fill>
    <fill>
      <patternFill patternType="solid">
        <fgColor theme="1"/>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thin">
        <color indexed="64"/>
      </right>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s>
  <cellStyleXfs count="7">
    <xf numFmtId="0" fontId="0" fillId="0" borderId="0"/>
    <xf numFmtId="0" fontId="1" fillId="0" borderId="0"/>
    <xf numFmtId="43" fontId="2" fillId="0" borderId="0" applyFont="0" applyFill="0" applyBorder="0" applyAlignment="0" applyProtection="0"/>
    <xf numFmtId="0" fontId="3" fillId="3" borderId="3" applyNumberFormat="0" applyAlignment="0" applyProtection="0"/>
    <xf numFmtId="0" fontId="2" fillId="0" borderId="0"/>
    <xf numFmtId="9" fontId="2" fillId="0" borderId="0" applyFont="0" applyFill="0" applyBorder="0" applyAlignment="0" applyProtection="0"/>
    <xf numFmtId="0" fontId="26" fillId="0" borderId="0" applyNumberFormat="0" applyFill="0" applyBorder="0" applyAlignment="0" applyProtection="0"/>
  </cellStyleXfs>
  <cellXfs count="232">
    <xf numFmtId="0" fontId="0" fillId="0" borderId="0" xfId="0"/>
    <xf numFmtId="0" fontId="7" fillId="0" borderId="0" xfId="0" applyFont="1"/>
    <xf numFmtId="0" fontId="8" fillId="0" borderId="0" xfId="1" applyFont="1" applyAlignment="1">
      <alignment horizontal="right"/>
    </xf>
    <xf numFmtId="0" fontId="9" fillId="0" borderId="0" xfId="1" applyFont="1"/>
    <xf numFmtId="2" fontId="9" fillId="0" borderId="0" xfId="1" applyNumberFormat="1" applyFont="1" applyAlignment="1">
      <alignment horizontal="left"/>
    </xf>
    <xf numFmtId="2" fontId="9" fillId="0" borderId="0" xfId="1" applyNumberFormat="1" applyFont="1" applyAlignment="1">
      <alignment horizontal="right"/>
    </xf>
    <xf numFmtId="8" fontId="9" fillId="0" borderId="0" xfId="1" applyNumberFormat="1" applyFont="1" applyAlignment="1">
      <alignment horizontal="right"/>
    </xf>
    <xf numFmtId="2" fontId="10" fillId="0" borderId="0" xfId="1" applyNumberFormat="1" applyFont="1" applyAlignment="1">
      <alignment horizontal="right"/>
    </xf>
    <xf numFmtId="165" fontId="10" fillId="0" borderId="0" xfId="1" applyNumberFormat="1" applyFont="1" applyAlignment="1">
      <alignment horizontal="right"/>
    </xf>
    <xf numFmtId="9" fontId="9" fillId="0" borderId="0" xfId="1" applyNumberFormat="1" applyFont="1"/>
    <xf numFmtId="8" fontId="9" fillId="0" borderId="0" xfId="1" applyNumberFormat="1" applyFont="1"/>
    <xf numFmtId="165" fontId="9" fillId="0" borderId="0" xfId="1" applyNumberFormat="1" applyFont="1"/>
    <xf numFmtId="164" fontId="9" fillId="0" borderId="0" xfId="1" applyNumberFormat="1" applyFont="1" applyAlignment="1">
      <alignment horizontal="right"/>
    </xf>
    <xf numFmtId="4" fontId="9" fillId="0" borderId="0" xfId="1" applyNumberFormat="1" applyFont="1"/>
    <xf numFmtId="0" fontId="1" fillId="0" borderId="0" xfId="1"/>
    <xf numFmtId="0" fontId="13" fillId="0" borderId="0" xfId="1" applyFont="1" applyAlignment="1">
      <alignment horizontal="center"/>
    </xf>
    <xf numFmtId="0" fontId="11" fillId="0" borderId="0" xfId="0" applyFont="1" applyAlignment="1">
      <alignment horizontal="right"/>
    </xf>
    <xf numFmtId="0" fontId="6" fillId="0" borderId="0" xfId="0" applyFont="1"/>
    <xf numFmtId="0" fontId="16" fillId="0" borderId="0" xfId="1" applyFont="1" applyAlignment="1">
      <alignment horizontal="left"/>
    </xf>
    <xf numFmtId="0" fontId="16" fillId="0" borderId="0" xfId="1" applyFont="1"/>
    <xf numFmtId="2" fontId="16" fillId="0" borderId="0" xfId="1" applyNumberFormat="1" applyFont="1" applyAlignment="1">
      <alignment horizontal="left"/>
    </xf>
    <xf numFmtId="2" fontId="16" fillId="0" borderId="0" xfId="1" applyNumberFormat="1" applyFont="1" applyAlignment="1">
      <alignment horizontal="right"/>
    </xf>
    <xf numFmtId="9" fontId="6" fillId="0" borderId="0" xfId="0" applyNumberFormat="1" applyFont="1"/>
    <xf numFmtId="2" fontId="15" fillId="0" borderId="0" xfId="1" applyNumberFormat="1" applyFont="1" applyAlignment="1">
      <alignment horizontal="left"/>
    </xf>
    <xf numFmtId="8" fontId="15" fillId="0" borderId="0" xfId="1" applyNumberFormat="1" applyFont="1" applyAlignment="1">
      <alignment horizontal="right"/>
    </xf>
    <xf numFmtId="0" fontId="16" fillId="0" borderId="0" xfId="1" applyFont="1" applyAlignment="1">
      <alignment vertical="center"/>
    </xf>
    <xf numFmtId="0" fontId="20" fillId="0" borderId="0" xfId="1" applyFont="1" applyAlignment="1">
      <alignment horizontal="center" vertical="center"/>
    </xf>
    <xf numFmtId="0" fontId="21" fillId="5" borderId="0" xfId="0" applyFont="1" applyFill="1"/>
    <xf numFmtId="0" fontId="21" fillId="0" borderId="0" xfId="0" applyFont="1"/>
    <xf numFmtId="0" fontId="0" fillId="5" borderId="0" xfId="0" applyFill="1"/>
    <xf numFmtId="0" fontId="23" fillId="5" borderId="0" xfId="0" applyFont="1" applyFill="1"/>
    <xf numFmtId="0" fontId="23" fillId="5" borderId="0" xfId="0" applyFont="1" applyFill="1" applyAlignment="1">
      <alignment horizontal="left" indent="4"/>
    </xf>
    <xf numFmtId="0" fontId="4" fillId="5" borderId="0" xfId="0" applyFont="1" applyFill="1" applyAlignment="1">
      <alignment horizontal="left" indent="4"/>
    </xf>
    <xf numFmtId="0" fontId="27" fillId="5" borderId="0" xfId="6" applyFont="1" applyFill="1" applyAlignment="1">
      <alignment horizontal="left" wrapText="1"/>
    </xf>
    <xf numFmtId="0" fontId="7" fillId="5" borderId="0" xfId="0" applyFont="1" applyFill="1"/>
    <xf numFmtId="0" fontId="28" fillId="0" borderId="2" xfId="1" applyFont="1" applyBorder="1" applyAlignment="1">
      <alignment horizontal="left"/>
    </xf>
    <xf numFmtId="2" fontId="8" fillId="0" borderId="0" xfId="1" applyNumberFormat="1" applyFont="1" applyAlignment="1">
      <alignment horizontal="left"/>
    </xf>
    <xf numFmtId="0" fontId="8" fillId="0" borderId="0" xfId="1" applyFont="1"/>
    <xf numFmtId="0" fontId="8" fillId="2" borderId="0" xfId="1" applyFont="1" applyFill="1" applyAlignment="1" applyProtection="1">
      <alignment horizontal="right"/>
      <protection locked="0"/>
    </xf>
    <xf numFmtId="167" fontId="8" fillId="2" borderId="0" xfId="1" applyNumberFormat="1" applyFont="1" applyFill="1" applyAlignment="1" applyProtection="1">
      <alignment horizontal="right"/>
      <protection locked="0"/>
    </xf>
    <xf numFmtId="167" fontId="8" fillId="0" borderId="0" xfId="1" applyNumberFormat="1" applyFont="1" applyAlignment="1" applyProtection="1">
      <alignment horizontal="right"/>
      <protection locked="0"/>
    </xf>
    <xf numFmtId="9" fontId="8" fillId="2" borderId="0" xfId="1" applyNumberFormat="1" applyFont="1" applyFill="1" applyAlignment="1" applyProtection="1">
      <alignment horizontal="right"/>
      <protection locked="0"/>
    </xf>
    <xf numFmtId="166" fontId="8" fillId="2" borderId="0" xfId="1" applyNumberFormat="1" applyFont="1" applyFill="1" applyAlignment="1" applyProtection="1">
      <alignment horizontal="right"/>
      <protection locked="0"/>
    </xf>
    <xf numFmtId="3" fontId="8" fillId="2" borderId="0" xfId="1" applyNumberFormat="1" applyFont="1" applyFill="1" applyAlignment="1" applyProtection="1">
      <alignment horizontal="right"/>
      <protection locked="0"/>
    </xf>
    <xf numFmtId="8" fontId="8" fillId="0" borderId="0" xfId="1" applyNumberFormat="1" applyFont="1" applyAlignment="1">
      <alignment horizontal="right"/>
    </xf>
    <xf numFmtId="2" fontId="8" fillId="0" borderId="0" xfId="1" applyNumberFormat="1" applyFont="1" applyAlignment="1">
      <alignment horizontal="right"/>
    </xf>
    <xf numFmtId="0" fontId="10" fillId="0" borderId="0" xfId="4" applyFont="1" applyAlignment="1">
      <alignment horizontal="center"/>
    </xf>
    <xf numFmtId="0" fontId="22" fillId="0" borderId="7" xfId="4" applyFont="1" applyBorder="1"/>
    <xf numFmtId="0" fontId="15" fillId="0" borderId="0" xfId="0" applyFont="1" applyAlignment="1">
      <alignment horizontal="right"/>
    </xf>
    <xf numFmtId="0" fontId="18" fillId="0" borderId="0" xfId="0" applyFont="1" applyAlignment="1">
      <alignment horizontal="right"/>
    </xf>
    <xf numFmtId="2" fontId="16" fillId="0" borderId="0" xfId="1" applyNumberFormat="1" applyFont="1" applyAlignment="1">
      <alignment horizontal="left" indent="1"/>
    </xf>
    <xf numFmtId="0" fontId="19" fillId="0" borderId="0" xfId="0" applyFont="1" applyAlignment="1">
      <alignment horizontal="right"/>
    </xf>
    <xf numFmtId="0" fontId="28" fillId="0" borderId="2" xfId="1" applyFont="1" applyBorder="1" applyAlignment="1">
      <alignment horizontal="right"/>
    </xf>
    <xf numFmtId="2" fontId="28" fillId="0" borderId="2" xfId="1" applyNumberFormat="1" applyFont="1" applyBorder="1" applyAlignment="1">
      <alignment horizontal="right"/>
    </xf>
    <xf numFmtId="2" fontId="28" fillId="0" borderId="0" xfId="1" applyNumberFormat="1" applyFont="1" applyAlignment="1">
      <alignment horizontal="right"/>
    </xf>
    <xf numFmtId="0" fontId="8" fillId="0" borderId="0" xfId="1" applyFont="1" applyAlignment="1">
      <alignment horizontal="left" indent="1"/>
    </xf>
    <xf numFmtId="165" fontId="8" fillId="0" borderId="0" xfId="1" applyNumberFormat="1" applyFont="1" applyAlignment="1" applyProtection="1">
      <alignment horizontal="right"/>
      <protection locked="0"/>
    </xf>
    <xf numFmtId="165" fontId="8" fillId="0" borderId="0" xfId="1" applyNumberFormat="1" applyFont="1" applyAlignment="1">
      <alignment horizontal="right"/>
    </xf>
    <xf numFmtId="2" fontId="8" fillId="0" borderId="0" xfId="1" applyNumberFormat="1" applyFont="1" applyAlignment="1">
      <alignment horizontal="left" indent="1"/>
    </xf>
    <xf numFmtId="165" fontId="8" fillId="2" borderId="0" xfId="1" applyNumberFormat="1" applyFont="1" applyFill="1" applyAlignment="1" applyProtection="1">
      <alignment horizontal="right"/>
      <protection locked="0"/>
    </xf>
    <xf numFmtId="2" fontId="8" fillId="0" borderId="0" xfId="1" applyNumberFormat="1" applyFont="1"/>
    <xf numFmtId="165" fontId="28" fillId="0" borderId="0" xfId="1" applyNumberFormat="1" applyFont="1" applyAlignment="1">
      <alignment horizontal="right"/>
    </xf>
    <xf numFmtId="2" fontId="28" fillId="0" borderId="2" xfId="1" applyNumberFormat="1" applyFont="1" applyBorder="1" applyAlignment="1">
      <alignment horizontal="left"/>
    </xf>
    <xf numFmtId="2" fontId="8" fillId="0" borderId="0" xfId="1" applyNumberFormat="1" applyFont="1" applyAlignment="1">
      <alignment horizontal="left" indent="2"/>
    </xf>
    <xf numFmtId="168" fontId="8" fillId="2" borderId="0" xfId="2" applyNumberFormat="1" applyFont="1" applyFill="1" applyBorder="1" applyAlignment="1" applyProtection="1">
      <alignment horizontal="left" indent="2"/>
      <protection locked="0"/>
    </xf>
    <xf numFmtId="165" fontId="8" fillId="0" borderId="0" xfId="2" applyNumberFormat="1" applyFont="1" applyFill="1" applyBorder="1" applyAlignment="1">
      <alignment horizontal="right" indent="2"/>
    </xf>
    <xf numFmtId="165" fontId="8" fillId="0" borderId="0" xfId="2" applyNumberFormat="1" applyFont="1" applyFill="1" applyBorder="1" applyAlignment="1" applyProtection="1">
      <alignment horizontal="right"/>
      <protection locked="0"/>
    </xf>
    <xf numFmtId="9" fontId="8" fillId="0" borderId="0" xfId="5" applyFont="1" applyFill="1" applyBorder="1" applyAlignment="1">
      <alignment horizontal="right"/>
    </xf>
    <xf numFmtId="10" fontId="8" fillId="0" borderId="0" xfId="1" applyNumberFormat="1" applyFont="1" applyAlignment="1">
      <alignment horizontal="right"/>
    </xf>
    <xf numFmtId="165" fontId="8" fillId="0" borderId="0" xfId="2" applyNumberFormat="1" applyFont="1" applyFill="1" applyBorder="1" applyAlignment="1">
      <alignment horizontal="right"/>
    </xf>
    <xf numFmtId="166" fontId="8" fillId="0" borderId="0" xfId="1" applyNumberFormat="1" applyFont="1" applyAlignment="1">
      <alignment horizontal="right"/>
    </xf>
    <xf numFmtId="0" fontId="10" fillId="0" borderId="0" xfId="0" applyFont="1" applyAlignment="1">
      <alignment horizontal="right"/>
    </xf>
    <xf numFmtId="0" fontId="12" fillId="0" borderId="0" xfId="0" applyFont="1" applyAlignment="1">
      <alignment horizontal="right"/>
    </xf>
    <xf numFmtId="165" fontId="8" fillId="0" borderId="1" xfId="2" applyNumberFormat="1" applyFont="1" applyFill="1" applyBorder="1" applyAlignment="1">
      <alignment horizontal="right"/>
    </xf>
    <xf numFmtId="2" fontId="8" fillId="0" borderId="1" xfId="1" applyNumberFormat="1" applyFont="1" applyBorder="1" applyAlignment="1">
      <alignment horizontal="left"/>
    </xf>
    <xf numFmtId="2" fontId="8" fillId="0" borderId="1" xfId="1" applyNumberFormat="1" applyFont="1" applyBorder="1" applyAlignment="1">
      <alignment horizontal="right"/>
    </xf>
    <xf numFmtId="2" fontId="8" fillId="0" borderId="1" xfId="1" applyNumberFormat="1" applyFont="1" applyBorder="1"/>
    <xf numFmtId="165" fontId="28" fillId="0" borderId="1" xfId="1" applyNumberFormat="1" applyFont="1" applyBorder="1" applyAlignment="1">
      <alignment horizontal="right"/>
    </xf>
    <xf numFmtId="2" fontId="28" fillId="5" borderId="1" xfId="4" applyNumberFormat="1" applyFont="1" applyFill="1" applyBorder="1" applyAlignment="1">
      <alignment horizontal="left"/>
    </xf>
    <xf numFmtId="0" fontId="9" fillId="0" borderId="0" xfId="1" applyFont="1" applyAlignment="1" applyProtection="1">
      <alignment horizontal="left"/>
      <protection locked="0"/>
    </xf>
    <xf numFmtId="1" fontId="16" fillId="0" borderId="0" xfId="1" applyNumberFormat="1" applyFont="1" applyAlignment="1">
      <alignment horizontal="left"/>
    </xf>
    <xf numFmtId="2" fontId="15" fillId="0" borderId="0" xfId="1" applyNumberFormat="1" applyFont="1" applyAlignment="1">
      <alignment horizontal="left" indent="2"/>
    </xf>
    <xf numFmtId="2" fontId="28" fillId="0" borderId="0" xfId="1" applyNumberFormat="1" applyFont="1" applyAlignment="1">
      <alignment horizontal="left" indent="2"/>
    </xf>
    <xf numFmtId="1" fontId="8" fillId="0" borderId="0" xfId="1" applyNumberFormat="1" applyFont="1" applyAlignment="1" applyProtection="1">
      <alignment horizontal="right"/>
      <protection locked="0"/>
    </xf>
    <xf numFmtId="0" fontId="10" fillId="0" borderId="0" xfId="1" applyFont="1" applyAlignment="1">
      <alignment horizontal="left"/>
    </xf>
    <xf numFmtId="0" fontId="9" fillId="0" borderId="0" xfId="1" applyFont="1" applyAlignment="1">
      <alignment horizontal="right"/>
    </xf>
    <xf numFmtId="0" fontId="8" fillId="0" borderId="0" xfId="1" applyFont="1" applyAlignment="1" applyProtection="1">
      <alignment horizontal="right"/>
      <protection locked="0"/>
    </xf>
    <xf numFmtId="1" fontId="8" fillId="0" borderId="0" xfId="1" applyNumberFormat="1" applyFont="1" applyProtection="1">
      <protection locked="0"/>
    </xf>
    <xf numFmtId="3" fontId="8" fillId="2" borderId="0" xfId="1" applyNumberFormat="1" applyFont="1" applyFill="1" applyProtection="1">
      <protection locked="0"/>
    </xf>
    <xf numFmtId="3" fontId="8" fillId="0" borderId="0" xfId="1" applyNumberFormat="1" applyFont="1"/>
    <xf numFmtId="3" fontId="16" fillId="0" borderId="0" xfId="1" applyNumberFormat="1" applyFont="1" applyAlignment="1" applyProtection="1">
      <alignment horizontal="left"/>
      <protection locked="0"/>
    </xf>
    <xf numFmtId="3" fontId="8" fillId="0" borderId="0" xfId="1" applyNumberFormat="1" applyFont="1" applyProtection="1">
      <protection locked="0"/>
    </xf>
    <xf numFmtId="1" fontId="8" fillId="0" borderId="0" xfId="1" applyNumberFormat="1" applyFont="1"/>
    <xf numFmtId="165" fontId="8" fillId="0" borderId="0" xfId="1" applyNumberFormat="1" applyFont="1"/>
    <xf numFmtId="8" fontId="8" fillId="2" borderId="0" xfId="1" applyNumberFormat="1" applyFont="1" applyFill="1" applyAlignment="1" applyProtection="1">
      <alignment horizontal="right"/>
      <protection locked="0"/>
    </xf>
    <xf numFmtId="0" fontId="8" fillId="0" borderId="0" xfId="1" applyFont="1" applyAlignment="1">
      <alignment horizontal="center" vertical="center"/>
    </xf>
    <xf numFmtId="8" fontId="8" fillId="0" borderId="0" xfId="1" applyNumberFormat="1" applyFont="1" applyAlignment="1">
      <alignment horizontal="center" vertical="center"/>
    </xf>
    <xf numFmtId="0" fontId="8" fillId="0" borderId="0" xfId="1" applyFont="1" applyAlignment="1">
      <alignment horizontal="center" wrapText="1"/>
    </xf>
    <xf numFmtId="167" fontId="8" fillId="0" borderId="0" xfId="1" applyNumberFormat="1" applyFont="1" applyAlignment="1">
      <alignment horizontal="center" wrapText="1"/>
    </xf>
    <xf numFmtId="8" fontId="8" fillId="0" borderId="0" xfId="1" applyNumberFormat="1" applyFont="1" applyAlignment="1">
      <alignment horizontal="center" wrapText="1"/>
    </xf>
    <xf numFmtId="0" fontId="8" fillId="0" borderId="0" xfId="1" applyFont="1" applyAlignment="1">
      <alignment vertical="center"/>
    </xf>
    <xf numFmtId="0" fontId="28" fillId="0" borderId="0" xfId="1" applyFont="1" applyAlignment="1">
      <alignment vertical="center"/>
    </xf>
    <xf numFmtId="8" fontId="8" fillId="0" borderId="0" xfId="1" applyNumberFormat="1" applyFont="1" applyAlignment="1">
      <alignment vertical="center"/>
    </xf>
    <xf numFmtId="0" fontId="28" fillId="0" borderId="0" xfId="1" applyFont="1" applyAlignment="1">
      <alignment horizontal="center" vertical="center"/>
    </xf>
    <xf numFmtId="2" fontId="28" fillId="5" borderId="12" xfId="4" applyNumberFormat="1" applyFont="1" applyFill="1" applyBorder="1" applyAlignment="1">
      <alignment horizontal="left"/>
    </xf>
    <xf numFmtId="2" fontId="8" fillId="0" borderId="12" xfId="1" applyNumberFormat="1" applyFont="1" applyBorder="1" applyAlignment="1">
      <alignment horizontal="left"/>
    </xf>
    <xf numFmtId="2" fontId="8" fillId="0" borderId="12" xfId="1" applyNumberFormat="1" applyFont="1" applyBorder="1" applyAlignment="1">
      <alignment horizontal="right"/>
    </xf>
    <xf numFmtId="165" fontId="28" fillId="0" borderId="12" xfId="1" applyNumberFormat="1" applyFont="1" applyBorder="1" applyAlignment="1">
      <alignment horizontal="right"/>
    </xf>
    <xf numFmtId="2" fontId="8" fillId="0" borderId="12" xfId="1" applyNumberFormat="1" applyFont="1" applyBorder="1"/>
    <xf numFmtId="0" fontId="29" fillId="0" borderId="2" xfId="1" applyFont="1" applyBorder="1" applyAlignment="1">
      <alignment horizontal="left" vertical="center" wrapText="1"/>
    </xf>
    <xf numFmtId="0" fontId="30" fillId="0" borderId="0" xfId="1" applyFont="1" applyAlignment="1">
      <alignment vertical="center"/>
    </xf>
    <xf numFmtId="0" fontId="30" fillId="0" borderId="0" xfId="1" applyFont="1" applyAlignment="1">
      <alignment horizontal="left" vertical="center" wrapText="1"/>
    </xf>
    <xf numFmtId="8" fontId="30" fillId="0" borderId="0" xfId="1" applyNumberFormat="1" applyFont="1" applyAlignment="1">
      <alignment horizontal="right" vertical="center" wrapText="1"/>
    </xf>
    <xf numFmtId="167" fontId="30" fillId="0" borderId="0" xfId="1" applyNumberFormat="1" applyFont="1" applyAlignment="1">
      <alignment horizontal="left" vertical="center" wrapText="1"/>
    </xf>
    <xf numFmtId="2" fontId="30" fillId="0" borderId="0" xfId="1" applyNumberFormat="1" applyFont="1" applyAlignment="1">
      <alignment horizontal="left" vertical="center" wrapText="1"/>
    </xf>
    <xf numFmtId="2" fontId="30" fillId="0" borderId="0" xfId="1" applyNumberFormat="1" applyFont="1" applyAlignment="1">
      <alignment horizontal="left" wrapText="1"/>
    </xf>
    <xf numFmtId="0" fontId="30" fillId="0" borderId="0" xfId="1" applyFont="1" applyAlignment="1">
      <alignment horizontal="left" wrapText="1"/>
    </xf>
    <xf numFmtId="166" fontId="30" fillId="0" borderId="0" xfId="5" applyNumberFormat="1" applyFont="1" applyBorder="1" applyAlignment="1">
      <alignment horizontal="left" wrapText="1"/>
    </xf>
    <xf numFmtId="8" fontId="30" fillId="0" borderId="0" xfId="1" applyNumberFormat="1" applyFont="1" applyAlignment="1">
      <alignment horizontal="right" wrapText="1"/>
    </xf>
    <xf numFmtId="9" fontId="30" fillId="0" borderId="0" xfId="5" applyFont="1" applyBorder="1" applyAlignment="1">
      <alignment horizontal="left" wrapText="1"/>
    </xf>
    <xf numFmtId="0" fontId="30" fillId="0" borderId="1" xfId="1" applyFont="1" applyBorder="1" applyAlignment="1">
      <alignment horizontal="left" vertical="center" wrapText="1"/>
    </xf>
    <xf numFmtId="8" fontId="30" fillId="0" borderId="1" xfId="1" applyNumberFormat="1" applyFont="1" applyBorder="1" applyAlignment="1">
      <alignment horizontal="right" vertical="center" wrapText="1"/>
    </xf>
    <xf numFmtId="0" fontId="30" fillId="0" borderId="0" xfId="1" applyFont="1" applyAlignment="1">
      <alignment horizontal="left" vertical="center"/>
    </xf>
    <xf numFmtId="0" fontId="30" fillId="0" borderId="0" xfId="1" applyFont="1" applyAlignment="1">
      <alignment horizontal="center" vertical="center"/>
    </xf>
    <xf numFmtId="0" fontId="30" fillId="0" borderId="0" xfId="1" applyFont="1" applyAlignment="1">
      <alignment horizontal="center" vertical="center" wrapText="1"/>
    </xf>
    <xf numFmtId="0" fontId="30" fillId="0" borderId="1" xfId="1" applyFont="1" applyBorder="1" applyAlignment="1">
      <alignment horizontal="center" vertical="center" wrapText="1"/>
    </xf>
    <xf numFmtId="169" fontId="30" fillId="0" borderId="0" xfId="1" applyNumberFormat="1" applyFont="1" applyAlignment="1">
      <alignment horizontal="left" vertical="center" wrapText="1"/>
    </xf>
    <xf numFmtId="0" fontId="29" fillId="0" borderId="2" xfId="1" applyFont="1" applyBorder="1" applyAlignment="1">
      <alignment horizontal="right" vertical="center" wrapText="1"/>
    </xf>
    <xf numFmtId="0" fontId="8" fillId="2" borderId="1" xfId="1" applyFont="1" applyFill="1" applyBorder="1" applyAlignment="1" applyProtection="1">
      <alignment horizontal="right"/>
      <protection locked="0"/>
    </xf>
    <xf numFmtId="2" fontId="16" fillId="0" borderId="0" xfId="1" applyNumberFormat="1" applyFont="1"/>
    <xf numFmtId="0" fontId="22" fillId="4" borderId="4" xfId="4" applyFont="1" applyFill="1" applyBorder="1"/>
    <xf numFmtId="0" fontId="5" fillId="4" borderId="5" xfId="4" applyFont="1" applyFill="1" applyBorder="1"/>
    <xf numFmtId="0" fontId="23" fillId="0" borderId="2" xfId="0" applyFont="1" applyBorder="1"/>
    <xf numFmtId="0" fontId="28" fillId="0" borderId="2" xfId="1" applyFont="1" applyBorder="1" applyAlignment="1">
      <alignment horizontal="center"/>
    </xf>
    <xf numFmtId="0" fontId="28" fillId="0" borderId="0" xfId="1" applyFont="1" applyAlignment="1">
      <alignment horizontal="center"/>
    </xf>
    <xf numFmtId="0" fontId="23" fillId="0" borderId="2" xfId="0" applyFont="1" applyBorder="1" applyAlignment="1">
      <alignment horizontal="center"/>
    </xf>
    <xf numFmtId="0" fontId="8" fillId="0" borderId="0" xfId="1" applyFont="1" applyAlignment="1">
      <alignment horizontal="left"/>
    </xf>
    <xf numFmtId="0" fontId="16" fillId="0" borderId="0" xfId="1" applyFont="1" applyAlignment="1">
      <alignment horizontal="right"/>
    </xf>
    <xf numFmtId="167" fontId="8" fillId="0" borderId="0" xfId="1" applyNumberFormat="1" applyFont="1" applyAlignment="1">
      <alignment horizontal="right"/>
    </xf>
    <xf numFmtId="9" fontId="16" fillId="0" borderId="0" xfId="1" applyNumberFormat="1" applyFont="1" applyAlignment="1">
      <alignment horizontal="right"/>
    </xf>
    <xf numFmtId="8" fontId="16" fillId="0" borderId="0" xfId="1" applyNumberFormat="1" applyFont="1" applyAlignment="1">
      <alignment horizontal="right"/>
    </xf>
    <xf numFmtId="4" fontId="16" fillId="0" borderId="0" xfId="1" applyNumberFormat="1" applyFont="1" applyAlignment="1">
      <alignment horizontal="right"/>
    </xf>
    <xf numFmtId="8" fontId="8" fillId="0" borderId="0" xfId="1" applyNumberFormat="1" applyFont="1" applyAlignment="1">
      <alignment horizontal="left"/>
    </xf>
    <xf numFmtId="0" fontId="7" fillId="0" borderId="1" xfId="0" applyFont="1" applyBorder="1"/>
    <xf numFmtId="0" fontId="16" fillId="0" borderId="1" xfId="1" applyFont="1" applyBorder="1"/>
    <xf numFmtId="0" fontId="7" fillId="0" borderId="0" xfId="0" applyFont="1" applyAlignment="1">
      <alignment horizontal="left" indent="1"/>
    </xf>
    <xf numFmtId="165" fontId="8" fillId="0" borderId="1" xfId="1" applyNumberFormat="1" applyFont="1" applyBorder="1" applyAlignment="1">
      <alignment horizontal="right"/>
    </xf>
    <xf numFmtId="0" fontId="17" fillId="0" borderId="0" xfId="0" applyFont="1" applyAlignment="1">
      <alignment horizontal="right"/>
    </xf>
    <xf numFmtId="165" fontId="8" fillId="0" borderId="0" xfId="2" applyNumberFormat="1" applyFont="1" applyFill="1" applyBorder="1" applyAlignment="1" applyProtection="1">
      <alignment horizontal="right" indent="2"/>
    </xf>
    <xf numFmtId="168" fontId="8" fillId="0" borderId="0" xfId="2" applyNumberFormat="1" applyFont="1" applyFill="1" applyBorder="1" applyAlignment="1" applyProtection="1">
      <alignment horizontal="left" indent="2"/>
    </xf>
    <xf numFmtId="165" fontId="8" fillId="0" borderId="0" xfId="2" applyNumberFormat="1" applyFont="1" applyFill="1" applyBorder="1" applyAlignment="1" applyProtection="1">
      <alignment horizontal="right"/>
    </xf>
    <xf numFmtId="9" fontId="8" fillId="0" borderId="0" xfId="5" applyFont="1" applyFill="1" applyBorder="1" applyAlignment="1" applyProtection="1">
      <alignment horizontal="right"/>
    </xf>
    <xf numFmtId="8" fontId="8" fillId="0" borderId="0" xfId="1" applyNumberFormat="1" applyFont="1" applyAlignment="1">
      <alignment horizontal="left" indent="1"/>
    </xf>
    <xf numFmtId="1" fontId="8" fillId="0" borderId="0" xfId="1" applyNumberFormat="1" applyFont="1" applyAlignment="1">
      <alignment horizontal="right" indent="1"/>
    </xf>
    <xf numFmtId="165" fontId="8" fillId="0" borderId="1" xfId="2" applyNumberFormat="1" applyFont="1" applyFill="1" applyBorder="1" applyAlignment="1" applyProtection="1">
      <alignment horizontal="right"/>
    </xf>
    <xf numFmtId="2" fontId="15" fillId="0" borderId="0" xfId="1" applyNumberFormat="1" applyFont="1" applyAlignment="1">
      <alignment horizontal="right"/>
    </xf>
    <xf numFmtId="2" fontId="28" fillId="0" borderId="0" xfId="1" applyNumberFormat="1" applyFont="1" applyAlignment="1">
      <alignment horizontal="right" indent="2"/>
    </xf>
    <xf numFmtId="2" fontId="28" fillId="5" borderId="0" xfId="4" applyNumberFormat="1" applyFont="1" applyFill="1" applyAlignment="1">
      <alignment horizontal="left"/>
    </xf>
    <xf numFmtId="0" fontId="29" fillId="0" borderId="0" xfId="0" quotePrefix="1" applyFont="1"/>
    <xf numFmtId="0" fontId="29" fillId="0" borderId="1" xfId="0" applyFont="1" applyBorder="1"/>
    <xf numFmtId="0" fontId="8" fillId="0" borderId="1" xfId="1" applyFont="1" applyBorder="1"/>
    <xf numFmtId="166" fontId="30" fillId="0" borderId="0" xfId="5" applyNumberFormat="1" applyFont="1" applyBorder="1" applyAlignment="1" applyProtection="1">
      <alignment horizontal="left" wrapText="1"/>
    </xf>
    <xf numFmtId="9" fontId="30" fillId="0" borderId="0" xfId="5" applyFont="1" applyBorder="1" applyAlignment="1" applyProtection="1">
      <alignment horizontal="left" wrapText="1"/>
    </xf>
    <xf numFmtId="0" fontId="14" fillId="4" borderId="5" xfId="4" applyFont="1" applyFill="1" applyBorder="1"/>
    <xf numFmtId="0" fontId="6" fillId="4" borderId="5" xfId="0" applyFont="1" applyFill="1" applyBorder="1"/>
    <xf numFmtId="0" fontId="6" fillId="4" borderId="8" xfId="0" applyFont="1" applyFill="1" applyBorder="1"/>
    <xf numFmtId="44" fontId="0" fillId="0" borderId="0" xfId="0" applyNumberFormat="1"/>
    <xf numFmtId="4" fontId="0" fillId="0" borderId="0" xfId="0" applyNumberFormat="1"/>
    <xf numFmtId="0" fontId="0" fillId="0" borderId="0" xfId="2" applyNumberFormat="1" applyFont="1"/>
    <xf numFmtId="0" fontId="4" fillId="0" borderId="0" xfId="0" applyFont="1"/>
    <xf numFmtId="9" fontId="0" fillId="0" borderId="0" xfId="0" applyNumberFormat="1"/>
    <xf numFmtId="0" fontId="31" fillId="0" borderId="0" xfId="0" applyFont="1"/>
    <xf numFmtId="44" fontId="31" fillId="0" borderId="0" xfId="0" applyNumberFormat="1" applyFont="1"/>
    <xf numFmtId="8" fontId="7" fillId="0" borderId="0" xfId="0" applyNumberFormat="1" applyFont="1"/>
    <xf numFmtId="0" fontId="7" fillId="5" borderId="0" xfId="0" quotePrefix="1" applyFont="1" applyFill="1" applyAlignment="1">
      <alignment horizontal="left" indent="1"/>
    </xf>
    <xf numFmtId="0" fontId="6" fillId="5" borderId="0" xfId="0" quotePrefix="1" applyFont="1" applyFill="1"/>
    <xf numFmtId="0" fontId="7" fillId="0" borderId="0" xfId="0" applyFont="1" applyAlignment="1">
      <alignment horizontal="left"/>
    </xf>
    <xf numFmtId="2" fontId="16" fillId="0" borderId="1" xfId="1" applyNumberFormat="1" applyFont="1" applyBorder="1" applyAlignment="1">
      <alignment horizontal="left"/>
    </xf>
    <xf numFmtId="0" fontId="6" fillId="0" borderId="1" xfId="0" applyFont="1" applyBorder="1"/>
    <xf numFmtId="0" fontId="0" fillId="0" borderId="12" xfId="0" applyBorder="1"/>
    <xf numFmtId="0" fontId="7" fillId="0" borderId="12" xfId="0" applyFont="1" applyBorder="1"/>
    <xf numFmtId="0" fontId="6" fillId="0" borderId="12" xfId="0" applyFont="1" applyBorder="1"/>
    <xf numFmtId="8" fontId="8" fillId="2" borderId="1" xfId="1" applyNumberFormat="1" applyFont="1" applyFill="1" applyBorder="1" applyAlignment="1" applyProtection="1">
      <alignment horizontal="right"/>
      <protection locked="0"/>
    </xf>
    <xf numFmtId="8" fontId="8" fillId="0" borderId="0" xfId="1" applyNumberFormat="1" applyFont="1" applyAlignment="1" applyProtection="1">
      <alignment horizontal="right"/>
      <protection locked="0"/>
    </xf>
    <xf numFmtId="10" fontId="8" fillId="2" borderId="0" xfId="1" applyNumberFormat="1" applyFont="1" applyFill="1" applyAlignment="1" applyProtection="1">
      <alignment horizontal="right"/>
      <protection locked="0"/>
    </xf>
    <xf numFmtId="0" fontId="28" fillId="0" borderId="1" xfId="1" applyFont="1" applyBorder="1" applyAlignment="1">
      <alignment horizontal="left"/>
    </xf>
    <xf numFmtId="0" fontId="7" fillId="0" borderId="1" xfId="0" applyFont="1" applyBorder="1" applyAlignment="1">
      <alignment horizontal="left" indent="1"/>
    </xf>
    <xf numFmtId="2" fontId="0" fillId="0" borderId="0" xfId="0" applyNumberFormat="1"/>
    <xf numFmtId="0" fontId="35" fillId="0" borderId="0" xfId="0" applyFont="1"/>
    <xf numFmtId="8" fontId="4" fillId="0" borderId="0" xfId="0" applyNumberFormat="1" applyFont="1"/>
    <xf numFmtId="2" fontId="8" fillId="2" borderId="0" xfId="1" applyNumberFormat="1" applyFont="1" applyFill="1" applyAlignment="1" applyProtection="1">
      <alignment horizontal="right"/>
      <protection locked="0"/>
    </xf>
    <xf numFmtId="3" fontId="7" fillId="0" borderId="12" xfId="0" applyNumberFormat="1" applyFont="1" applyBorder="1"/>
    <xf numFmtId="8" fontId="7" fillId="2" borderId="0" xfId="0" applyNumberFormat="1" applyFont="1" applyFill="1" applyProtection="1">
      <protection locked="0"/>
    </xf>
    <xf numFmtId="0" fontId="28" fillId="0" borderId="0" xfId="4" applyFont="1" applyAlignment="1">
      <alignment horizontal="center"/>
    </xf>
    <xf numFmtId="0" fontId="28" fillId="0" borderId="0" xfId="1" applyFont="1"/>
    <xf numFmtId="8" fontId="8" fillId="0" borderId="14" xfId="1" applyNumberFormat="1" applyFont="1" applyBorder="1"/>
    <xf numFmtId="8" fontId="8" fillId="0" borderId="12" xfId="1" applyNumberFormat="1" applyFont="1" applyBorder="1"/>
    <xf numFmtId="8" fontId="8" fillId="0" borderId="17" xfId="1" applyNumberFormat="1" applyFont="1" applyBorder="1"/>
    <xf numFmtId="8" fontId="8" fillId="0" borderId="15" xfId="1" applyNumberFormat="1" applyFont="1" applyBorder="1"/>
    <xf numFmtId="170" fontId="8" fillId="0" borderId="13" xfId="1" applyNumberFormat="1" applyFont="1" applyBorder="1"/>
    <xf numFmtId="8" fontId="8" fillId="0" borderId="16" xfId="1" applyNumberFormat="1" applyFont="1" applyBorder="1"/>
    <xf numFmtId="167" fontId="8" fillId="0" borderId="0" xfId="1" applyNumberFormat="1" applyFont="1" applyProtection="1">
      <protection locked="0"/>
    </xf>
    <xf numFmtId="166" fontId="8" fillId="0" borderId="0" xfId="1" applyNumberFormat="1" applyFont="1" applyAlignment="1" applyProtection="1">
      <alignment horizontal="right"/>
      <protection locked="0"/>
    </xf>
    <xf numFmtId="10" fontId="30" fillId="0" borderId="1" xfId="1" applyNumberFormat="1" applyFont="1" applyBorder="1" applyAlignment="1">
      <alignment horizontal="left" vertical="center" wrapText="1"/>
    </xf>
    <xf numFmtId="165" fontId="37" fillId="0" borderId="0" xfId="1" applyNumberFormat="1" applyFont="1"/>
    <xf numFmtId="2" fontId="9" fillId="0" borderId="0" xfId="1" applyNumberFormat="1" applyFont="1"/>
    <xf numFmtId="171" fontId="8" fillId="0" borderId="0" xfId="1" applyNumberFormat="1" applyFont="1" applyAlignment="1" applyProtection="1">
      <alignment horizontal="right"/>
      <protection locked="0"/>
    </xf>
    <xf numFmtId="171" fontId="8" fillId="0" borderId="0" xfId="1" applyNumberFormat="1" applyFont="1"/>
    <xf numFmtId="0" fontId="27" fillId="5" borderId="0" xfId="6" applyFont="1" applyFill="1" applyAlignment="1">
      <alignment horizontal="left" wrapText="1"/>
    </xf>
    <xf numFmtId="0" fontId="22" fillId="4" borderId="4" xfId="4" applyFont="1" applyFill="1" applyBorder="1" applyAlignment="1">
      <alignment horizontal="center" vertical="center"/>
    </xf>
    <xf numFmtId="0" fontId="22" fillId="4" borderId="5" xfId="4" applyFont="1" applyFill="1" applyBorder="1" applyAlignment="1">
      <alignment horizontal="center" vertical="center"/>
    </xf>
    <xf numFmtId="0" fontId="22" fillId="4" borderId="8" xfId="4" applyFont="1" applyFill="1" applyBorder="1" applyAlignment="1">
      <alignment horizontal="center" vertical="center"/>
    </xf>
    <xf numFmtId="0" fontId="21" fillId="5" borderId="0" xfId="0" applyFont="1" applyFill="1" applyAlignment="1">
      <alignment horizontal="right"/>
    </xf>
    <xf numFmtId="0" fontId="7" fillId="5" borderId="0" xfId="0" applyFont="1" applyFill="1" applyAlignment="1">
      <alignment horizontal="left" wrapText="1"/>
    </xf>
    <xf numFmtId="0" fontId="24" fillId="3" borderId="9" xfId="3" applyFont="1" applyBorder="1" applyAlignment="1">
      <alignment horizontal="center"/>
    </xf>
    <xf numFmtId="0" fontId="24" fillId="3" borderId="10" xfId="3" applyFont="1" applyBorder="1" applyAlignment="1">
      <alignment horizontal="center"/>
    </xf>
    <xf numFmtId="0" fontId="24" fillId="3" borderId="11" xfId="3" applyFont="1" applyBorder="1" applyAlignment="1">
      <alignment horizontal="center"/>
    </xf>
    <xf numFmtId="0" fontId="16" fillId="0" borderId="0" xfId="0" applyFont="1" applyAlignment="1">
      <alignment horizontal="left" vertical="center" wrapText="1"/>
    </xf>
    <xf numFmtId="0" fontId="36" fillId="0" borderId="1" xfId="1" applyFont="1" applyBorder="1" applyAlignment="1">
      <alignment horizontal="center"/>
    </xf>
    <xf numFmtId="0" fontId="36" fillId="0" borderId="18" xfId="1" applyFont="1" applyBorder="1" applyAlignment="1">
      <alignment horizontal="center" textRotation="90"/>
    </xf>
    <xf numFmtId="0" fontId="22" fillId="4" borderId="6" xfId="4" applyFont="1" applyFill="1" applyBorder="1" applyAlignment="1">
      <alignment horizontal="center"/>
    </xf>
    <xf numFmtId="0" fontId="22" fillId="4" borderId="7" xfId="4" applyFont="1" applyFill="1" applyBorder="1" applyAlignment="1">
      <alignment horizontal="center"/>
    </xf>
    <xf numFmtId="0" fontId="30" fillId="0" borderId="0" xfId="1" applyFont="1" applyAlignment="1">
      <alignment horizontal="left" vertical="center" wrapText="1"/>
    </xf>
    <xf numFmtId="2" fontId="30" fillId="0" borderId="0" xfId="1" applyNumberFormat="1" applyFont="1" applyAlignment="1">
      <alignment horizontal="left" vertical="center" wrapText="1"/>
    </xf>
    <xf numFmtId="2" fontId="30" fillId="0" borderId="0" xfId="1" applyNumberFormat="1" applyFont="1" applyAlignment="1">
      <alignment horizontal="left" wrapText="1"/>
    </xf>
    <xf numFmtId="0" fontId="16" fillId="0" borderId="0" xfId="1" applyFont="1" applyAlignment="1">
      <alignment horizontal="left"/>
    </xf>
    <xf numFmtId="0" fontId="29" fillId="0" borderId="2" xfId="1" applyFont="1" applyBorder="1" applyAlignment="1">
      <alignment horizontal="left" vertical="center" wrapText="1"/>
    </xf>
    <xf numFmtId="0" fontId="22" fillId="4" borderId="0" xfId="4" applyFont="1" applyFill="1" applyAlignment="1">
      <alignment horizontal="center"/>
    </xf>
    <xf numFmtId="0" fontId="30" fillId="0" borderId="12" xfId="1" applyFont="1" applyBorder="1" applyAlignment="1">
      <alignment horizontal="left" vertical="center" wrapText="1"/>
    </xf>
    <xf numFmtId="0" fontId="0" fillId="5" borderId="0" xfId="0" applyFill="1" applyAlignment="1"/>
    <xf numFmtId="0" fontId="25" fillId="4" borderId="4" xfId="0" applyFont="1" applyFill="1" applyBorder="1" applyAlignment="1"/>
    <xf numFmtId="0" fontId="25" fillId="4" borderId="5" xfId="0" applyFont="1" applyFill="1" applyBorder="1" applyAlignment="1"/>
  </cellXfs>
  <cellStyles count="7">
    <cellStyle name="Comma" xfId="2" builtinId="3"/>
    <cellStyle name="Hyperlink" xfId="6" builtinId="8"/>
    <cellStyle name="Normal" xfId="0" builtinId="0"/>
    <cellStyle name="Normal 2" xfId="1" xr:uid="{00000000-0005-0000-0000-000001000000}"/>
    <cellStyle name="Normal 2 2" xfId="4" xr:uid="{7BF597C9-1700-4277-8795-A34D786E5159}"/>
    <cellStyle name="Output" xfId="3" builtinId="21"/>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4219575</xdr:colOff>
      <xdr:row>3</xdr:row>
      <xdr:rowOff>187675</xdr:rowOff>
    </xdr:from>
    <xdr:to>
      <xdr:col>4</xdr:col>
      <xdr:colOff>139700</xdr:colOff>
      <xdr:row>7</xdr:row>
      <xdr:rowOff>67250</xdr:rowOff>
    </xdr:to>
    <xdr:pic>
      <xdr:nvPicPr>
        <xdr:cNvPr id="2" name="Picture 1">
          <a:extLst>
            <a:ext uri="{FF2B5EF4-FFF2-40B4-BE49-F238E27FC236}">
              <a16:creationId xmlns:a16="http://schemas.microsoft.com/office/drawing/2014/main" id="{A7F95721-E310-4ED2-A695-31510C540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9775" y="892525"/>
          <a:ext cx="2292350" cy="717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seyr/Box%20Sync/Budgets/Budg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masseyr_umsystem_edu/Documents/Budgets/2022%20Budgets/Hog/2022%20Industrial%20Fiber%20Hemp%20Budg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masseyr_umsystem_edu/Documents/Swine/KSU_Pork_FMG_Dec-2020_n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Wheat(2015 SRW)"/>
      <sheetName val="Beans, DC(2015 DoubleCrop)"/>
      <sheetName val="Beans(2015 Dryland)"/>
      <sheetName val="Milo(Gr Sorghum 2015)"/>
      <sheetName val="Corn(2015 Irrigated)"/>
      <sheetName val="Corn(Corn(2015 Dryland...)"/>
      <sheetName val="Corn, Dryland 2014"/>
      <sheetName val="Corn, Irrigated 2014"/>
      <sheetName val="Soybean 2014"/>
      <sheetName val="Soybean, Double Crop 2014"/>
      <sheetName val="Wheat SRW 2014"/>
      <sheetName val="Grain Sorghum 2014"/>
      <sheetName val="Output"/>
      <sheetName val="Machinery Cost"/>
      <sheetName val="MDB"/>
      <sheetName val="St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Hemp for Fiber"/>
      <sheetName val="Activity list"/>
      <sheetName val="Notes"/>
      <sheetName val="2022 Industrial Fiber Hemp Budg"/>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rices"/>
      <sheetName val="Feed"/>
      <sheetName val="Farrow-Finish"/>
      <sheetName val="Farrow-Wean"/>
      <sheetName val="Wean-Finish"/>
      <sheetName val="Nursery"/>
      <sheetName val="Finishing"/>
      <sheetName val="Feed (2)_IDOtherIngValu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xtension.missouri.edu/publications/g689" TargetMode="External"/><Relationship Id="rId2" Type="http://schemas.openxmlformats.org/officeDocument/2006/relationships/hyperlink" Target="https://extension.missouri.edu/publications/g687" TargetMode="External"/><Relationship Id="rId1" Type="http://schemas.openxmlformats.org/officeDocument/2006/relationships/hyperlink" Target="https://extension.missouri.edu/publications/g688"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D7AF-9953-4846-885A-563E8C6EFF79}">
  <dimension ref="A1:M28"/>
  <sheetViews>
    <sheetView tabSelected="1" workbookViewId="0">
      <selection activeCell="B9" sqref="B9:D9"/>
    </sheetView>
  </sheetViews>
  <sheetFormatPr defaultColWidth="0" defaultRowHeight="16.5" customHeight="1" zeroHeight="1"/>
  <cols>
    <col min="1" max="1" width="3.125" style="28" customWidth="1"/>
    <col min="2" max="2" width="17.875" style="28" customWidth="1"/>
    <col min="3" max="3" width="74.625" style="28" customWidth="1"/>
    <col min="4" max="4" width="9" style="28" customWidth="1"/>
    <col min="5" max="5" width="3.125" style="28" customWidth="1"/>
    <col min="6" max="8" width="9" style="28" hidden="1" customWidth="1"/>
    <col min="9" max="13" width="0" style="28" hidden="1" customWidth="1"/>
    <col min="14" max="16384" width="9" style="28" hidden="1"/>
  </cols>
  <sheetData>
    <row r="1" spans="1:13" ht="12" customHeight="1" thickBot="1">
      <c r="A1" s="27"/>
      <c r="B1" s="27"/>
      <c r="C1" s="27"/>
      <c r="D1" s="27"/>
      <c r="E1" s="27"/>
      <c r="F1" s="27"/>
      <c r="G1" s="27"/>
      <c r="H1" s="27"/>
      <c r="I1" s="27"/>
      <c r="J1" s="27"/>
      <c r="K1" s="27"/>
      <c r="L1" s="27"/>
      <c r="M1" s="27"/>
    </row>
    <row r="2" spans="1:13" ht="21.75" customHeight="1" thickBot="1">
      <c r="A2" s="27"/>
      <c r="B2" s="209" t="s">
        <v>0</v>
      </c>
      <c r="C2" s="210"/>
      <c r="D2" s="211"/>
      <c r="E2" s="27"/>
      <c r="F2" s="27"/>
      <c r="G2" s="27"/>
      <c r="H2" s="27"/>
    </row>
    <row r="3" spans="1:13">
      <c r="A3" s="27"/>
      <c r="B3" s="212" t="s">
        <v>1</v>
      </c>
      <c r="C3" s="212"/>
      <c r="D3" s="212"/>
      <c r="E3" s="27"/>
      <c r="F3" s="27"/>
      <c r="G3" s="27"/>
      <c r="H3" s="27"/>
    </row>
    <row r="4" spans="1:13">
      <c r="A4" s="27"/>
      <c r="B4" s="229"/>
      <c r="C4" s="229"/>
      <c r="D4" s="229"/>
      <c r="E4" s="27"/>
      <c r="F4" s="27"/>
      <c r="G4" s="27"/>
      <c r="H4" s="27"/>
    </row>
    <row r="5" spans="1:13">
      <c r="A5" s="27"/>
      <c r="B5" s="30" t="s">
        <v>2</v>
      </c>
      <c r="C5"/>
      <c r="D5" s="29"/>
      <c r="E5" s="27"/>
      <c r="F5" s="27"/>
      <c r="G5" s="27"/>
      <c r="H5" s="27"/>
    </row>
    <row r="6" spans="1:13">
      <c r="A6" s="27"/>
      <c r="B6" s="31" t="s">
        <v>3</v>
      </c>
      <c r="C6" s="29"/>
      <c r="D6" s="29"/>
      <c r="E6" s="27"/>
      <c r="F6" s="27"/>
      <c r="G6" s="27"/>
      <c r="H6" s="27"/>
    </row>
    <row r="7" spans="1:13">
      <c r="A7" s="27"/>
      <c r="B7" s="31" t="s">
        <v>4</v>
      </c>
      <c r="C7"/>
      <c r="D7" s="29"/>
      <c r="E7" s="27"/>
      <c r="F7" s="27"/>
      <c r="G7" s="27"/>
      <c r="H7" s="27"/>
    </row>
    <row r="8" spans="1:13" ht="16.5" customHeight="1">
      <c r="A8" s="27"/>
      <c r="B8" s="29"/>
      <c r="C8" s="32"/>
      <c r="D8" s="29"/>
      <c r="E8" s="27"/>
      <c r="F8" s="27"/>
      <c r="G8" s="27"/>
      <c r="H8" s="27"/>
    </row>
    <row r="9" spans="1:13" ht="66" customHeight="1">
      <c r="A9" s="27"/>
      <c r="B9" s="213" t="s">
        <v>5</v>
      </c>
      <c r="C9" s="213"/>
      <c r="D9" s="213"/>
      <c r="E9" s="27"/>
      <c r="F9" s="27"/>
      <c r="G9" s="27"/>
      <c r="H9" s="27"/>
    </row>
    <row r="10" spans="1:13" ht="16.5" customHeight="1">
      <c r="A10" s="27"/>
      <c r="B10" s="33"/>
      <c r="C10" s="208" t="s">
        <v>6</v>
      </c>
      <c r="D10" s="208"/>
      <c r="E10" s="27"/>
      <c r="F10" s="27"/>
      <c r="G10" s="27"/>
      <c r="H10" s="27"/>
    </row>
    <row r="11" spans="1:13" ht="16.5" customHeight="1">
      <c r="A11" s="27"/>
      <c r="B11" s="33"/>
      <c r="C11" s="208" t="s">
        <v>7</v>
      </c>
      <c r="D11" s="208"/>
      <c r="E11" s="27"/>
      <c r="F11" s="27"/>
      <c r="G11" s="27"/>
      <c r="H11" s="27"/>
    </row>
    <row r="12" spans="1:13" ht="16.5" customHeight="1">
      <c r="A12" s="27"/>
      <c r="B12" s="33"/>
      <c r="C12" s="208" t="s">
        <v>8</v>
      </c>
      <c r="D12" s="208"/>
      <c r="E12" s="27"/>
      <c r="F12" s="27"/>
      <c r="G12" s="27"/>
      <c r="H12" s="27"/>
    </row>
    <row r="13" spans="1:13" ht="16.5" customHeight="1">
      <c r="A13" s="27"/>
      <c r="B13" s="34"/>
      <c r="C13" s="34"/>
      <c r="D13" s="29"/>
      <c r="E13" s="27"/>
      <c r="F13" s="27"/>
      <c r="G13" s="27"/>
      <c r="H13" s="27"/>
    </row>
    <row r="14" spans="1:13" ht="15" customHeight="1">
      <c r="A14" s="27"/>
      <c r="B14" s="214" t="s">
        <v>9</v>
      </c>
      <c r="C14" s="215"/>
      <c r="D14" s="216"/>
      <c r="E14" s="27"/>
      <c r="F14" s="27"/>
      <c r="G14" s="27"/>
      <c r="H14" s="27"/>
    </row>
    <row r="15" spans="1:13" ht="17.25" thickBot="1">
      <c r="A15" s="27"/>
      <c r="B15" s="27"/>
      <c r="C15" s="27"/>
      <c r="D15" s="27"/>
      <c r="E15" s="27"/>
      <c r="F15" s="27"/>
      <c r="G15" s="27"/>
      <c r="H15" s="27"/>
    </row>
    <row r="16" spans="1:13" ht="21" thickBot="1">
      <c r="A16" s="27"/>
      <c r="B16" s="230"/>
      <c r="C16" s="231"/>
      <c r="D16" s="231"/>
      <c r="E16" s="27"/>
      <c r="F16" s="27"/>
      <c r="G16" s="27"/>
      <c r="H16" s="27"/>
    </row>
    <row r="17" spans="1:8" hidden="1">
      <c r="A17" s="27"/>
      <c r="B17" s="27"/>
      <c r="C17" s="27"/>
      <c r="D17" s="27"/>
      <c r="E17" s="27"/>
      <c r="F17" s="27"/>
      <c r="G17" s="27"/>
      <c r="H17" s="27"/>
    </row>
    <row r="18" spans="1:8" hidden="1">
      <c r="A18" s="27"/>
      <c r="B18" s="27"/>
      <c r="C18" s="27"/>
      <c r="D18" s="27"/>
      <c r="E18" s="27"/>
      <c r="F18" s="27"/>
      <c r="G18" s="27"/>
      <c r="H18" s="27"/>
    </row>
    <row r="19" spans="1:8" hidden="1">
      <c r="A19" s="27"/>
      <c r="B19" s="27"/>
      <c r="C19" s="27"/>
      <c r="D19" s="27"/>
      <c r="E19" s="27"/>
      <c r="F19" s="27"/>
      <c r="G19" s="27"/>
      <c r="H19" s="27"/>
    </row>
    <row r="20" spans="1:8" hidden="1">
      <c r="A20" s="27"/>
      <c r="B20" s="27"/>
      <c r="C20" s="27"/>
      <c r="D20" s="27"/>
      <c r="E20" s="27"/>
      <c r="F20" s="27"/>
      <c r="G20" s="27"/>
      <c r="H20" s="27"/>
    </row>
    <row r="21" spans="1:8" hidden="1">
      <c r="A21" s="27"/>
      <c r="B21" s="27"/>
      <c r="C21" s="27"/>
      <c r="D21" s="27"/>
      <c r="E21" s="27"/>
      <c r="F21" s="27"/>
      <c r="G21" s="27"/>
      <c r="H21" s="27"/>
    </row>
    <row r="22" spans="1:8" hidden="1">
      <c r="A22" s="27"/>
      <c r="B22" s="27"/>
      <c r="C22" s="27"/>
      <c r="D22" s="27"/>
      <c r="E22" s="27"/>
      <c r="F22" s="27"/>
      <c r="G22" s="27"/>
      <c r="H22" s="27"/>
    </row>
    <row r="23" spans="1:8" hidden="1">
      <c r="A23" s="27"/>
      <c r="B23" s="27"/>
      <c r="C23" s="27"/>
      <c r="D23" s="27"/>
      <c r="E23" s="27"/>
      <c r="F23" s="27"/>
      <c r="G23" s="27"/>
      <c r="H23" s="27"/>
    </row>
    <row r="24" spans="1:8" hidden="1">
      <c r="A24" s="27"/>
      <c r="B24" s="27"/>
      <c r="C24" s="27"/>
      <c r="D24" s="27"/>
      <c r="E24" s="27"/>
      <c r="F24" s="27"/>
      <c r="G24" s="27"/>
      <c r="H24" s="27"/>
    </row>
    <row r="25" spans="1:8" hidden="1">
      <c r="A25" s="27"/>
      <c r="B25" s="27"/>
      <c r="C25" s="27"/>
      <c r="D25" s="27"/>
      <c r="E25" s="27"/>
      <c r="F25" s="27"/>
      <c r="G25" s="27"/>
      <c r="H25" s="27"/>
    </row>
    <row r="26" spans="1:8" hidden="1">
      <c r="A26" s="27"/>
    </row>
    <row r="27" spans="1:8" hidden="1">
      <c r="A27" s="27"/>
    </row>
    <row r="28" spans="1:8" hidden="1">
      <c r="A28" s="27"/>
    </row>
  </sheetData>
  <sheetProtection sheet="1" objects="1" scenarios="1"/>
  <mergeCells count="9">
    <mergeCell ref="B16:D16"/>
    <mergeCell ref="C10:D10"/>
    <mergeCell ref="C11:D11"/>
    <mergeCell ref="C12:D12"/>
    <mergeCell ref="B2:D2"/>
    <mergeCell ref="B3:D3"/>
    <mergeCell ref="B4:D4"/>
    <mergeCell ref="B9:D9"/>
    <mergeCell ref="B14:D14"/>
  </mergeCells>
  <hyperlinks>
    <hyperlink ref="C10:D10" r:id="rId1" display="Farrow-to-finish swine planning budget" xr:uid="{F873AC59-7689-4AE1-9F9F-DAE211F2FB9D}"/>
    <hyperlink ref="C11:D11" r:id="rId2" display="Feeder Pigs Planning Budget" xr:uid="{A984D6CF-4328-44AB-97A7-D56E0663A060}"/>
    <hyperlink ref="C12:D12" r:id="rId3" display="Hog Finishing Planning Budget" xr:uid="{E9C6539E-806D-4371-A142-4AF12E0AC0C6}"/>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DC77-234D-4B02-8F54-142F60E069FE}">
  <dimension ref="A1:L58"/>
  <sheetViews>
    <sheetView showGridLines="0" topLeftCell="A9" zoomScaleNormal="100" workbookViewId="0">
      <selection activeCell="H22" sqref="H22"/>
    </sheetView>
  </sheetViews>
  <sheetFormatPr defaultColWidth="0" defaultRowHeight="15" zeroHeight="1"/>
  <cols>
    <col min="1" max="1" width="3.125" customWidth="1"/>
    <col min="2" max="2" width="25.875" customWidth="1"/>
    <col min="3" max="3" width="14.75" customWidth="1"/>
    <col min="4" max="4" width="8.25" customWidth="1"/>
    <col min="5" max="5" width="3.625" customWidth="1"/>
    <col min="6" max="6" width="36.125" customWidth="1"/>
    <col min="7" max="7" width="16.625" customWidth="1"/>
    <col min="8" max="8" width="11.25" customWidth="1"/>
    <col min="9" max="9" width="16.875" customWidth="1"/>
    <col min="10" max="10" width="17.375" customWidth="1"/>
    <col min="11" max="11" width="16.125" customWidth="1"/>
    <col min="12" max="12" width="3.125" customWidth="1"/>
    <col min="13" max="16384" width="9" hidden="1"/>
  </cols>
  <sheetData>
    <row r="1" spans="1:12" ht="21.75" thickBot="1">
      <c r="A1" s="17"/>
      <c r="B1" s="130" t="s">
        <v>10</v>
      </c>
      <c r="C1" s="131"/>
      <c r="D1" s="131"/>
      <c r="E1" s="163"/>
      <c r="F1" s="164"/>
      <c r="G1" s="164"/>
      <c r="H1" s="164"/>
      <c r="I1" s="164"/>
      <c r="J1" s="164"/>
      <c r="K1" s="165"/>
      <c r="L1" s="17"/>
    </row>
    <row r="2" spans="1:12">
      <c r="A2" s="17"/>
      <c r="B2" s="17"/>
      <c r="C2" s="17"/>
      <c r="D2" s="17"/>
      <c r="E2" s="17"/>
      <c r="F2" s="17"/>
      <c r="G2" s="17"/>
      <c r="H2" s="17"/>
      <c r="I2" s="17"/>
      <c r="J2" s="17"/>
      <c r="K2" s="17"/>
      <c r="L2" s="17"/>
    </row>
    <row r="3" spans="1:12" ht="15.75">
      <c r="A3" s="17"/>
      <c r="B3" s="35" t="s">
        <v>11</v>
      </c>
      <c r="C3" s="132" t="s">
        <v>12</v>
      </c>
      <c r="D3" s="133" t="s">
        <v>13</v>
      </c>
      <c r="E3" s="134"/>
      <c r="F3" s="132" t="s">
        <v>14</v>
      </c>
      <c r="G3" s="132" t="s">
        <v>12</v>
      </c>
      <c r="H3" s="135" t="s">
        <v>15</v>
      </c>
      <c r="I3" s="135" t="s">
        <v>16</v>
      </c>
      <c r="J3" s="135" t="s">
        <v>17</v>
      </c>
      <c r="K3" s="135" t="s">
        <v>18</v>
      </c>
      <c r="L3" s="17"/>
    </row>
    <row r="4" spans="1:12" ht="15.75">
      <c r="A4" s="17"/>
      <c r="B4" s="136" t="s">
        <v>19</v>
      </c>
      <c r="C4" s="18" t="s">
        <v>20</v>
      </c>
      <c r="D4" s="38">
        <v>2.2000000000000002</v>
      </c>
      <c r="E4" s="17"/>
      <c r="F4" s="176" t="s">
        <v>21</v>
      </c>
      <c r="G4" s="18" t="s">
        <v>22</v>
      </c>
      <c r="H4" s="94">
        <v>68.25</v>
      </c>
      <c r="I4" s="137"/>
      <c r="J4" s="17"/>
      <c r="K4" s="17"/>
      <c r="L4" s="17"/>
    </row>
    <row r="5" spans="1:12" ht="15.75">
      <c r="A5" s="17"/>
      <c r="B5" s="136" t="s">
        <v>23</v>
      </c>
      <c r="C5" s="18" t="s">
        <v>24</v>
      </c>
      <c r="D5" s="39">
        <v>11</v>
      </c>
      <c r="E5" s="17"/>
      <c r="F5" s="176" t="s">
        <v>25</v>
      </c>
      <c r="G5" s="18" t="s">
        <v>26</v>
      </c>
      <c r="H5" s="94">
        <v>64.849999999999994</v>
      </c>
      <c r="I5" s="137"/>
      <c r="J5" s="17"/>
      <c r="K5" s="21"/>
      <c r="L5" s="17"/>
    </row>
    <row r="6" spans="1:12" ht="15.75">
      <c r="A6" s="17"/>
      <c r="B6" s="136" t="s">
        <v>27</v>
      </c>
      <c r="C6" s="18" t="s">
        <v>28</v>
      </c>
      <c r="D6" s="38">
        <v>3.6</v>
      </c>
      <c r="E6" s="17"/>
      <c r="F6" s="37" t="s">
        <v>29</v>
      </c>
      <c r="G6" s="19" t="s">
        <v>30</v>
      </c>
      <c r="H6" s="94">
        <v>110</v>
      </c>
      <c r="I6" s="137"/>
      <c r="J6" s="17"/>
      <c r="K6" s="21"/>
      <c r="L6" s="17"/>
    </row>
    <row r="7" spans="1:12" ht="15.75">
      <c r="A7" s="17"/>
      <c r="B7" s="136" t="s">
        <v>31</v>
      </c>
      <c r="C7" s="18" t="s">
        <v>32</v>
      </c>
      <c r="D7" s="138">
        <f>D5*D4</f>
        <v>24.200000000000003</v>
      </c>
      <c r="E7" s="17"/>
      <c r="F7" s="136" t="s">
        <v>33</v>
      </c>
      <c r="G7" s="20" t="s">
        <v>26</v>
      </c>
      <c r="H7" s="44">
        <f>Phogs*D16/100+H6</f>
        <v>301.10000000000002</v>
      </c>
      <c r="L7" s="17"/>
    </row>
    <row r="8" spans="1:12" ht="15.75">
      <c r="A8" s="17"/>
      <c r="B8" s="136" t="s">
        <v>34</v>
      </c>
      <c r="C8" s="17"/>
      <c r="D8" s="136"/>
      <c r="E8" s="17"/>
      <c r="F8" s="36" t="s">
        <v>35</v>
      </c>
      <c r="H8" s="41">
        <v>0.86</v>
      </c>
      <c r="L8" s="17"/>
    </row>
    <row r="9" spans="1:12" ht="15.75">
      <c r="A9" s="17"/>
      <c r="B9" s="36" t="s">
        <v>36</v>
      </c>
      <c r="C9" s="18" t="s">
        <v>37</v>
      </c>
      <c r="D9" s="41">
        <v>0.11</v>
      </c>
      <c r="E9" s="139"/>
      <c r="F9" s="136" t="s">
        <v>38</v>
      </c>
      <c r="G9" s="18" t="s">
        <v>22</v>
      </c>
      <c r="H9" s="44">
        <f>H8*H4</f>
        <v>58.695</v>
      </c>
      <c r="L9" s="17"/>
    </row>
    <row r="10" spans="1:12" ht="15.75">
      <c r="A10" s="17"/>
      <c r="B10" s="36" t="s">
        <v>39</v>
      </c>
      <c r="C10" s="18" t="s">
        <v>37</v>
      </c>
      <c r="D10" s="41">
        <v>0.05</v>
      </c>
      <c r="E10" s="17"/>
      <c r="L10" s="17"/>
    </row>
    <row r="11" spans="1:12" ht="15.75">
      <c r="A11" s="17"/>
      <c r="B11" s="36" t="s">
        <v>40</v>
      </c>
      <c r="C11" s="18" t="s">
        <v>37</v>
      </c>
      <c r="D11" s="42">
        <v>2.5000000000000001E-2</v>
      </c>
      <c r="E11" s="139"/>
      <c r="F11" s="37" t="s">
        <v>41</v>
      </c>
      <c r="G11" s="19" t="s">
        <v>42</v>
      </c>
      <c r="H11" s="94">
        <v>4.3</v>
      </c>
      <c r="I11" s="137"/>
      <c r="J11" s="17"/>
      <c r="K11" s="21"/>
      <c r="L11" s="17"/>
    </row>
    <row r="12" spans="1:12" ht="15.75">
      <c r="A12" s="17"/>
      <c r="B12" s="36" t="s">
        <v>43</v>
      </c>
      <c r="C12" s="18" t="s">
        <v>37</v>
      </c>
      <c r="D12" s="42">
        <v>2.5000000000000001E-2</v>
      </c>
      <c r="E12" s="139"/>
      <c r="F12" s="36" t="s">
        <v>44</v>
      </c>
      <c r="G12" s="20" t="s">
        <v>45</v>
      </c>
      <c r="H12" s="94">
        <v>340</v>
      </c>
      <c r="I12" s="137"/>
      <c r="J12" s="17"/>
      <c r="K12" s="21"/>
      <c r="L12" s="17"/>
    </row>
    <row r="13" spans="1:12" ht="15.75">
      <c r="A13" s="17"/>
      <c r="B13" s="136" t="s">
        <v>46</v>
      </c>
      <c r="C13" s="17"/>
      <c r="D13" s="136"/>
      <c r="E13" s="17"/>
      <c r="F13" s="36" t="s">
        <v>47</v>
      </c>
      <c r="G13" s="20" t="s">
        <v>45</v>
      </c>
      <c r="H13" s="94">
        <v>175</v>
      </c>
      <c r="I13" s="137"/>
      <c r="J13" s="17"/>
      <c r="K13" s="21"/>
      <c r="L13" s="17"/>
    </row>
    <row r="14" spans="1:12" ht="15.75">
      <c r="A14" s="17"/>
      <c r="B14" s="36" t="s">
        <v>48</v>
      </c>
      <c r="C14" s="18" t="s">
        <v>49</v>
      </c>
      <c r="D14" s="38">
        <v>50</v>
      </c>
      <c r="E14" s="137"/>
      <c r="F14" s="36" t="s">
        <v>50</v>
      </c>
      <c r="G14" s="17"/>
      <c r="H14" s="44"/>
      <c r="I14" s="137"/>
      <c r="J14" s="17"/>
      <c r="K14" s="21"/>
      <c r="L14" s="17"/>
    </row>
    <row r="15" spans="1:12" ht="15.75">
      <c r="A15" s="17"/>
      <c r="B15" s="36" t="s">
        <v>51</v>
      </c>
      <c r="C15" s="18" t="s">
        <v>49</v>
      </c>
      <c r="D15" s="38">
        <v>280</v>
      </c>
      <c r="E15" s="137"/>
      <c r="F15" s="36" t="s">
        <v>52</v>
      </c>
      <c r="G15" s="20" t="s">
        <v>53</v>
      </c>
      <c r="H15" s="94">
        <v>0.5</v>
      </c>
      <c r="I15" s="137"/>
      <c r="J15" s="17"/>
      <c r="K15" s="21"/>
      <c r="L15" s="17"/>
    </row>
    <row r="16" spans="1:12" ht="15.75">
      <c r="A16" s="17"/>
      <c r="B16" s="36" t="s">
        <v>54</v>
      </c>
      <c r="C16" s="18" t="s">
        <v>49</v>
      </c>
      <c r="D16" s="38">
        <v>280</v>
      </c>
      <c r="E16" s="137"/>
      <c r="F16" s="36" t="s">
        <v>55</v>
      </c>
      <c r="G16" s="20" t="s">
        <v>53</v>
      </c>
      <c r="H16" s="94">
        <v>0.4</v>
      </c>
      <c r="I16" s="137"/>
      <c r="J16" s="17"/>
      <c r="K16" s="21"/>
      <c r="L16" s="17"/>
    </row>
    <row r="17" spans="1:12" ht="15.75">
      <c r="A17" s="17"/>
      <c r="B17" s="36" t="s">
        <v>56</v>
      </c>
      <c r="C17" s="18" t="s">
        <v>49</v>
      </c>
      <c r="D17" s="38">
        <v>400</v>
      </c>
      <c r="E17" s="137"/>
      <c r="F17" s="36" t="s">
        <v>57</v>
      </c>
      <c r="G17" s="20" t="s">
        <v>53</v>
      </c>
      <c r="H17" s="94">
        <v>0.45</v>
      </c>
      <c r="I17" s="17"/>
      <c r="J17" s="17"/>
      <c r="K17" s="21"/>
      <c r="L17" s="17"/>
    </row>
    <row r="18" spans="1:12" ht="15.75">
      <c r="A18" s="17"/>
      <c r="B18" s="37" t="s">
        <v>58</v>
      </c>
      <c r="C18" s="17"/>
      <c r="D18" s="37"/>
      <c r="E18" s="17"/>
      <c r="F18" s="36" t="s">
        <v>59</v>
      </c>
      <c r="G18" s="20" t="s">
        <v>45</v>
      </c>
      <c r="H18" s="94">
        <v>20</v>
      </c>
      <c r="I18" s="137"/>
      <c r="J18" s="17"/>
      <c r="K18" s="21"/>
      <c r="L18" s="17"/>
    </row>
    <row r="19" spans="1:12" ht="15.75">
      <c r="A19" s="17"/>
      <c r="B19" s="36" t="s">
        <v>60</v>
      </c>
      <c r="C19" s="19" t="s">
        <v>61</v>
      </c>
      <c r="D19" s="43">
        <v>6</v>
      </c>
      <c r="E19" s="17"/>
      <c r="F19" s="37" t="s">
        <v>58</v>
      </c>
      <c r="G19" s="20" t="s">
        <v>62</v>
      </c>
      <c r="H19" s="94">
        <v>22</v>
      </c>
      <c r="I19" s="183"/>
      <c r="J19" s="17"/>
      <c r="K19" s="21"/>
      <c r="L19" s="17"/>
    </row>
    <row r="20" spans="1:12" ht="15.75">
      <c r="A20" s="17"/>
      <c r="B20" s="36" t="s">
        <v>63</v>
      </c>
      <c r="C20" s="19" t="s">
        <v>61</v>
      </c>
      <c r="D20" s="38">
        <v>5.5</v>
      </c>
      <c r="E20" s="137"/>
      <c r="F20" s="36" t="s">
        <v>64</v>
      </c>
      <c r="G20" s="20" t="s">
        <v>65</v>
      </c>
      <c r="H20" s="94">
        <v>13</v>
      </c>
      <c r="I20" s="18"/>
      <c r="J20" s="17"/>
      <c r="K20" s="140"/>
      <c r="L20" s="17"/>
    </row>
    <row r="21" spans="1:12" ht="15.75">
      <c r="A21" s="17"/>
      <c r="B21" s="186" t="s">
        <v>66</v>
      </c>
      <c r="C21" s="144" t="s">
        <v>67</v>
      </c>
      <c r="D21" s="128">
        <v>0.17</v>
      </c>
      <c r="E21" s="137"/>
      <c r="F21" s="36" t="s">
        <v>68</v>
      </c>
      <c r="G21" s="20" t="s">
        <v>69</v>
      </c>
      <c r="H21" s="184">
        <v>7.2499999999999995E-2</v>
      </c>
      <c r="I21" s="137"/>
      <c r="J21" s="141"/>
      <c r="K21" s="21"/>
      <c r="L21" s="17"/>
    </row>
    <row r="22" spans="1:12" ht="15.75">
      <c r="A22" s="17"/>
      <c r="B22" s="179"/>
      <c r="C22" s="179"/>
      <c r="D22" s="179"/>
      <c r="E22" s="17"/>
      <c r="F22" s="36" t="s">
        <v>70</v>
      </c>
      <c r="G22" s="20" t="s">
        <v>69</v>
      </c>
      <c r="H22" s="184">
        <v>7.0000000000000007E-2</v>
      </c>
      <c r="L22" s="17"/>
    </row>
    <row r="23" spans="1:12" ht="15.75">
      <c r="A23" s="17"/>
      <c r="B23" s="17"/>
      <c r="C23" s="17"/>
      <c r="D23" s="17"/>
      <c r="E23" s="17"/>
      <c r="F23" s="37" t="s">
        <v>71</v>
      </c>
      <c r="G23" s="20" t="s">
        <v>72</v>
      </c>
      <c r="H23" s="37"/>
      <c r="I23" s="94">
        <v>10.17</v>
      </c>
      <c r="J23" s="94">
        <v>3.87</v>
      </c>
      <c r="K23" s="94">
        <v>4.21</v>
      </c>
      <c r="L23" s="17"/>
    </row>
    <row r="24" spans="1:12" ht="15.75">
      <c r="A24" s="17"/>
      <c r="B24" s="185" t="s">
        <v>73</v>
      </c>
      <c r="C24" s="185"/>
      <c r="D24" s="185"/>
      <c r="E24" s="17"/>
      <c r="F24" s="142" t="s">
        <v>74</v>
      </c>
      <c r="G24" s="20" t="s">
        <v>72</v>
      </c>
      <c r="H24" s="142"/>
      <c r="I24" s="94">
        <v>4.53</v>
      </c>
      <c r="J24" s="94">
        <v>2.54</v>
      </c>
      <c r="K24" s="94">
        <v>2</v>
      </c>
      <c r="L24" s="17"/>
    </row>
    <row r="25" spans="1:12" ht="15.75">
      <c r="A25" s="17"/>
      <c r="B25" s="180" t="s">
        <v>75</v>
      </c>
      <c r="C25" s="181" t="s">
        <v>76</v>
      </c>
      <c r="D25" s="191">
        <v>2000</v>
      </c>
      <c r="E25" s="17"/>
      <c r="F25" s="36" t="s">
        <v>77</v>
      </c>
      <c r="G25" s="20" t="s">
        <v>72</v>
      </c>
      <c r="H25" s="36"/>
      <c r="I25" s="94">
        <v>4.03</v>
      </c>
      <c r="J25" s="94">
        <v>2.5099999999999998</v>
      </c>
      <c r="K25" s="94">
        <v>3.14</v>
      </c>
      <c r="L25" s="17"/>
    </row>
    <row r="26" spans="1:12" ht="15.75">
      <c r="A26" s="17"/>
      <c r="B26" s="143" t="s">
        <v>41</v>
      </c>
      <c r="C26" s="178" t="s">
        <v>78</v>
      </c>
      <c r="D26" s="128">
        <v>56</v>
      </c>
      <c r="E26" s="17"/>
      <c r="F26" s="74" t="s">
        <v>79</v>
      </c>
      <c r="G26" s="177" t="s">
        <v>72</v>
      </c>
      <c r="H26" s="74"/>
      <c r="I26" s="182">
        <v>3.28</v>
      </c>
      <c r="J26" s="182">
        <v>3.33</v>
      </c>
      <c r="K26" s="182">
        <v>1.75</v>
      </c>
      <c r="L26" s="22"/>
    </row>
    <row r="27" spans="1:12" ht="15.75" customHeight="1">
      <c r="A27" s="17"/>
      <c r="B27" s="1"/>
      <c r="C27" s="17"/>
      <c r="D27" s="86"/>
      <c r="E27" s="17"/>
      <c r="L27" s="22"/>
    </row>
    <row r="28" spans="1:12" ht="15.75">
      <c r="A28" s="17"/>
      <c r="B28" s="1" t="s">
        <v>80</v>
      </c>
      <c r="C28" s="1"/>
      <c r="D28" s="86"/>
      <c r="E28" s="17"/>
      <c r="L28" s="22"/>
    </row>
    <row r="29" spans="1:12" ht="15.75">
      <c r="A29" s="17"/>
      <c r="B29" s="145" t="s">
        <v>21</v>
      </c>
      <c r="C29" s="192">
        <v>2</v>
      </c>
      <c r="D29" s="86"/>
      <c r="E29" s="17"/>
      <c r="L29" s="22"/>
    </row>
    <row r="30" spans="1:12" ht="15.75">
      <c r="A30" s="17"/>
      <c r="B30" s="145" t="s">
        <v>81</v>
      </c>
      <c r="C30" s="192">
        <v>0.5</v>
      </c>
      <c r="D30" s="86"/>
      <c r="E30" s="17"/>
      <c r="L30" s="22"/>
    </row>
    <row r="31" spans="1:12" ht="71.45" customHeight="1">
      <c r="B31" s="217" t="s">
        <v>82</v>
      </c>
      <c r="C31" s="217"/>
      <c r="D31" s="217"/>
      <c r="E31" s="217"/>
      <c r="F31" s="217"/>
      <c r="G31" s="217"/>
      <c r="H31" s="217"/>
      <c r="I31" s="17"/>
      <c r="J31" s="17"/>
      <c r="K31" s="17"/>
      <c r="L31" s="17"/>
    </row>
    <row r="32" spans="1:12" ht="15.75">
      <c r="B32" s="1" t="s">
        <v>83</v>
      </c>
      <c r="C32" s="2"/>
      <c r="D32" s="1"/>
      <c r="G32" s="2"/>
      <c r="H32" s="1"/>
    </row>
    <row r="33" spans="2:8" ht="15.75">
      <c r="B33" s="1" t="s">
        <v>84</v>
      </c>
    </row>
    <row r="34" spans="2:8" ht="15.75" customHeight="1">
      <c r="B34" s="145" t="s">
        <v>85</v>
      </c>
      <c r="C34" s="19" t="s">
        <v>86</v>
      </c>
      <c r="D34" s="173">
        <v>0.52</v>
      </c>
    </row>
    <row r="35" spans="2:8" ht="15.75" customHeight="1">
      <c r="B35" s="145" t="s">
        <v>87</v>
      </c>
      <c r="C35" s="17" t="s">
        <v>88</v>
      </c>
      <c r="D35" s="173">
        <v>0.73</v>
      </c>
    </row>
    <row r="36" spans="2:8" ht="15.75" customHeight="1">
      <c r="B36" s="174" t="s">
        <v>89</v>
      </c>
      <c r="C36" s="175" t="s">
        <v>90</v>
      </c>
      <c r="D36" s="173">
        <v>0.42</v>
      </c>
    </row>
    <row r="37" spans="2:8" ht="15.75" customHeight="1">
      <c r="B37" s="36" t="s">
        <v>91</v>
      </c>
      <c r="C37" s="20" t="s">
        <v>92</v>
      </c>
      <c r="D37" s="173">
        <v>20</v>
      </c>
    </row>
    <row r="39" spans="2:8" ht="15.75" hidden="1">
      <c r="G39" s="2"/>
      <c r="H39" s="1"/>
    </row>
    <row r="40" spans="2:8" ht="15.75" hidden="1">
      <c r="G40" s="2"/>
      <c r="H40" s="1"/>
    </row>
    <row r="41" spans="2:8" ht="15.75" hidden="1">
      <c r="G41" s="2"/>
      <c r="H41" s="1"/>
    </row>
    <row r="42" spans="2:8" ht="15.75" hidden="1">
      <c r="H42" s="1"/>
    </row>
    <row r="43" spans="2:8" ht="15.75" hidden="1">
      <c r="H43" s="1"/>
    </row>
    <row r="44" spans="2:8" ht="15.75" hidden="1">
      <c r="H44" s="1"/>
    </row>
    <row r="45" spans="2:8" ht="15.75" hidden="1">
      <c r="H45" s="1"/>
    </row>
    <row r="46" spans="2:8" ht="15.75" hidden="1">
      <c r="H46" s="1"/>
    </row>
    <row r="49" customFormat="1" hidden="1"/>
    <row r="50" customFormat="1" hidden="1"/>
    <row r="51" customFormat="1" hidden="1"/>
    <row r="52" customFormat="1" hidden="1"/>
    <row r="53" customFormat="1" hidden="1"/>
    <row r="54" customFormat="1" hidden="1"/>
    <row r="55" customFormat="1" hidden="1"/>
    <row r="56" customFormat="1" hidden="1"/>
    <row r="57" customFormat="1" hidden="1"/>
    <row r="58" customFormat="1" hidden="1"/>
  </sheetData>
  <sheetProtection sheet="1" objects="1" scenarios="1"/>
  <mergeCells count="1">
    <mergeCell ref="B31:H31"/>
  </mergeCells>
  <pageMargins left="0.25" right="0.25" top="0.75" bottom="0.75" header="0.3" footer="0.3"/>
  <pageSetup paperSize="6" scale="58" fitToHeight="0" orientation="landscape" r:id="rId1"/>
  <ignoredErrors>
    <ignoredError sqref="D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DB7F-3A7C-4575-9B85-9AC50387D477}">
  <dimension ref="A1:Q57"/>
  <sheetViews>
    <sheetView showGridLines="0" topLeftCell="A15" zoomScale="115" zoomScaleNormal="115" workbookViewId="0">
      <selection activeCell="F30" sqref="F30"/>
    </sheetView>
  </sheetViews>
  <sheetFormatPr defaultColWidth="0" defaultRowHeight="12.75" zeroHeight="1"/>
  <cols>
    <col min="1" max="1" width="3.125" style="3" customWidth="1"/>
    <col min="2" max="2" width="40.625" style="3" customWidth="1"/>
    <col min="3" max="3" width="15.375" style="3" customWidth="1"/>
    <col min="4" max="5" width="12.5" style="3" customWidth="1"/>
    <col min="6" max="6" width="11.625" style="3" customWidth="1"/>
    <col min="7" max="7" width="3.125" style="3" customWidth="1"/>
    <col min="8" max="8" width="2.625" style="3" customWidth="1"/>
    <col min="9" max="9" width="9" style="3" customWidth="1"/>
    <col min="10" max="10" width="4.125" style="3" customWidth="1"/>
    <col min="11" max="11" width="9.125" style="3" bestFit="1" customWidth="1"/>
    <col min="12" max="16" width="9.125" style="3" customWidth="1"/>
    <col min="17" max="17" width="3.75" style="3" customWidth="1"/>
    <col min="18" max="16384" width="9" style="3" hidden="1"/>
  </cols>
  <sheetData>
    <row r="1" spans="2:16" ht="20.25" customHeight="1">
      <c r="B1" s="220" t="s">
        <v>93</v>
      </c>
      <c r="C1" s="221"/>
      <c r="D1" s="221"/>
      <c r="E1" s="221"/>
      <c r="F1" s="221"/>
      <c r="G1" s="47"/>
      <c r="H1" s="46"/>
      <c r="I1" s="46"/>
      <c r="J1" s="193"/>
      <c r="K1" s="194" t="s">
        <v>94</v>
      </c>
      <c r="L1" s="37"/>
      <c r="M1" s="37"/>
      <c r="N1" s="37"/>
      <c r="O1" s="37"/>
      <c r="P1" s="37"/>
    </row>
    <row r="2" spans="2:16" ht="16.5" customHeight="1">
      <c r="B2" s="225"/>
      <c r="C2" s="225"/>
      <c r="D2" s="19"/>
      <c r="E2" s="21"/>
      <c r="F2" s="19"/>
      <c r="G2" s="19"/>
      <c r="I2" s="7"/>
      <c r="J2" s="37"/>
      <c r="K2" s="37"/>
      <c r="L2" s="218" t="s">
        <v>21</v>
      </c>
      <c r="M2" s="218"/>
      <c r="N2" s="218"/>
      <c r="O2" s="218"/>
      <c r="P2" s="218"/>
    </row>
    <row r="3" spans="2:16" ht="16.5" customHeight="1">
      <c r="B3" s="35" t="s">
        <v>95</v>
      </c>
      <c r="C3" s="35" t="s">
        <v>12</v>
      </c>
      <c r="D3" s="52" t="s">
        <v>96</v>
      </c>
      <c r="E3" s="53" t="s">
        <v>97</v>
      </c>
      <c r="F3" s="53" t="s">
        <v>98</v>
      </c>
      <c r="G3" s="48"/>
      <c r="I3" s="7"/>
      <c r="J3" s="37"/>
      <c r="K3" s="195"/>
      <c r="L3" s="196">
        <f>M3-'Input sheet'!$C$29</f>
        <v>64.25</v>
      </c>
      <c r="M3" s="196">
        <f>N3-'Input sheet'!$C$29</f>
        <v>66.25</v>
      </c>
      <c r="N3" s="196">
        <f>F41</f>
        <v>68.25</v>
      </c>
      <c r="O3" s="196">
        <f>N3+'Input sheet'!$C$29</f>
        <v>70.25</v>
      </c>
      <c r="P3" s="197">
        <f>O3+'Input sheet'!$C$29</f>
        <v>72.25</v>
      </c>
    </row>
    <row r="4" spans="2:16" ht="16.5" customHeight="1">
      <c r="B4" s="55" t="s">
        <v>99</v>
      </c>
      <c r="C4" s="18" t="s">
        <v>100</v>
      </c>
      <c r="D4" s="138">
        <f>'Input sheet'!D7*(1-'Input sheet'!D12)*'Input sheet'!D15/100</f>
        <v>66.066000000000003</v>
      </c>
      <c r="E4" s="57">
        <f>F41</f>
        <v>68.25</v>
      </c>
      <c r="F4" s="57">
        <f>D4*E4</f>
        <v>4509.0045</v>
      </c>
      <c r="G4" s="49"/>
      <c r="I4" s="5"/>
      <c r="J4" s="219" t="s">
        <v>81</v>
      </c>
      <c r="K4" s="198">
        <f>K5-'Input sheet'!$C$30</f>
        <v>3.3</v>
      </c>
      <c r="L4" s="199">
        <f>ProfitFtF-$D$4*($F$41-L3)+$D$11*($F$46-$K4)/CornWt</f>
        <v>844.18080382832466</v>
      </c>
      <c r="M4" s="199">
        <f>ProfitFtF-$D$4*($F$41-M3)+$D$11*($F$46-$K4)/CornWt</f>
        <v>976.3128038283246</v>
      </c>
      <c r="N4" s="199">
        <f>ProfitFtF-$D$4*($F$41-N3)+$D$11*($F$46-$K4)/CornWt</f>
        <v>1108.4448038283247</v>
      </c>
      <c r="O4" s="199">
        <f>ProfitFtF-$D$4*($F$41-O3)+$D$11*($F$46-$K4)/CornWt</f>
        <v>1240.5768038283247</v>
      </c>
      <c r="P4" s="199">
        <f>ProfitFtF-$D$4*($F$41-P3)+$D$11*($F$46-$K4)/CornWt</f>
        <v>1372.7088038283248</v>
      </c>
    </row>
    <row r="5" spans="2:16" ht="16.5" customHeight="1">
      <c r="B5" s="55" t="s">
        <v>101</v>
      </c>
      <c r="C5" s="18" t="s">
        <v>100</v>
      </c>
      <c r="D5" s="138">
        <f>D19*'Input sheet'!D17/100*(1-'Input sheet'!D9)</f>
        <v>2.1755555555555559</v>
      </c>
      <c r="E5" s="57">
        <f>'Input sheet'!H9</f>
        <v>58.695</v>
      </c>
      <c r="F5" s="57">
        <f>D5*E5</f>
        <v>127.69423333333336</v>
      </c>
      <c r="G5" s="49"/>
      <c r="I5" s="5"/>
      <c r="J5" s="219"/>
      <c r="K5" s="198">
        <f>K6-'Input sheet'!$C$30</f>
        <v>3.8</v>
      </c>
      <c r="L5" s="199">
        <f>ProfitFtF-$D$4*($F$41-L3)+$D$11*($F$46-$K5)/CornWt</f>
        <v>729.00223239975321</v>
      </c>
      <c r="M5" s="199">
        <f>ProfitFtF-$D$4*($F$41-M3)+$D$11*($F$46-$K5)/CornWt</f>
        <v>861.13423239975316</v>
      </c>
      <c r="N5" s="199">
        <f>ProfitFtF-$D$4*($F$41-N3)+$D$11*($F$46-$K5)/CornWt</f>
        <v>993.26623239975322</v>
      </c>
      <c r="O5" s="199">
        <f>ProfitFtF-$D$4*($F$41-O3)+$D$11*($F$46-$K5)/CornWt</f>
        <v>1125.3982323997532</v>
      </c>
      <c r="P5" s="199">
        <f>ProfitFtF-$D$4*($F$41-P3)+$D$11*($F$46-$K5)/CornWt</f>
        <v>1257.5302323997532</v>
      </c>
    </row>
    <row r="6" spans="2:16" ht="16.5" customHeight="1">
      <c r="B6" s="58" t="s">
        <v>102</v>
      </c>
      <c r="C6" s="20" t="s">
        <v>103</v>
      </c>
      <c r="D6" s="190">
        <v>4.8</v>
      </c>
      <c r="E6" s="59">
        <v>17.72</v>
      </c>
      <c r="F6" s="146">
        <f>D6*E6</f>
        <v>85.055999999999997</v>
      </c>
      <c r="G6" s="49"/>
      <c r="I6" s="5"/>
      <c r="J6" s="219"/>
      <c r="K6" s="198">
        <f>F46</f>
        <v>4.3</v>
      </c>
      <c r="L6" s="199">
        <f>ProfitFtF-$D$4*($F$41-L3)+$D$11*($F$46-$K6)/CornWt</f>
        <v>613.82366097118177</v>
      </c>
      <c r="M6" s="199">
        <f>ProfitFtF-$D$4*($F$41-M3)+$D$11*($F$46-$K6)/CornWt</f>
        <v>745.95566097118171</v>
      </c>
      <c r="N6" s="199">
        <f>ProfitFtF-$D$4*($F$41-N3)+$D$11*($F$46-$K6)/CornWt</f>
        <v>878.08766097118178</v>
      </c>
      <c r="O6" s="199">
        <f>ProfitFtF-$D$4*($F$41-O3)+$D$11*($F$46-$K6)/CornWt</f>
        <v>1010.2196609711818</v>
      </c>
      <c r="P6" s="199">
        <f>ProfitFtF-$D$4*($F$41-P3)+$D$11*($F$46-$K6)/CornWt</f>
        <v>1142.3516609711819</v>
      </c>
    </row>
    <row r="7" spans="2:16" ht="16.5" customHeight="1">
      <c r="B7" s="54" t="s">
        <v>104</v>
      </c>
      <c r="C7" s="45"/>
      <c r="D7" s="60"/>
      <c r="F7" s="61">
        <f>SUM(F4:F6)</f>
        <v>4721.7547333333332</v>
      </c>
      <c r="G7" s="49"/>
      <c r="I7" s="8"/>
      <c r="J7" s="219"/>
      <c r="K7" s="198">
        <f>K6+'Input sheet'!$C$30</f>
        <v>4.8</v>
      </c>
      <c r="L7" s="199">
        <f>ProfitFtF-$D$4*($F$41-L3)+$D$11*($F$46-$K7)/CornWt</f>
        <v>498.64508954261032</v>
      </c>
      <c r="M7" s="199">
        <f>ProfitFtF-$D$4*($F$41-M3)+$D$11*($F$46-$K7)/CornWt</f>
        <v>630.77708954261027</v>
      </c>
      <c r="N7" s="199">
        <f>ProfitFtF-$D$4*($F$41-N3)+$D$11*($F$46-$K7)/CornWt</f>
        <v>762.90908954261033</v>
      </c>
      <c r="O7" s="199">
        <f>ProfitFtF-$D$4*($F$41-O3)+$D$11*($F$46-$K7)/CornWt</f>
        <v>895.04108954261039</v>
      </c>
      <c r="P7" s="199">
        <f>ProfitFtF-$D$4*($F$41-P3)+$D$11*($F$46-$K7)/CornWt</f>
        <v>1027.1730895426106</v>
      </c>
    </row>
    <row r="8" spans="2:16" ht="16.5" customHeight="1">
      <c r="B8" s="36"/>
      <c r="C8" s="45"/>
      <c r="D8" s="60"/>
      <c r="E8" s="45"/>
      <c r="F8" s="45"/>
      <c r="G8" s="147"/>
      <c r="I8" s="8"/>
      <c r="J8" s="219"/>
      <c r="K8" s="200">
        <f>K7+'Input sheet'!$C$30</f>
        <v>5.3</v>
      </c>
      <c r="L8" s="199">
        <f>ProfitFtF-$D$4*($F$41-L3)+$D$11*($F$46-$K8)/CornWt</f>
        <v>383.46651811403888</v>
      </c>
      <c r="M8" s="199">
        <f>ProfitFtF-$D$4*($F$41-M3)+$D$11*($F$46-$K8)/CornWt</f>
        <v>515.59851811403882</v>
      </c>
      <c r="N8" s="199">
        <f>ProfitFtF-$D$4*($F$41-N3)+$D$11*($F$46-$K8)/CornWt</f>
        <v>647.73051811403889</v>
      </c>
      <c r="O8" s="199">
        <f>ProfitFtF-$D$4*($F$41-O3)+$D$11*($F$46-$K8)/CornWt</f>
        <v>779.86251811403895</v>
      </c>
      <c r="P8" s="199">
        <f>ProfitFtF-$D$4*($F$41-P3)+$D$11*($F$46-$K8)/CornWt</f>
        <v>911.99451811403901</v>
      </c>
    </row>
    <row r="9" spans="2:16" ht="16.5" customHeight="1">
      <c r="B9" s="62" t="s">
        <v>105</v>
      </c>
      <c r="C9" s="35" t="s">
        <v>12</v>
      </c>
      <c r="D9" s="52" t="s">
        <v>96</v>
      </c>
      <c r="E9" s="53" t="s">
        <v>97</v>
      </c>
      <c r="F9" s="53" t="s">
        <v>98</v>
      </c>
      <c r="G9" s="147"/>
      <c r="I9" s="5"/>
    </row>
    <row r="10" spans="2:16" ht="16.5" customHeight="1">
      <c r="B10" s="58" t="s">
        <v>106</v>
      </c>
      <c r="C10" s="45"/>
      <c r="D10" s="60"/>
      <c r="E10" s="44"/>
      <c r="F10" s="57">
        <f>SUMPRODUCT(E11:E16,D11:D16)</f>
        <v>1431.4119142857141</v>
      </c>
      <c r="G10" s="49"/>
      <c r="I10" s="5"/>
    </row>
    <row r="11" spans="2:16" ht="16.5" customHeight="1">
      <c r="B11" s="63" t="s">
        <v>107</v>
      </c>
      <c r="C11" s="20" t="s">
        <v>108</v>
      </c>
      <c r="D11" s="64">
        <v>12900</v>
      </c>
      <c r="E11" s="207">
        <f>F46/'Input sheet'!D26</f>
        <v>7.6785714285714277E-2</v>
      </c>
      <c r="F11" s="148"/>
      <c r="G11" s="49"/>
      <c r="I11" s="205"/>
    </row>
    <row r="12" spans="2:16" ht="16.5" customHeight="1">
      <c r="B12" s="63" t="s">
        <v>109</v>
      </c>
      <c r="C12" s="20" t="s">
        <v>108</v>
      </c>
      <c r="D12" s="64">
        <v>1020</v>
      </c>
      <c r="E12" s="207">
        <f>'Input sheet'!H12/'Input sheet'!D25</f>
        <v>0.17</v>
      </c>
      <c r="F12" s="148"/>
      <c r="G12" s="49"/>
      <c r="I12" s="205"/>
    </row>
    <row r="13" spans="2:16" ht="16.5" customHeight="1">
      <c r="B13" s="63" t="s">
        <v>110</v>
      </c>
      <c r="C13" s="20" t="s">
        <v>108</v>
      </c>
      <c r="D13" s="64">
        <v>300</v>
      </c>
      <c r="E13" s="207">
        <f>'Input sheet'!H13/'Input sheet'!D25</f>
        <v>8.7499999999999994E-2</v>
      </c>
      <c r="F13" s="148"/>
      <c r="G13" s="49"/>
      <c r="I13" s="205"/>
    </row>
    <row r="14" spans="2:16" ht="16.5" customHeight="1">
      <c r="B14" s="63" t="s">
        <v>111</v>
      </c>
      <c r="C14" s="20" t="s">
        <v>108</v>
      </c>
      <c r="D14" s="64">
        <v>150</v>
      </c>
      <c r="E14" s="207">
        <f>'Input sheet'!H15</f>
        <v>0.5</v>
      </c>
      <c r="F14" s="148"/>
      <c r="G14" s="49"/>
      <c r="I14" s="205"/>
    </row>
    <row r="15" spans="2:16" ht="16.5" customHeight="1">
      <c r="B15" s="63" t="s">
        <v>112</v>
      </c>
      <c r="C15" s="20" t="s">
        <v>108</v>
      </c>
      <c r="D15" s="64">
        <v>48.97</v>
      </c>
      <c r="E15" s="207">
        <f>'Input sheet'!H17</f>
        <v>0.45</v>
      </c>
      <c r="F15" s="148"/>
      <c r="G15" s="49"/>
      <c r="I15" s="205"/>
    </row>
    <row r="16" spans="2:16" ht="16.5" customHeight="1">
      <c r="B16" s="63" t="s">
        <v>113</v>
      </c>
      <c r="C16" s="20" t="s">
        <v>114</v>
      </c>
      <c r="D16" s="149">
        <f>SUM(D11:D15)/'Input sheet'!D25</f>
        <v>7.2094849999999999</v>
      </c>
      <c r="E16" s="93">
        <f>'Input sheet'!H18</f>
        <v>20</v>
      </c>
      <c r="F16" s="148"/>
      <c r="G16" s="49"/>
      <c r="I16" s="205"/>
    </row>
    <row r="17" spans="2:11" ht="16.5" customHeight="1">
      <c r="B17" s="58" t="s">
        <v>58</v>
      </c>
      <c r="C17" s="20" t="s">
        <v>115</v>
      </c>
      <c r="D17" s="138">
        <f>'Input sheet'!D19*'Input sheet'!D4</f>
        <v>13.200000000000001</v>
      </c>
      <c r="E17" s="93">
        <f>'Input sheet'!H19</f>
        <v>22</v>
      </c>
      <c r="F17" s="57">
        <f t="shared" ref="F17" si="0">E17*D17</f>
        <v>290.40000000000003</v>
      </c>
      <c r="G17" s="49"/>
    </row>
    <row r="18" spans="2:11" ht="16.5" customHeight="1">
      <c r="B18" s="58" t="s">
        <v>116</v>
      </c>
      <c r="C18" s="20" t="s">
        <v>117</v>
      </c>
      <c r="D18" s="138">
        <f>D4</f>
        <v>66.066000000000003</v>
      </c>
      <c r="E18" s="93">
        <f>'Input sheet'!J23</f>
        <v>3.87</v>
      </c>
      <c r="F18" s="150">
        <f>E18*$D$18</f>
        <v>255.67542</v>
      </c>
      <c r="G18" s="49"/>
      <c r="J18" s="9"/>
    </row>
    <row r="19" spans="2:11" ht="16.5" customHeight="1">
      <c r="B19" s="58" t="s">
        <v>118</v>
      </c>
      <c r="C19" s="20" t="s">
        <v>119</v>
      </c>
      <c r="D19" s="151">
        <f>'Input sheet'!D4/'Input sheet'!D6</f>
        <v>0.61111111111111116</v>
      </c>
      <c r="E19" s="93">
        <f>'Input sheet'!H7</f>
        <v>301.10000000000002</v>
      </c>
      <c r="F19" s="57">
        <f>E19*D19</f>
        <v>184.00555555555559</v>
      </c>
      <c r="G19" s="49"/>
      <c r="J19" s="9"/>
      <c r="K19" s="10"/>
    </row>
    <row r="20" spans="2:11" ht="16.5" customHeight="1">
      <c r="B20" s="58" t="s">
        <v>120</v>
      </c>
      <c r="C20" s="20" t="s">
        <v>121</v>
      </c>
      <c r="D20" s="138">
        <f>'Input sheet'!D4</f>
        <v>2.2000000000000002</v>
      </c>
      <c r="E20" s="93">
        <f>IF('Input sheet'!J17&gt;0,'Input sheet'!J17,'Input sheet'!H20)</f>
        <v>13</v>
      </c>
      <c r="F20" s="57">
        <f>E20*D20</f>
        <v>28.6</v>
      </c>
      <c r="G20" s="51"/>
      <c r="J20" s="9"/>
      <c r="K20" s="10"/>
    </row>
    <row r="21" spans="2:11" ht="16.5" customHeight="1">
      <c r="B21" s="152" t="s">
        <v>122</v>
      </c>
      <c r="C21" s="20" t="s">
        <v>117</v>
      </c>
      <c r="D21" s="138">
        <f>D4</f>
        <v>66.066000000000003</v>
      </c>
      <c r="E21" s="93">
        <f>'Input sheet'!J24</f>
        <v>2.54</v>
      </c>
      <c r="F21" s="150">
        <f>E21*$D$4</f>
        <v>167.80764000000002</v>
      </c>
      <c r="G21" s="51"/>
      <c r="J21" s="9"/>
    </row>
    <row r="22" spans="2:11" ht="16.5" customHeight="1">
      <c r="B22" s="58" t="s">
        <v>123</v>
      </c>
      <c r="C22" s="20" t="s">
        <v>117</v>
      </c>
      <c r="D22" s="138">
        <f>D4</f>
        <v>66.066000000000003</v>
      </c>
      <c r="E22" s="93">
        <f>'Input sheet'!J25</f>
        <v>2.5099999999999998</v>
      </c>
      <c r="F22" s="150">
        <f>E22*$D$4</f>
        <v>165.82566</v>
      </c>
      <c r="G22" s="49"/>
      <c r="J22" s="9"/>
    </row>
    <row r="23" spans="2:11" ht="16.5" customHeight="1">
      <c r="B23" s="58" t="s">
        <v>124</v>
      </c>
      <c r="C23" s="20" t="s">
        <v>117</v>
      </c>
      <c r="D23" s="138">
        <f>D4</f>
        <v>66.066000000000003</v>
      </c>
      <c r="E23" s="93">
        <f>'Input sheet'!J26</f>
        <v>3.33</v>
      </c>
      <c r="F23" s="150">
        <f>E23*$D$4</f>
        <v>219.99978000000002</v>
      </c>
      <c r="G23" s="49"/>
      <c r="J23" s="9"/>
    </row>
    <row r="24" spans="2:11" ht="16.5" customHeight="1">
      <c r="B24" s="58" t="s">
        <v>68</v>
      </c>
      <c r="C24" s="20" t="s">
        <v>125</v>
      </c>
      <c r="D24" s="153">
        <v>6</v>
      </c>
      <c r="E24" s="68">
        <f>(1+'Input sheet'!H21)^(1/12) - 1</f>
        <v>5.8497409526456767E-3</v>
      </c>
      <c r="F24" s="154">
        <f>SUM(F10:F23)*(1+E24)^D24 - SUM(F10:F23)</f>
        <v>97.719882520881583</v>
      </c>
      <c r="G24" s="49"/>
      <c r="I24" s="5"/>
    </row>
    <row r="25" spans="2:11" ht="16.5" customHeight="1">
      <c r="B25" s="54" t="s">
        <v>126</v>
      </c>
      <c r="C25" s="45"/>
      <c r="D25" s="60"/>
      <c r="F25" s="61">
        <f>SUM(F10:F24)</f>
        <v>2841.4458523621515</v>
      </c>
      <c r="G25" s="49"/>
      <c r="H25" s="11"/>
      <c r="I25" s="5"/>
    </row>
    <row r="26" spans="2:11" ht="16.5" customHeight="1">
      <c r="B26" s="36"/>
      <c r="C26" s="45"/>
      <c r="D26" s="60"/>
      <c r="E26" s="45"/>
      <c r="F26" s="36"/>
      <c r="G26" s="20"/>
      <c r="I26" s="8"/>
    </row>
    <row r="27" spans="2:11" ht="16.5" customHeight="1">
      <c r="B27" s="62" t="s">
        <v>127</v>
      </c>
      <c r="C27" s="35" t="s">
        <v>12</v>
      </c>
      <c r="D27" s="52" t="s">
        <v>96</v>
      </c>
      <c r="E27" s="53" t="s">
        <v>97</v>
      </c>
      <c r="F27" s="53" t="s">
        <v>98</v>
      </c>
      <c r="G27" s="155"/>
      <c r="I27" s="4"/>
    </row>
    <row r="28" spans="2:11" ht="16.5" customHeight="1">
      <c r="B28" s="58" t="s">
        <v>128</v>
      </c>
      <c r="C28" s="20" t="s">
        <v>117</v>
      </c>
      <c r="D28" s="138">
        <f>D4</f>
        <v>66.066000000000003</v>
      </c>
      <c r="E28" s="59">
        <v>0.86</v>
      </c>
      <c r="F28" s="150">
        <f>E28*$D$28</f>
        <v>56.816760000000002</v>
      </c>
      <c r="G28" s="49"/>
      <c r="I28" s="5"/>
      <c r="J28" s="9"/>
    </row>
    <row r="29" spans="2:11" ht="16.5" customHeight="1">
      <c r="B29" s="58" t="s">
        <v>129</v>
      </c>
      <c r="C29" s="20" t="s">
        <v>117</v>
      </c>
      <c r="D29" s="138">
        <f>D4</f>
        <v>66.066000000000003</v>
      </c>
      <c r="E29" s="59">
        <f>14.31-F30/D4</f>
        <v>13.990970544606908</v>
      </c>
      <c r="F29" s="150">
        <f>E29*$D$29</f>
        <v>924.32745999999997</v>
      </c>
      <c r="G29" s="49"/>
      <c r="I29" s="5"/>
      <c r="J29" s="9"/>
    </row>
    <row r="30" spans="2:11" ht="16.5" customHeight="1">
      <c r="B30" s="58" t="s">
        <v>130</v>
      </c>
      <c r="C30" s="58"/>
      <c r="D30" s="58"/>
      <c r="E30" s="70"/>
      <c r="F30" s="154">
        <f>'Input sheet'!H22*'Input sheet'!H7</f>
        <v>21.077000000000005</v>
      </c>
      <c r="G30" s="49"/>
      <c r="I30" s="5"/>
    </row>
    <row r="31" spans="2:11" ht="16.5" customHeight="1">
      <c r="B31" s="54" t="s">
        <v>131</v>
      </c>
      <c r="C31" s="45"/>
      <c r="D31" s="37"/>
      <c r="F31" s="61">
        <f>SUM(F28:F30)</f>
        <v>1002.22122</v>
      </c>
      <c r="G31" s="49"/>
      <c r="H31" s="11"/>
      <c r="I31" s="5"/>
    </row>
    <row r="32" spans="2:11" ht="16.5" customHeight="1">
      <c r="B32" s="156"/>
      <c r="C32" s="45"/>
      <c r="D32" s="37"/>
      <c r="E32" s="37"/>
      <c r="F32" s="61"/>
      <c r="G32" s="49"/>
      <c r="I32" s="5"/>
    </row>
    <row r="33" spans="2:9" ht="16.5" customHeight="1">
      <c r="B33" s="156" t="s">
        <v>132</v>
      </c>
      <c r="C33" s="45"/>
      <c r="D33" s="37"/>
      <c r="F33" s="61">
        <f>F31+F25</f>
        <v>3843.6670723621514</v>
      </c>
      <c r="G33" s="49"/>
      <c r="I33" s="5"/>
    </row>
    <row r="34" spans="2:9" ht="16.5" customHeight="1">
      <c r="B34" s="74"/>
      <c r="C34" s="75"/>
      <c r="D34" s="76"/>
      <c r="E34" s="75"/>
      <c r="F34" s="75"/>
      <c r="G34" s="49"/>
      <c r="I34" s="8"/>
    </row>
    <row r="35" spans="2:9" ht="16.5" customHeight="1">
      <c r="B35" s="157" t="s">
        <v>133</v>
      </c>
      <c r="C35" s="158"/>
      <c r="D35" s="37"/>
      <c r="E35" s="45"/>
      <c r="F35" s="61">
        <f>F7-F25</f>
        <v>1880.3088809711817</v>
      </c>
      <c r="G35" s="49"/>
      <c r="I35" s="5"/>
    </row>
    <row r="36" spans="2:9" ht="16.5" customHeight="1">
      <c r="B36" s="78" t="s">
        <v>134</v>
      </c>
      <c r="C36" s="159"/>
      <c r="D36" s="160"/>
      <c r="E36" s="75"/>
      <c r="F36" s="77">
        <f>F7-F33</f>
        <v>878.08766097118178</v>
      </c>
      <c r="G36" s="49"/>
      <c r="I36" s="5"/>
    </row>
    <row r="37" spans="2:9" ht="16.5" customHeight="1">
      <c r="B37" s="36"/>
      <c r="C37" s="45"/>
      <c r="D37" s="45"/>
      <c r="E37" s="45"/>
      <c r="F37" s="44"/>
      <c r="G37" s="140"/>
      <c r="I37" s="4"/>
    </row>
    <row r="38" spans="2:9" ht="16.5" customHeight="1">
      <c r="B38" s="23"/>
      <c r="C38" s="20"/>
      <c r="D38" s="20"/>
      <c r="E38" s="21"/>
      <c r="F38" s="24"/>
      <c r="G38" s="24"/>
      <c r="I38" s="5"/>
    </row>
    <row r="39" spans="2:9" ht="16.5" customHeight="1">
      <c r="B39" s="110" t="s">
        <v>135</v>
      </c>
      <c r="C39" s="110"/>
      <c r="D39" s="110"/>
      <c r="E39" s="110"/>
      <c r="F39" s="110"/>
      <c r="G39" s="100"/>
    </row>
    <row r="40" spans="2:9" ht="16.5" customHeight="1">
      <c r="B40" s="109" t="s">
        <v>136</v>
      </c>
      <c r="C40" s="109" t="s">
        <v>96</v>
      </c>
      <c r="D40" s="226" t="s">
        <v>137</v>
      </c>
      <c r="E40" s="226"/>
      <c r="F40" s="127" t="s">
        <v>97</v>
      </c>
      <c r="G40" s="100"/>
    </row>
    <row r="41" spans="2:9" ht="16.5" customHeight="1">
      <c r="B41" s="111" t="s">
        <v>138</v>
      </c>
      <c r="C41" s="111">
        <f>'Input sheet'!D15</f>
        <v>280</v>
      </c>
      <c r="D41" s="222" t="s">
        <v>139</v>
      </c>
      <c r="E41" s="222"/>
      <c r="F41" s="112">
        <f>'Input sheet'!H4</f>
        <v>68.25</v>
      </c>
      <c r="G41" s="100"/>
    </row>
    <row r="42" spans="2:9" ht="16.5" customHeight="1">
      <c r="B42" s="111" t="s">
        <v>140</v>
      </c>
      <c r="C42" s="111">
        <f>'Input sheet'!D17</f>
        <v>400</v>
      </c>
      <c r="D42" s="222" t="s">
        <v>141</v>
      </c>
      <c r="E42" s="222"/>
      <c r="F42" s="112">
        <f>'Input sheet'!H9</f>
        <v>58.695</v>
      </c>
      <c r="G42" s="100"/>
    </row>
    <row r="43" spans="2:9" ht="16.5" customHeight="1">
      <c r="B43" s="111" t="s">
        <v>142</v>
      </c>
      <c r="C43" s="111">
        <f>'Input sheet'!D16</f>
        <v>280</v>
      </c>
      <c r="D43" s="222" t="s">
        <v>143</v>
      </c>
      <c r="E43" s="222"/>
      <c r="F43" s="112">
        <f>'Input sheet'!H7</f>
        <v>301.10000000000002</v>
      </c>
      <c r="G43" s="100"/>
    </row>
    <row r="44" spans="2:9" ht="16.5" customHeight="1">
      <c r="B44" s="111" t="s">
        <v>144</v>
      </c>
      <c r="C44" s="113">
        <f>D17</f>
        <v>13.200000000000001</v>
      </c>
      <c r="D44" s="222" t="s">
        <v>145</v>
      </c>
      <c r="E44" s="222"/>
      <c r="F44" s="112">
        <f>'Input sheet'!H19</f>
        <v>22</v>
      </c>
      <c r="G44" s="100"/>
    </row>
    <row r="45" spans="2:9" ht="16.5" customHeight="1">
      <c r="B45" s="111" t="s">
        <v>31</v>
      </c>
      <c r="C45" s="113">
        <f>'Input sheet'!D7</f>
        <v>24.200000000000003</v>
      </c>
      <c r="D45" s="223" t="s">
        <v>146</v>
      </c>
      <c r="E45" s="223"/>
      <c r="F45" s="112">
        <f>'Input sheet'!H18</f>
        <v>20</v>
      </c>
      <c r="G45" s="100"/>
    </row>
    <row r="46" spans="2:9" ht="16.5" customHeight="1">
      <c r="B46" s="111" t="s">
        <v>147</v>
      </c>
      <c r="C46" s="113">
        <f>D6</f>
        <v>4.8</v>
      </c>
      <c r="D46" s="224" t="s">
        <v>148</v>
      </c>
      <c r="E46" s="224"/>
      <c r="F46" s="112">
        <f>Pcorn</f>
        <v>4.3</v>
      </c>
      <c r="G46" s="100"/>
    </row>
    <row r="47" spans="2:9" ht="16.5" customHeight="1">
      <c r="B47" s="116" t="s">
        <v>149</v>
      </c>
      <c r="C47" s="161">
        <f>'Input sheet'!D10</f>
        <v>0.05</v>
      </c>
      <c r="D47" s="115"/>
      <c r="E47" s="116"/>
      <c r="F47" s="118"/>
      <c r="G47" s="37"/>
    </row>
    <row r="48" spans="2:9" ht="16.5" customHeight="1">
      <c r="B48" s="116" t="s">
        <v>150</v>
      </c>
      <c r="C48" s="162">
        <f>'Input sheet'!D9</f>
        <v>0.11</v>
      </c>
      <c r="D48" s="115"/>
      <c r="E48" s="116"/>
      <c r="F48" s="118"/>
      <c r="G48" s="37"/>
    </row>
    <row r="49" spans="2:9" ht="16.5" customHeight="1">
      <c r="B49" s="120" t="s">
        <v>151</v>
      </c>
      <c r="C49" s="203">
        <f>'Input sheet'!H21</f>
        <v>7.2499999999999995E-2</v>
      </c>
      <c r="D49" s="120"/>
      <c r="E49" s="120"/>
      <c r="F49" s="121"/>
      <c r="G49" s="100"/>
    </row>
    <row r="50" spans="2:9" ht="15.95" hidden="1" customHeight="1">
      <c r="B50" s="101"/>
      <c r="C50" s="100"/>
      <c r="D50" s="100"/>
      <c r="E50" s="100"/>
      <c r="F50" s="102"/>
      <c r="G50" s="100"/>
    </row>
    <row r="51" spans="2:9" ht="15.95" hidden="1" customHeight="1">
      <c r="B51" s="101"/>
      <c r="C51" s="100"/>
      <c r="D51" s="100"/>
      <c r="E51" s="100"/>
      <c r="F51" s="100"/>
      <c r="G51" s="100"/>
    </row>
    <row r="52" spans="2:9" ht="15.95" hidden="1" customHeight="1">
      <c r="B52" s="103"/>
      <c r="C52" s="95"/>
      <c r="D52" s="95"/>
      <c r="E52" s="95"/>
      <c r="F52" s="95"/>
      <c r="G52" s="95"/>
    </row>
    <row r="53" spans="2:9" hidden="1">
      <c r="B53" s="15"/>
      <c r="C53" s="15"/>
      <c r="D53" s="15"/>
      <c r="E53" s="15"/>
      <c r="F53" s="15"/>
      <c r="G53" s="15"/>
      <c r="H53" s="14"/>
      <c r="I53" s="14"/>
    </row>
    <row r="54" spans="2:9" hidden="1">
      <c r="B54" s="14"/>
      <c r="C54" s="14"/>
      <c r="D54" s="14"/>
      <c r="E54" s="14"/>
      <c r="F54" s="14"/>
      <c r="G54" s="14"/>
      <c r="H54" s="14"/>
      <c r="I54" s="14"/>
    </row>
    <row r="55" spans="2:9" hidden="1">
      <c r="B55" s="14"/>
      <c r="C55" s="14"/>
      <c r="D55" s="14"/>
      <c r="E55" s="14"/>
      <c r="F55" s="14"/>
      <c r="G55" s="14"/>
      <c r="H55" s="14"/>
      <c r="I55" s="14"/>
    </row>
    <row r="56" spans="2:9" hidden="1">
      <c r="B56" s="14"/>
      <c r="C56" s="14"/>
      <c r="D56" s="14"/>
      <c r="E56" s="14"/>
      <c r="F56" s="14"/>
      <c r="G56" s="14"/>
      <c r="H56" s="14"/>
      <c r="I56" s="14"/>
    </row>
    <row r="57" spans="2:9" hidden="1">
      <c r="B57" s="14"/>
      <c r="C57" s="14"/>
      <c r="D57" s="14"/>
      <c r="E57" s="14"/>
      <c r="F57" s="14"/>
      <c r="G57" s="14"/>
      <c r="H57" s="14"/>
      <c r="I57" s="14"/>
    </row>
  </sheetData>
  <sheetProtection sheet="1" objects="1" scenarios="1"/>
  <mergeCells count="11">
    <mergeCell ref="D46:E46"/>
    <mergeCell ref="B2:C2"/>
    <mergeCell ref="D41:E41"/>
    <mergeCell ref="D42:E42"/>
    <mergeCell ref="D43:E43"/>
    <mergeCell ref="D40:E40"/>
    <mergeCell ref="L2:P2"/>
    <mergeCell ref="J4:J8"/>
    <mergeCell ref="B1:F1"/>
    <mergeCell ref="D44:E44"/>
    <mergeCell ref="D45:E45"/>
  </mergeCells>
  <pageMargins left="0.7" right="0.7" top="0.75" bottom="0.75" header="0.3" footer="0.3"/>
  <pageSetup scale="81" orientation="portrait" r:id="rId1"/>
  <ignoredErrors>
    <ignoredError sqref="E14:E15 E21:F23 E18 F19 E20 E17:F17 E16 F6 D5:E5" unlockedFormula="1"/>
    <ignoredError sqref="F18"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B0A3-51BA-4088-9A94-56AC5912FCFF}">
  <dimension ref="A1:Q63"/>
  <sheetViews>
    <sheetView showGridLines="0" zoomScaleNormal="100" workbookViewId="0">
      <selection activeCell="J19" sqref="J19"/>
    </sheetView>
  </sheetViews>
  <sheetFormatPr defaultColWidth="0" defaultRowHeight="12.75" zeroHeight="1"/>
  <cols>
    <col min="1" max="1" width="3.125" style="3" customWidth="1"/>
    <col min="2" max="2" width="40.625" style="3" customWidth="1"/>
    <col min="3" max="3" width="13.875" style="3" customWidth="1"/>
    <col min="4" max="4" width="11.625" style="3" customWidth="1"/>
    <col min="5" max="5" width="15.375" style="3" customWidth="1"/>
    <col min="6" max="6" width="11.625" style="3" customWidth="1"/>
    <col min="7" max="7" width="3.125" style="3" customWidth="1"/>
    <col min="8" max="8" width="2.625" style="3" customWidth="1"/>
    <col min="9" max="9" width="9" style="3" customWidth="1"/>
    <col min="10" max="10" width="5.875" style="3" customWidth="1"/>
    <col min="11" max="16" width="9.125" style="3" customWidth="1"/>
    <col min="17" max="17" width="2.875" style="3" customWidth="1"/>
    <col min="18" max="16384" width="9" style="3" hidden="1"/>
  </cols>
  <sheetData>
    <row r="1" spans="2:16" ht="20.25" customHeight="1">
      <c r="B1" s="227" t="s">
        <v>152</v>
      </c>
      <c r="C1" s="227"/>
      <c r="D1" s="227"/>
      <c r="E1" s="227"/>
      <c r="F1" s="227"/>
      <c r="G1" s="47"/>
      <c r="H1" s="12"/>
      <c r="J1" s="37"/>
      <c r="K1" s="194" t="s">
        <v>94</v>
      </c>
      <c r="L1" s="37"/>
      <c r="M1" s="37"/>
      <c r="N1" s="37"/>
      <c r="O1" s="37"/>
      <c r="P1" s="37"/>
    </row>
    <row r="2" spans="2:16" ht="16.5" customHeight="1">
      <c r="B2" s="79"/>
      <c r="C2" s="79"/>
      <c r="E2" s="5"/>
      <c r="H2" s="7"/>
      <c r="J2" s="37"/>
      <c r="K2" s="37"/>
      <c r="L2" s="218" t="s">
        <v>25</v>
      </c>
      <c r="M2" s="218"/>
      <c r="N2" s="218"/>
      <c r="O2" s="218"/>
      <c r="P2" s="218"/>
    </row>
    <row r="3" spans="2:16" ht="16.5" customHeight="1">
      <c r="B3" s="35" t="s">
        <v>95</v>
      </c>
      <c r="C3" s="35" t="s">
        <v>12</v>
      </c>
      <c r="D3" s="52" t="s">
        <v>96</v>
      </c>
      <c r="E3" s="53" t="s">
        <v>97</v>
      </c>
      <c r="F3" s="53" t="s">
        <v>98</v>
      </c>
      <c r="G3" s="48"/>
      <c r="H3" s="7"/>
      <c r="J3" s="37"/>
      <c r="K3" s="195"/>
      <c r="L3" s="196">
        <f>M3-'Input sheet'!$C$29</f>
        <v>60.849999999999994</v>
      </c>
      <c r="M3" s="196">
        <f>N3-'Input sheet'!$C$29</f>
        <v>62.849999999999994</v>
      </c>
      <c r="N3" s="196">
        <f>F41</f>
        <v>64.849999999999994</v>
      </c>
      <c r="O3" s="196">
        <f>N3+'Input sheet'!$C$29</f>
        <v>66.849999999999994</v>
      </c>
      <c r="P3" s="197">
        <f>O3+'Input sheet'!$C$29</f>
        <v>68.849999999999994</v>
      </c>
    </row>
    <row r="4" spans="2:16" ht="16.5" customHeight="1">
      <c r="B4" s="55" t="s">
        <v>153</v>
      </c>
      <c r="C4" s="80" t="s">
        <v>154</v>
      </c>
      <c r="D4" s="40">
        <f>'Input sheet'!D7*(1-'Input sheet'!D11)</f>
        <v>23.595000000000002</v>
      </c>
      <c r="E4" s="56">
        <f>F41</f>
        <v>64.849999999999994</v>
      </c>
      <c r="F4" s="69">
        <f>D4*E4</f>
        <v>1530.1357499999999</v>
      </c>
      <c r="G4" s="49"/>
      <c r="H4" s="5"/>
      <c r="J4" s="219" t="s">
        <v>81</v>
      </c>
      <c r="K4" s="198">
        <f>K5-'Input sheet'!$C$30</f>
        <v>3.3</v>
      </c>
      <c r="L4" s="199">
        <f>ProfitF2F-$D$4*($F$41-L$3)+$D$11*($F$46-K4)/CornWt</f>
        <v>66.063696184692816</v>
      </c>
      <c r="M4" s="199">
        <f>ProfitF2F-$D$4*($F$41-M3)+$D$11*($F$46-$K4)/CornWt</f>
        <v>113.25369618469283</v>
      </c>
      <c r="N4" s="199">
        <f>ProfitF2F-$D$4*($F$41-N3)+$D$11*($F$46-$K4)/CornWt</f>
        <v>160.44369618469284</v>
      </c>
      <c r="O4" s="199">
        <f>ProfitF2F-$D$4*($F$41-O3)+$D$11*($F$46-$K4)/CornWt</f>
        <v>207.63369618469284</v>
      </c>
      <c r="P4" s="199">
        <f>ProfitF2F-$D$4*($F$41-P3)+$D$11*($F$46-$K4)/CornWt</f>
        <v>254.82369618469284</v>
      </c>
    </row>
    <row r="5" spans="2:16" ht="16.5" customHeight="1">
      <c r="B5" s="58" t="s">
        <v>101</v>
      </c>
      <c r="C5" s="80" t="s">
        <v>100</v>
      </c>
      <c r="D5" s="40">
        <f>'Input sheet'!D17/100*D19*(1-'Input sheet'!D9)</f>
        <v>2.1755555555555559</v>
      </c>
      <c r="E5" s="56">
        <f>'Input sheet'!H9</f>
        <v>58.695</v>
      </c>
      <c r="F5" s="57">
        <f>D5*E5</f>
        <v>127.69423333333336</v>
      </c>
      <c r="G5" s="49"/>
      <c r="H5" s="5"/>
      <c r="J5" s="219"/>
      <c r="K5" s="198">
        <f>K6-'Input sheet'!$C$30</f>
        <v>3.8</v>
      </c>
      <c r="L5" s="199">
        <f>ProfitF2F-$D$4*($F$41-L3)+$D$11*($F$46-$K5)/CornWt</f>
        <v>42.974410470407101</v>
      </c>
      <c r="M5" s="199">
        <f>ProfitF2F-$D$4*($F$41-M3)+$D$11*($F$46-$K5)/CornWt</f>
        <v>90.16441047040712</v>
      </c>
      <c r="N5" s="199">
        <f>ProfitF2F-$D$4*($F$41-N3)+$D$11*($F$46-$K5)/CornWt</f>
        <v>137.35441047040712</v>
      </c>
      <c r="O5" s="199">
        <f>ProfitF2F-$D$4*($F$41-O3)+$D$11*($F$46-$K5)/CornWt</f>
        <v>184.54441047040712</v>
      </c>
      <c r="P5" s="199">
        <f>ProfitF2F-$D$4*($F$41-P3)+$D$11*($F$46-$K5)/CornWt</f>
        <v>231.73441047040711</v>
      </c>
    </row>
    <row r="6" spans="2:16" ht="16.5" customHeight="1">
      <c r="B6" s="58" t="s">
        <v>102</v>
      </c>
      <c r="C6" s="20" t="s">
        <v>103</v>
      </c>
      <c r="D6" s="190">
        <v>1.47</v>
      </c>
      <c r="E6" s="94">
        <v>8.8699999999999992</v>
      </c>
      <c r="F6" s="146">
        <f>D6*E6</f>
        <v>13.038899999999998</v>
      </c>
      <c r="G6" s="49"/>
      <c r="H6" s="5"/>
      <c r="J6" s="219"/>
      <c r="K6" s="198">
        <f>F46</f>
        <v>4.3</v>
      </c>
      <c r="L6" s="199">
        <f>ProfitF2F-$D$4*($F$41-L3)+$D$11*($F$46-$K6)/CornWt</f>
        <v>19.885124756121385</v>
      </c>
      <c r="M6" s="199">
        <f>ProfitF2F-$D$4*($F$41-M3)+$D$11*($F$46-$K6)/CornWt</f>
        <v>67.075124756121397</v>
      </c>
      <c r="N6" s="199">
        <f>ProfitF2F-$D$4*($F$41-N3)+$D$11*($F$46-$K6)/CornWt</f>
        <v>114.26512475612139</v>
      </c>
      <c r="O6" s="199">
        <f>ProfitF2F-$D$4*($F$41-O3)+$D$11*($F$46-$K6)/CornWt</f>
        <v>161.45512475612139</v>
      </c>
      <c r="P6" s="199">
        <f>ProfitF2F-$D$4*($F$41-P3)+$D$11*($F$46-$K6)/CornWt</f>
        <v>208.64512475612139</v>
      </c>
    </row>
    <row r="7" spans="2:16" ht="16.5" customHeight="1">
      <c r="B7" s="54" t="s">
        <v>104</v>
      </c>
      <c r="C7" s="81"/>
      <c r="D7" s="82"/>
      <c r="E7" s="60"/>
      <c r="F7" s="61">
        <f>SUM(F4:F6)</f>
        <v>1670.8688833333333</v>
      </c>
      <c r="G7" s="49"/>
      <c r="H7" s="8"/>
      <c r="J7" s="219"/>
      <c r="K7" s="198">
        <f>K6+'Input sheet'!$C$30</f>
        <v>4.8</v>
      </c>
      <c r="L7" s="199">
        <f>ProfitF2F-$D$4*($F$41-L3)+$D$11*($F$46-$K7)/CornWt</f>
        <v>-3.20416095816433</v>
      </c>
      <c r="M7" s="199">
        <f>ProfitF2F-$D$4*($F$41-M3)+$D$11*($F$46-$K7)/CornWt</f>
        <v>43.985839041835682</v>
      </c>
      <c r="N7" s="199">
        <f>ProfitF2F-$D$4*($F$41-N3)+$D$11*($F$46-$K7)/CornWt</f>
        <v>91.175839041835673</v>
      </c>
      <c r="O7" s="199">
        <f>ProfitF2F-$D$4*($F$41-O3)+$D$11*($F$46-$K7)/CornWt</f>
        <v>138.36583904183567</v>
      </c>
      <c r="P7" s="199">
        <f>ProfitF2F-$D$4*($F$41-P3)+$D$11*($F$46-$K7)/CornWt</f>
        <v>185.55583904183567</v>
      </c>
    </row>
    <row r="8" spans="2:16" ht="16.5" customHeight="1">
      <c r="B8" s="36"/>
      <c r="C8" s="20"/>
      <c r="D8" s="36"/>
      <c r="E8" s="45"/>
      <c r="F8" s="45"/>
      <c r="G8" s="19"/>
      <c r="H8" s="8"/>
      <c r="J8" s="219"/>
      <c r="K8" s="200">
        <f>K7+'Input sheet'!$C$30</f>
        <v>5.3</v>
      </c>
      <c r="L8" s="199">
        <f>ProfitF2F-$D$4*($F$41-L3)+$D$11*($F$46-$K8)/CornWt</f>
        <v>-26.293446672450045</v>
      </c>
      <c r="M8" s="199">
        <f>ProfitF2F-$D$4*($F$41-M3)+$D$11*($F$46-$K8)/CornWt</f>
        <v>20.896553327549967</v>
      </c>
      <c r="N8" s="199">
        <f>ProfitF2F-$D$4*($F$41-N3)+$D$11*($F$46-$K8)/CornWt</f>
        <v>68.086553327549964</v>
      </c>
      <c r="O8" s="199">
        <f>ProfitF2F-$D$4*($F$41-O3)+$D$11*($F$46-$K8)/CornWt</f>
        <v>115.27655332754996</v>
      </c>
      <c r="P8" s="199">
        <f>ProfitF2F-$D$4*($F$41-P3)+$D$11*($F$46-$K8)/CornWt</f>
        <v>162.46655332754995</v>
      </c>
    </row>
    <row r="9" spans="2:16" ht="16.5" customHeight="1">
      <c r="B9" s="62" t="s">
        <v>105</v>
      </c>
      <c r="C9" s="35" t="s">
        <v>12</v>
      </c>
      <c r="D9" s="52" t="s">
        <v>96</v>
      </c>
      <c r="E9" s="53" t="s">
        <v>97</v>
      </c>
      <c r="F9" s="53" t="s">
        <v>98</v>
      </c>
      <c r="G9" s="19"/>
      <c r="H9" s="5"/>
    </row>
    <row r="10" spans="2:16" ht="16.5" customHeight="1">
      <c r="B10" s="58" t="s">
        <v>106</v>
      </c>
      <c r="C10" s="50"/>
      <c r="D10" s="58"/>
      <c r="E10" s="44"/>
      <c r="F10" s="69">
        <f>SUMPRODUCT(D11:D16,E11:E16)</f>
        <v>392.28035714285716</v>
      </c>
      <c r="G10" s="49"/>
      <c r="H10" s="5"/>
    </row>
    <row r="11" spans="2:16" ht="16.5" customHeight="1">
      <c r="B11" s="63" t="s">
        <v>107</v>
      </c>
      <c r="C11" s="20" t="s">
        <v>108</v>
      </c>
      <c r="D11" s="43">
        <v>2586</v>
      </c>
      <c r="E11" s="206">
        <f>F46/'Input sheet'!D26</f>
        <v>7.6785714285714277E-2</v>
      </c>
      <c r="F11" s="65"/>
      <c r="G11" s="49"/>
      <c r="H11" s="5"/>
      <c r="I11" s="11"/>
    </row>
    <row r="12" spans="2:16" ht="16.5" customHeight="1">
      <c r="B12" s="63" t="s">
        <v>109</v>
      </c>
      <c r="C12" s="20" t="s">
        <v>108</v>
      </c>
      <c r="D12" s="43">
        <v>605</v>
      </c>
      <c r="E12" s="206">
        <f>'Input sheet'!H12/poundton</f>
        <v>0.17</v>
      </c>
      <c r="F12" s="65"/>
      <c r="G12" s="49"/>
      <c r="H12" s="5"/>
      <c r="I12" s="11"/>
    </row>
    <row r="13" spans="2:16" ht="16.5" customHeight="1">
      <c r="B13" s="63" t="s">
        <v>110</v>
      </c>
      <c r="C13" s="20" t="s">
        <v>108</v>
      </c>
      <c r="D13" s="43">
        <v>91</v>
      </c>
      <c r="E13" s="206">
        <f>'Input sheet'!H13/poundton</f>
        <v>8.7499999999999994E-2</v>
      </c>
      <c r="F13" s="65"/>
      <c r="G13" s="49"/>
      <c r="H13" s="5"/>
      <c r="I13" s="11"/>
      <c r="K13" s="11"/>
    </row>
    <row r="14" spans="2:16" ht="16.5" customHeight="1">
      <c r="B14" s="63" t="s">
        <v>111</v>
      </c>
      <c r="C14" s="20" t="s">
        <v>108</v>
      </c>
      <c r="D14" s="43">
        <v>54</v>
      </c>
      <c r="E14" s="206">
        <f>'Input sheet'!H15</f>
        <v>0.5</v>
      </c>
      <c r="F14" s="65"/>
      <c r="G14" s="49"/>
      <c r="H14" s="5"/>
      <c r="I14" s="11"/>
    </row>
    <row r="15" spans="2:16" ht="16.5" customHeight="1">
      <c r="B15" s="63" t="s">
        <v>112</v>
      </c>
      <c r="C15" s="20" t="s">
        <v>108</v>
      </c>
      <c r="D15" s="43">
        <v>49</v>
      </c>
      <c r="E15" s="206">
        <f>'Input sheet'!H17</f>
        <v>0.45</v>
      </c>
      <c r="F15" s="65"/>
      <c r="G15" s="49"/>
      <c r="H15" s="5"/>
      <c r="I15" s="11"/>
    </row>
    <row r="16" spans="2:16" ht="16.5" customHeight="1">
      <c r="B16" s="63" t="s">
        <v>113</v>
      </c>
      <c r="C16" s="20" t="s">
        <v>114</v>
      </c>
      <c r="D16" s="60">
        <f>SUM(D11:D15)/poundton</f>
        <v>1.6924999999999999</v>
      </c>
      <c r="E16" s="56">
        <f>'Input sheet'!H18</f>
        <v>20</v>
      </c>
      <c r="F16" s="65"/>
      <c r="G16" s="49"/>
      <c r="H16" s="5"/>
      <c r="I16" s="11"/>
    </row>
    <row r="17" spans="2:9" ht="16.5" customHeight="1">
      <c r="B17" s="58" t="s">
        <v>58</v>
      </c>
      <c r="C17" s="20" t="s">
        <v>155</v>
      </c>
      <c r="D17" s="83">
        <f>'Input sheet'!D20*'Input sheet'!D4</f>
        <v>12.100000000000001</v>
      </c>
      <c r="E17" s="56">
        <f>'Input sheet'!H19</f>
        <v>22</v>
      </c>
      <c r="F17" s="69">
        <f>D17*E17</f>
        <v>266.20000000000005</v>
      </c>
      <c r="G17" s="49"/>
      <c r="H17" s="5"/>
    </row>
    <row r="18" spans="2:9" ht="16.5" customHeight="1">
      <c r="B18" s="58" t="s">
        <v>116</v>
      </c>
      <c r="C18" s="20" t="s">
        <v>156</v>
      </c>
      <c r="D18" s="138">
        <f>$C$46</f>
        <v>11.797500000000003</v>
      </c>
      <c r="E18" s="56">
        <f>'Input sheet'!I23</f>
        <v>10.17</v>
      </c>
      <c r="F18" s="66">
        <f>D18*E18</f>
        <v>119.98057500000003</v>
      </c>
      <c r="G18" s="49"/>
      <c r="H18" s="13"/>
    </row>
    <row r="19" spans="2:9" ht="16.5" customHeight="1">
      <c r="B19" s="58" t="s">
        <v>118</v>
      </c>
      <c r="C19" s="20" t="s">
        <v>119</v>
      </c>
      <c r="D19" s="67">
        <f>'Input sheet'!D4/'Input sheet'!D6</f>
        <v>0.61111111111111116</v>
      </c>
      <c r="E19" s="56">
        <f>'Input sheet'!H7</f>
        <v>301.10000000000002</v>
      </c>
      <c r="F19" s="66">
        <f>E19*D19</f>
        <v>184.00555555555559</v>
      </c>
      <c r="G19" s="49"/>
    </row>
    <row r="20" spans="2:9" ht="16.5" customHeight="1">
      <c r="B20" s="58" t="s">
        <v>120</v>
      </c>
      <c r="C20" s="20" t="s">
        <v>121</v>
      </c>
      <c r="D20" s="37">
        <f>'Input sheet'!D4</f>
        <v>2.2000000000000002</v>
      </c>
      <c r="E20" s="56">
        <f>'Input sheet'!H20</f>
        <v>13</v>
      </c>
      <c r="F20" s="66">
        <f>E20*D20</f>
        <v>28.6</v>
      </c>
      <c r="G20" s="51"/>
    </row>
    <row r="21" spans="2:9" ht="16.5" customHeight="1">
      <c r="B21" s="58" t="s">
        <v>122</v>
      </c>
      <c r="C21" s="18" t="s">
        <v>157</v>
      </c>
      <c r="D21" s="138">
        <f t="shared" ref="D21:D23" si="0">$C$46</f>
        <v>11.797500000000003</v>
      </c>
      <c r="E21" s="56">
        <f>'Input sheet'!I24</f>
        <v>4.53</v>
      </c>
      <c r="F21" s="66">
        <f>E21*D21</f>
        <v>53.442675000000015</v>
      </c>
      <c r="G21" s="51"/>
      <c r="H21" s="5"/>
    </row>
    <row r="22" spans="2:9" ht="16.5" customHeight="1">
      <c r="B22" s="58" t="s">
        <v>123</v>
      </c>
      <c r="C22" s="18" t="s">
        <v>157</v>
      </c>
      <c r="D22" s="138">
        <f t="shared" si="0"/>
        <v>11.797500000000003</v>
      </c>
      <c r="E22" s="56">
        <f>'Input sheet'!I25</f>
        <v>4.03</v>
      </c>
      <c r="F22" s="66">
        <f t="shared" ref="F22:F23" si="1">E22*D22</f>
        <v>47.543925000000016</v>
      </c>
      <c r="G22" s="49"/>
      <c r="H22" s="5"/>
    </row>
    <row r="23" spans="2:9" ht="16.5" customHeight="1">
      <c r="B23" s="58" t="s">
        <v>124</v>
      </c>
      <c r="C23" s="18" t="s">
        <v>157</v>
      </c>
      <c r="D23" s="138">
        <f t="shared" si="0"/>
        <v>11.797500000000003</v>
      </c>
      <c r="E23" s="56">
        <f>'Input sheet'!I26</f>
        <v>3.28</v>
      </c>
      <c r="F23" s="66">
        <f t="shared" si="1"/>
        <v>38.695800000000006</v>
      </c>
      <c r="G23" s="49"/>
      <c r="H23" s="5"/>
    </row>
    <row r="24" spans="2:9" ht="16.5" customHeight="1">
      <c r="B24" s="58" t="s">
        <v>68</v>
      </c>
      <c r="C24" s="129" t="s">
        <v>125</v>
      </c>
      <c r="D24" s="138">
        <v>3.5</v>
      </c>
      <c r="E24" s="68">
        <f>(1+'Input sheet'!H21)^(1/12) - 1</f>
        <v>5.8497409526456767E-3</v>
      </c>
      <c r="F24" s="73">
        <f>SUM(F10:F23)*(1+E24)^D24 - SUM(F10:F23)</f>
        <v>23.320838378799181</v>
      </c>
      <c r="G24" s="49"/>
      <c r="H24" s="5"/>
    </row>
    <row r="25" spans="2:9" ht="16.5" customHeight="1">
      <c r="B25" s="54" t="s">
        <v>126</v>
      </c>
      <c r="C25" s="20"/>
      <c r="D25" s="82"/>
      <c r="E25" s="45"/>
      <c r="F25" s="61">
        <f>SUM(F10:F24)</f>
        <v>1154.069726077212</v>
      </c>
      <c r="G25" s="49"/>
      <c r="H25" s="5"/>
      <c r="I25" s="11"/>
    </row>
    <row r="26" spans="2:9" ht="16.5" customHeight="1">
      <c r="B26" s="36"/>
      <c r="C26" s="20"/>
      <c r="D26" s="36"/>
      <c r="E26" s="45"/>
      <c r="F26" s="36"/>
      <c r="G26" s="19"/>
      <c r="H26" s="8"/>
    </row>
    <row r="27" spans="2:9" ht="16.5" customHeight="1">
      <c r="B27" s="62" t="s">
        <v>127</v>
      </c>
      <c r="C27" s="35" t="s">
        <v>12</v>
      </c>
      <c r="D27" s="52" t="s">
        <v>96</v>
      </c>
      <c r="E27" s="53" t="s">
        <v>97</v>
      </c>
      <c r="F27" s="53" t="s">
        <v>98</v>
      </c>
      <c r="G27" s="19"/>
      <c r="H27" s="4"/>
    </row>
    <row r="28" spans="2:9" ht="16.5" customHeight="1">
      <c r="B28" s="58" t="s">
        <v>128</v>
      </c>
      <c r="C28" s="18" t="s">
        <v>157</v>
      </c>
      <c r="D28" s="138">
        <f t="shared" ref="D28:D29" si="2">$C$46</f>
        <v>11.797500000000003</v>
      </c>
      <c r="E28" s="59">
        <v>1.827</v>
      </c>
      <c r="F28" s="66">
        <f>E28*D28</f>
        <v>21.554032500000005</v>
      </c>
      <c r="G28" s="49"/>
      <c r="H28" s="5"/>
    </row>
    <row r="29" spans="2:9" ht="16.5" customHeight="1">
      <c r="B29" s="58" t="s">
        <v>129</v>
      </c>
      <c r="C29" s="18" t="s">
        <v>157</v>
      </c>
      <c r="D29" s="138">
        <f t="shared" si="2"/>
        <v>11.797500000000003</v>
      </c>
      <c r="E29" s="59">
        <f>31.4-F30/D4</f>
        <v>30.50671752489934</v>
      </c>
      <c r="F29" s="66">
        <f>E29*D29</f>
        <v>359.90300000000008</v>
      </c>
      <c r="G29" s="49"/>
      <c r="H29" s="5"/>
    </row>
    <row r="30" spans="2:9" ht="16.5" customHeight="1">
      <c r="B30" s="58" t="s">
        <v>130</v>
      </c>
      <c r="C30" s="58"/>
      <c r="D30" s="58"/>
      <c r="E30" s="70"/>
      <c r="F30" s="73">
        <f>'Input sheet'!H22*'Input sheet'!H7</f>
        <v>21.077000000000005</v>
      </c>
      <c r="G30" s="49"/>
      <c r="I30" s="5"/>
    </row>
    <row r="31" spans="2:9" ht="16.5" customHeight="1">
      <c r="B31" s="54" t="s">
        <v>131</v>
      </c>
      <c r="C31" s="82"/>
      <c r="D31" s="82"/>
      <c r="E31" s="45"/>
      <c r="F31" s="61">
        <f>SUM(F28:F30)</f>
        <v>402.53403250000008</v>
      </c>
      <c r="G31" s="49"/>
      <c r="H31" s="5"/>
    </row>
    <row r="32" spans="2:9" ht="16.5" customHeight="1">
      <c r="B32" s="54"/>
      <c r="C32" s="82"/>
      <c r="D32" s="82"/>
      <c r="E32" s="45"/>
      <c r="F32" s="61"/>
      <c r="G32" s="19"/>
      <c r="H32" s="5"/>
    </row>
    <row r="33" spans="2:9" ht="16.5" customHeight="1">
      <c r="B33" s="54" t="s">
        <v>132</v>
      </c>
      <c r="C33" s="82"/>
      <c r="D33" s="82"/>
      <c r="E33" s="60"/>
      <c r="F33" s="61">
        <f>F31+F25</f>
        <v>1556.6037585772119</v>
      </c>
      <c r="G33" s="49"/>
      <c r="H33" s="8"/>
      <c r="I33" s="11"/>
    </row>
    <row r="34" spans="2:9" ht="16.5" customHeight="1">
      <c r="B34" s="36"/>
      <c r="C34" s="36"/>
      <c r="D34" s="36"/>
      <c r="E34" s="45"/>
      <c r="F34" s="45"/>
      <c r="G34" s="19"/>
      <c r="H34" s="5"/>
    </row>
    <row r="35" spans="2:9" ht="16.5" customHeight="1">
      <c r="B35" s="104" t="s">
        <v>133</v>
      </c>
      <c r="C35" s="105"/>
      <c r="D35" s="105"/>
      <c r="E35" s="106"/>
      <c r="F35" s="107">
        <f>F7-F25</f>
        <v>516.79915725612136</v>
      </c>
      <c r="G35" s="49"/>
      <c r="H35" s="8"/>
    </row>
    <row r="36" spans="2:9" ht="16.5" customHeight="1">
      <c r="B36" s="78" t="s">
        <v>134</v>
      </c>
      <c r="C36" s="74"/>
      <c r="D36" s="74"/>
      <c r="E36" s="75"/>
      <c r="F36" s="77">
        <f>F7-F33</f>
        <v>114.26512475612139</v>
      </c>
      <c r="G36" s="49"/>
      <c r="H36" s="5"/>
    </row>
    <row r="37" spans="2:9" ht="16.5" customHeight="1">
      <c r="B37" s="19"/>
      <c r="C37" s="19"/>
      <c r="D37" s="19"/>
      <c r="E37" s="19"/>
      <c r="F37" s="19"/>
      <c r="G37" s="19"/>
    </row>
    <row r="38" spans="2:9" ht="15.95" customHeight="1">
      <c r="B38" s="97"/>
      <c r="C38" s="98"/>
      <c r="D38" s="97"/>
      <c r="E38" s="97"/>
      <c r="F38" s="99"/>
      <c r="G38" s="19"/>
    </row>
    <row r="39" spans="2:9" ht="16.5" customHeight="1">
      <c r="B39" s="110" t="s">
        <v>158</v>
      </c>
      <c r="C39" s="110"/>
      <c r="D39" s="110"/>
      <c r="E39" s="110"/>
      <c r="F39" s="110"/>
      <c r="G39" s="25"/>
    </row>
    <row r="40" spans="2:9" ht="16.5" customHeight="1">
      <c r="B40" s="109" t="s">
        <v>159</v>
      </c>
      <c r="C40" s="109" t="s">
        <v>96</v>
      </c>
      <c r="D40" s="226" t="s">
        <v>137</v>
      </c>
      <c r="E40" s="226"/>
      <c r="F40" s="127" t="s">
        <v>97</v>
      </c>
      <c r="G40" s="25"/>
    </row>
    <row r="41" spans="2:9" ht="16.5" customHeight="1">
      <c r="B41" s="111" t="s">
        <v>160</v>
      </c>
      <c r="C41" s="111">
        <f>'Input sheet'!D14</f>
        <v>50</v>
      </c>
      <c r="D41" s="222" t="s">
        <v>161</v>
      </c>
      <c r="E41" s="222"/>
      <c r="F41" s="112">
        <f>'Input sheet'!H5</f>
        <v>64.849999999999994</v>
      </c>
      <c r="G41" s="25"/>
    </row>
    <row r="42" spans="2:9" ht="16.5" customHeight="1">
      <c r="B42" s="111" t="s">
        <v>140</v>
      </c>
      <c r="C42" s="111">
        <f>'Input sheet'!D17</f>
        <v>400</v>
      </c>
      <c r="D42" s="222" t="s">
        <v>141</v>
      </c>
      <c r="E42" s="222"/>
      <c r="F42" s="112">
        <f>'Input sheet'!H9</f>
        <v>58.695</v>
      </c>
      <c r="G42" s="25"/>
    </row>
    <row r="43" spans="2:9" ht="16.5" customHeight="1">
      <c r="B43" s="111" t="s">
        <v>142</v>
      </c>
      <c r="C43" s="111">
        <f>'Input sheet'!D16</f>
        <v>280</v>
      </c>
      <c r="D43" s="222" t="s">
        <v>162</v>
      </c>
      <c r="E43" s="222"/>
      <c r="F43" s="112">
        <f>'Input sheet'!H7</f>
        <v>301.10000000000002</v>
      </c>
      <c r="G43" s="25"/>
    </row>
    <row r="44" spans="2:9" ht="16.5" customHeight="1">
      <c r="B44" s="111" t="s">
        <v>163</v>
      </c>
      <c r="C44" s="113">
        <f>D17</f>
        <v>12.100000000000001</v>
      </c>
      <c r="D44" s="222" t="s">
        <v>145</v>
      </c>
      <c r="E44" s="222"/>
      <c r="F44" s="112">
        <f>'Input sheet'!H19</f>
        <v>22</v>
      </c>
      <c r="G44" s="25"/>
    </row>
    <row r="45" spans="2:9" ht="16.5" customHeight="1">
      <c r="B45" s="111" t="s">
        <v>164</v>
      </c>
      <c r="C45" s="113">
        <f>'Input sheet'!D7</f>
        <v>24.200000000000003</v>
      </c>
      <c r="D45" s="223" t="s">
        <v>146</v>
      </c>
      <c r="E45" s="223"/>
      <c r="F45" s="112">
        <f>'Input sheet'!H18</f>
        <v>20</v>
      </c>
      <c r="G45" s="25"/>
    </row>
    <row r="46" spans="2:9" ht="16.5" customHeight="1">
      <c r="B46" s="111" t="s">
        <v>165</v>
      </c>
      <c r="C46" s="113">
        <f>'Input sheet'!D14*D4/100</f>
        <v>11.797500000000003</v>
      </c>
      <c r="D46" s="224" t="s">
        <v>148</v>
      </c>
      <c r="E46" s="224"/>
      <c r="F46" s="112">
        <f>Pcorn</f>
        <v>4.3</v>
      </c>
      <c r="G46" s="25"/>
    </row>
    <row r="47" spans="2:9" ht="16.5" customHeight="1">
      <c r="B47" s="111" t="s">
        <v>147</v>
      </c>
      <c r="C47" s="113">
        <f>D6</f>
        <v>1.47</v>
      </c>
      <c r="G47" s="25"/>
    </row>
    <row r="48" spans="2:9" ht="16.5" customHeight="1">
      <c r="B48" s="116" t="s">
        <v>166</v>
      </c>
      <c r="C48" s="117">
        <f>'Input sheet'!D11</f>
        <v>2.5000000000000001E-2</v>
      </c>
      <c r="D48" s="115"/>
      <c r="E48" s="116"/>
      <c r="F48" s="118"/>
      <c r="G48" s="19"/>
    </row>
    <row r="49" spans="2:7" ht="16.5" customHeight="1">
      <c r="B49" s="116" t="s">
        <v>150</v>
      </c>
      <c r="C49" s="119">
        <f>'Input sheet'!D9</f>
        <v>0.11</v>
      </c>
      <c r="D49" s="115"/>
      <c r="E49" s="116"/>
      <c r="F49" s="118"/>
      <c r="G49" s="19"/>
    </row>
    <row r="50" spans="2:7" ht="15">
      <c r="B50" s="120" t="s">
        <v>151</v>
      </c>
      <c r="C50" s="203">
        <f>'Input sheet'!H21</f>
        <v>7.2499999999999995E-2</v>
      </c>
      <c r="D50" s="120"/>
      <c r="E50" s="120"/>
      <c r="F50" s="121"/>
      <c r="G50" s="25"/>
    </row>
    <row r="51" spans="2:7" ht="15.95" hidden="1" customHeight="1">
      <c r="B51" s="101"/>
      <c r="C51" s="100"/>
      <c r="D51" s="100"/>
      <c r="E51" s="100"/>
      <c r="F51" s="102"/>
      <c r="G51" s="25"/>
    </row>
    <row r="52" spans="2:7" ht="15.95" hidden="1" customHeight="1">
      <c r="B52" s="101"/>
      <c r="C52" s="100"/>
      <c r="D52" s="100"/>
      <c r="E52" s="100"/>
      <c r="F52" s="100"/>
      <c r="G52" s="25"/>
    </row>
    <row r="53" spans="2:7" ht="15.95" hidden="1" customHeight="1">
      <c r="B53" s="103"/>
      <c r="C53" s="95"/>
      <c r="D53" s="95"/>
      <c r="E53" s="95"/>
      <c r="F53" s="95"/>
      <c r="G53" s="26"/>
    </row>
    <row r="54" spans="2:7" ht="13.5" hidden="1">
      <c r="B54" s="23"/>
      <c r="C54" s="20"/>
      <c r="D54" s="20"/>
      <c r="E54" s="21"/>
      <c r="F54" s="24"/>
      <c r="G54" s="19"/>
    </row>
    <row r="55" spans="2:7" ht="13.5" hidden="1">
      <c r="B55" s="23"/>
      <c r="C55" s="20"/>
      <c r="D55" s="20"/>
      <c r="E55" s="21"/>
      <c r="F55" s="24"/>
      <c r="G55" s="19"/>
    </row>
    <row r="56" spans="2:7" ht="13.5" hidden="1">
      <c r="B56" s="23"/>
      <c r="C56" s="20"/>
      <c r="D56" s="20"/>
      <c r="E56" s="21"/>
      <c r="F56" s="24"/>
      <c r="G56" s="19"/>
    </row>
    <row r="57" spans="2:7" ht="13.5" hidden="1">
      <c r="B57" s="23"/>
      <c r="C57" s="20"/>
      <c r="D57" s="20"/>
      <c r="E57" s="21"/>
      <c r="F57" s="24"/>
      <c r="G57" s="19"/>
    </row>
    <row r="58" spans="2:7" ht="13.5" hidden="1">
      <c r="B58" s="23"/>
      <c r="C58" s="20"/>
      <c r="D58" s="20"/>
      <c r="E58" s="21"/>
      <c r="F58" s="24"/>
      <c r="G58" s="19"/>
    </row>
    <row r="59" spans="2:7" ht="13.5" hidden="1">
      <c r="B59" s="23"/>
      <c r="C59" s="20"/>
      <c r="D59" s="20"/>
      <c r="E59" s="21"/>
      <c r="F59" s="24"/>
      <c r="G59" s="19"/>
    </row>
    <row r="60" spans="2:7" ht="13.5" hidden="1">
      <c r="B60" s="23"/>
      <c r="C60" s="20"/>
      <c r="D60" s="20"/>
      <c r="E60" s="21"/>
      <c r="F60" s="24"/>
      <c r="G60" s="19"/>
    </row>
    <row r="61" spans="2:7" ht="13.5" hidden="1">
      <c r="B61" s="23"/>
      <c r="C61" s="20"/>
      <c r="D61" s="20"/>
      <c r="E61" s="21"/>
      <c r="F61" s="24"/>
      <c r="G61" s="19"/>
    </row>
    <row r="62" spans="2:7" ht="13.5" hidden="1">
      <c r="B62" s="19"/>
      <c r="C62" s="19"/>
      <c r="D62" s="19"/>
      <c r="E62" s="19"/>
      <c r="F62" s="19"/>
    </row>
    <row r="63" spans="2:7" ht="13.5" hidden="1">
      <c r="B63" s="19"/>
      <c r="C63" s="19"/>
      <c r="D63" s="19"/>
      <c r="E63" s="19"/>
      <c r="F63" s="19"/>
    </row>
  </sheetData>
  <sheetProtection sheet="1" objects="1" scenarios="1"/>
  <mergeCells count="10">
    <mergeCell ref="D46:E46"/>
    <mergeCell ref="D41:E41"/>
    <mergeCell ref="D42:E42"/>
    <mergeCell ref="D43:E43"/>
    <mergeCell ref="D44:E44"/>
    <mergeCell ref="L2:P2"/>
    <mergeCell ref="J4:J8"/>
    <mergeCell ref="B1:F1"/>
    <mergeCell ref="D40:E40"/>
    <mergeCell ref="D45:E45"/>
  </mergeCells>
  <pageMargins left="0.7" right="0.7" top="0.75" bottom="0.75" header="0.3" footer="0.3"/>
  <pageSetup scale="81" orientation="portrait" r:id="rId1"/>
  <ignoredErrors>
    <ignoredError sqref="E5 F19:F20 E21:E23 F22:F23 F28:F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89F7-33CE-44E3-9D9C-F211D39FE03E}">
  <dimension ref="A1:S1048548"/>
  <sheetViews>
    <sheetView showGridLines="0" topLeftCell="A26" zoomScaleNormal="100" workbookViewId="0">
      <selection activeCell="M25" sqref="M25"/>
    </sheetView>
  </sheetViews>
  <sheetFormatPr defaultColWidth="0" defaultRowHeight="15.75" zeroHeight="1"/>
  <cols>
    <col min="1" max="1" width="2.625" style="3" customWidth="1"/>
    <col min="2" max="2" width="40.625" style="3" customWidth="1"/>
    <col min="3" max="3" width="12.625" style="3" customWidth="1"/>
    <col min="4" max="8" width="11.625" style="3" customWidth="1"/>
    <col min="9" max="9" width="3.125" style="3" customWidth="1"/>
    <col min="10" max="10" width="2.625" style="3" customWidth="1"/>
    <col min="11" max="11" width="4.25" style="3" customWidth="1"/>
    <col min="12" max="12" width="4.625" style="37" customWidth="1"/>
    <col min="13" max="18" width="9.125" style="37" customWidth="1"/>
    <col min="19" max="19" width="3.625" style="37" customWidth="1"/>
    <col min="20" max="16384" width="9" style="3" hidden="1"/>
  </cols>
  <sheetData>
    <row r="1" spans="2:18" ht="20.25" customHeight="1">
      <c r="B1" s="227" t="s">
        <v>8</v>
      </c>
      <c r="C1" s="227"/>
      <c r="D1" s="227"/>
      <c r="E1" s="227"/>
      <c r="F1" s="227"/>
      <c r="G1" s="227"/>
      <c r="H1" s="227"/>
      <c r="I1" s="47"/>
      <c r="M1" s="194" t="s">
        <v>167</v>
      </c>
    </row>
    <row r="2" spans="2:18" ht="16.5" customHeight="1">
      <c r="B2" s="84"/>
      <c r="C2" s="85"/>
      <c r="G2" s="5"/>
      <c r="H2" s="12"/>
      <c r="I2" s="4"/>
      <c r="N2" s="218" t="s">
        <v>21</v>
      </c>
      <c r="O2" s="218"/>
      <c r="P2" s="218"/>
      <c r="Q2" s="218"/>
      <c r="R2" s="218"/>
    </row>
    <row r="3" spans="2:18" ht="16.5" customHeight="1">
      <c r="B3" s="35" t="s">
        <v>95</v>
      </c>
      <c r="C3" s="52" t="s">
        <v>168</v>
      </c>
      <c r="D3" s="35" t="s">
        <v>12</v>
      </c>
      <c r="E3" s="52" t="s">
        <v>96</v>
      </c>
      <c r="F3" s="35" t="s">
        <v>12</v>
      </c>
      <c r="G3" s="53" t="s">
        <v>97</v>
      </c>
      <c r="H3" s="53" t="s">
        <v>169</v>
      </c>
      <c r="I3" s="71"/>
      <c r="M3" s="195"/>
      <c r="N3" s="196">
        <f>O3-'Input sheet'!$C$29</f>
        <v>64.25</v>
      </c>
      <c r="O3" s="196">
        <f>P3-'Input sheet'!$C$29</f>
        <v>66.25</v>
      </c>
      <c r="P3" s="196">
        <f>F38</f>
        <v>68.25</v>
      </c>
      <c r="Q3" s="196">
        <f>P3+'Input sheet'!$C$29</f>
        <v>70.25</v>
      </c>
      <c r="R3" s="197">
        <f>Q3+'Input sheet'!$C$29</f>
        <v>72.25</v>
      </c>
    </row>
    <row r="4" spans="2:18" ht="16.5" customHeight="1">
      <c r="B4" s="55" t="s">
        <v>170</v>
      </c>
      <c r="C4" s="86">
        <f>'Input sheet'!D15/100</f>
        <v>2.8</v>
      </c>
      <c r="D4" s="18" t="s">
        <v>171</v>
      </c>
      <c r="E4" s="38">
        <v>100</v>
      </c>
      <c r="F4" s="18" t="s">
        <v>172</v>
      </c>
      <c r="G4" s="56">
        <f>'Input sheet'!H4</f>
        <v>68.25</v>
      </c>
      <c r="H4" s="69">
        <f>C4*E4*G4</f>
        <v>19110</v>
      </c>
      <c r="I4" s="72"/>
      <c r="L4" s="219" t="s">
        <v>81</v>
      </c>
      <c r="M4" s="198">
        <f>M5-'Input sheet'!$C$30</f>
        <v>3.3</v>
      </c>
      <c r="N4" s="199">
        <f>ProfitFin-$C$4*$E$4*($F$38-N3)+$E$11*($F$40-$M4)/CornWt</f>
        <v>789.96846994417297</v>
      </c>
      <c r="O4" s="199">
        <f>ProfitFin-$C$4*$E$4*($F$38-O3)+$E$11*($F$40-$M4)/CornWt</f>
        <v>1349.968469944173</v>
      </c>
      <c r="P4" s="199">
        <f>ProfitFin-$C$4*$E$4*($F$38-P3)+$E$11*($F$40-$M4)/CornWt</f>
        <v>1909.968469944173</v>
      </c>
      <c r="Q4" s="199">
        <f>ProfitFin-$C$4*$E$4*($F$38-Q3)+$E$11*($F$40-$M4)/CornWt</f>
        <v>2469.9684699441732</v>
      </c>
      <c r="R4" s="199">
        <f>ProfitFin-$C$4*$E$4*($F$38-R3)+$E$11*($F$40-$M4)/CornWt</f>
        <v>3029.9684699441732</v>
      </c>
    </row>
    <row r="5" spans="2:18" ht="16.5" customHeight="1">
      <c r="B5" s="58" t="s">
        <v>102</v>
      </c>
      <c r="C5" s="45"/>
      <c r="E5" s="190">
        <v>10.23</v>
      </c>
      <c r="F5" s="20" t="s">
        <v>103</v>
      </c>
      <c r="G5" s="59">
        <v>41.08</v>
      </c>
      <c r="H5" s="146">
        <f>E5*G5</f>
        <v>420.2484</v>
      </c>
      <c r="I5" s="72"/>
      <c r="L5" s="219"/>
      <c r="M5" s="198">
        <f>M6-'Input sheet'!$C$30</f>
        <v>3.8</v>
      </c>
      <c r="N5" s="199">
        <f>ProfitFin-$C$4*$E$4*($F$38-N3)+$E$11*($F$40-$M5)/CornWt</f>
        <v>343.53989851560152</v>
      </c>
      <c r="O5" s="199">
        <f>ProfitFin-$C$4*$E$4*($F$38-O3)+$E$11*($F$40-$M5)/CornWt</f>
        <v>903.53989851560152</v>
      </c>
      <c r="P5" s="199">
        <f>ProfitFin-$C$4*$E$4*($F$38-P3)+$E$11*($F$40-$M5)/CornWt</f>
        <v>1463.5398985156016</v>
      </c>
      <c r="Q5" s="199">
        <f>ProfitFin-$C$4*$E$4*($F$38-Q3)+$E$11*($F$40-$M5)/CornWt</f>
        <v>2023.5398985156016</v>
      </c>
      <c r="R5" s="199">
        <f>ProfitFin-$C$4*$E$4*($F$38-R3)+$E$11*($F$40-$M5)/CornWt</f>
        <v>2583.5398985156016</v>
      </c>
    </row>
    <row r="6" spans="2:18" ht="16.5" customHeight="1">
      <c r="B6" s="54" t="s">
        <v>173</v>
      </c>
      <c r="C6" s="45"/>
      <c r="D6" s="20"/>
      <c r="E6" s="45"/>
      <c r="F6" s="20"/>
      <c r="G6" s="45"/>
      <c r="H6" s="61">
        <f>SUM(H4:H5)</f>
        <v>19530.2484</v>
      </c>
      <c r="I6" s="72"/>
      <c r="L6" s="219"/>
      <c r="M6" s="198">
        <f>F40</f>
        <v>4.3</v>
      </c>
      <c r="N6" s="199">
        <f>ProfitFin-$C$4*$E$4*($F$38-N3)+$E$11*($F$40-$M6)/CornWt</f>
        <v>-102.88867291296992</v>
      </c>
      <c r="O6" s="199">
        <f>ProfitFin-$C$4*$E$4*($F$38-O3)+$E$11*($F$40-$M6)/CornWt</f>
        <v>457.11132708703008</v>
      </c>
      <c r="P6" s="199">
        <f>ProfitFin-$C$4*$E$4*($F$38-P3)+$E$11*($F$40-$M6)/CornWt</f>
        <v>1017.1113270870301</v>
      </c>
      <c r="Q6" s="199">
        <f>ProfitFin-$C$4*$E$4*($F$38-Q3)+$E$11*($F$40-$M6)/CornWt</f>
        <v>1577.1113270870301</v>
      </c>
      <c r="R6" s="199">
        <f>ProfitFin-$C$4*$E$4*($F$38-R3)+$E$11*($F$40-$M6)/CornWt</f>
        <v>2137.1113270870301</v>
      </c>
    </row>
    <row r="7" spans="2:18" ht="16.5" customHeight="1">
      <c r="B7" s="36"/>
      <c r="C7" s="45"/>
      <c r="D7" s="20"/>
      <c r="E7" s="60"/>
      <c r="F7" s="20"/>
      <c r="G7" s="45"/>
      <c r="H7" s="45"/>
      <c r="L7" s="219"/>
      <c r="M7" s="198">
        <f>M6+'Input sheet'!$C$30</f>
        <v>4.8</v>
      </c>
      <c r="N7" s="199">
        <f>ProfitFin-$C$4*$E$4*($F$38-N3)+$E$11*($F$40-$M7)/CornWt</f>
        <v>-549.31724434154137</v>
      </c>
      <c r="O7" s="199">
        <f>ProfitFin-$C$4*$E$4*($F$38-O3)+$E$11*($F$40-$M7)/CornWt</f>
        <v>10.682755658458632</v>
      </c>
      <c r="P7" s="199">
        <f>ProfitFin-$C$4*$E$4*($F$38-P3)+$E$11*($F$40-$M7)/CornWt</f>
        <v>570.68275565845863</v>
      </c>
      <c r="Q7" s="199">
        <f>ProfitFin-$C$4*$E$4*($F$38-Q3)+$E$11*($F$40-$M7)/CornWt</f>
        <v>1130.6827556584585</v>
      </c>
      <c r="R7" s="199">
        <f>ProfitFin-$C$4*$E$4*($F$38-R3)+$E$11*($F$40-$M7)/CornWt</f>
        <v>1690.6827556584585</v>
      </c>
    </row>
    <row r="8" spans="2:18" ht="16.5" customHeight="1">
      <c r="B8" s="62" t="s">
        <v>105</v>
      </c>
      <c r="C8" s="52" t="s">
        <v>168</v>
      </c>
      <c r="D8" s="35" t="s">
        <v>12</v>
      </c>
      <c r="E8" s="52" t="s">
        <v>96</v>
      </c>
      <c r="F8" s="35" t="s">
        <v>12</v>
      </c>
      <c r="G8" s="53" t="s">
        <v>97</v>
      </c>
      <c r="H8" s="53" t="s">
        <v>169</v>
      </c>
      <c r="L8" s="219"/>
      <c r="M8" s="200">
        <f>M7+'Input sheet'!$C$30</f>
        <v>5.3</v>
      </c>
      <c r="N8" s="199">
        <f>ProfitFin-$C$4*$E$4*($F$38-N3)+$E$11*($F$40-$M8)/CornWt</f>
        <v>-995.74581577011281</v>
      </c>
      <c r="O8" s="199">
        <f>ProfitFin-$C$4*$E$4*($F$38-O3)+$E$11*($F$40-$M8)/CornWt</f>
        <v>-435.74581577011281</v>
      </c>
      <c r="P8" s="199">
        <f>ProfitFin-$C$4*$E$4*($F$38-P3)+$E$11*($F$40-$M8)/CornWt</f>
        <v>124.25418422988719</v>
      </c>
      <c r="Q8" s="199">
        <f>ProfitFin-$C$4*$E$4*($F$38-Q3)+$E$11*($F$40-$M8)/CornWt</f>
        <v>684.25418422988719</v>
      </c>
      <c r="R8" s="199">
        <f>ProfitFin-$C$4*$E$4*($F$38-R3)+$E$11*($F$40-$M8)/CornWt</f>
        <v>1244.2541842298872</v>
      </c>
    </row>
    <row r="9" spans="2:18" ht="16.5" customHeight="1">
      <c r="B9" s="58" t="s">
        <v>174</v>
      </c>
      <c r="C9" s="202">
        <f>'Input sheet'!D11</f>
        <v>2.5000000000000001E-2</v>
      </c>
      <c r="D9" s="18" t="s">
        <v>175</v>
      </c>
      <c r="E9" s="87">
        <f>E4*(1+C9)</f>
        <v>102.49999999999999</v>
      </c>
      <c r="F9" s="80" t="s">
        <v>154</v>
      </c>
      <c r="G9" s="56">
        <f>'Input sheet'!H5</f>
        <v>64.849999999999994</v>
      </c>
      <c r="H9" s="69">
        <f>E9*G9</f>
        <v>6647.1249999999982</v>
      </c>
      <c r="I9" s="72"/>
    </row>
    <row r="10" spans="2:18" ht="16.5" customHeight="1">
      <c r="B10" s="58" t="s">
        <v>106</v>
      </c>
      <c r="C10" s="45"/>
      <c r="D10" s="20"/>
      <c r="E10" s="60"/>
      <c r="F10" s="20"/>
      <c r="G10" s="56"/>
      <c r="H10" s="69">
        <f>SUMPRODUCT(E11:E15,G11:G15)</f>
        <v>6841.7857142857138</v>
      </c>
      <c r="I10" s="72"/>
    </row>
    <row r="11" spans="2:18" ht="16.5" customHeight="1">
      <c r="B11" s="63" t="s">
        <v>107</v>
      </c>
      <c r="C11" s="88">
        <v>500</v>
      </c>
      <c r="D11" s="18" t="s">
        <v>176</v>
      </c>
      <c r="E11" s="89">
        <f>C11*$E$4</f>
        <v>50000</v>
      </c>
      <c r="F11" s="90" t="s">
        <v>177</v>
      </c>
      <c r="G11" s="206">
        <f>'Input sheet'!H11/'Input sheet'!D26</f>
        <v>7.6785714285714277E-2</v>
      </c>
      <c r="H11" s="65"/>
      <c r="I11" s="72"/>
      <c r="M11" s="204"/>
    </row>
    <row r="12" spans="2:18" ht="16.5" customHeight="1">
      <c r="B12" s="63" t="s">
        <v>109</v>
      </c>
      <c r="C12" s="88">
        <f>0.2*C11</f>
        <v>100</v>
      </c>
      <c r="D12" s="18" t="s">
        <v>176</v>
      </c>
      <c r="E12" s="89">
        <f t="shared" ref="E12:E14" si="0">C12*$E$4</f>
        <v>10000</v>
      </c>
      <c r="F12" s="90" t="s">
        <v>177</v>
      </c>
      <c r="G12" s="206">
        <f>'Input sheet'!H12/poundton</f>
        <v>0.17</v>
      </c>
      <c r="H12" s="65"/>
      <c r="I12" s="72"/>
      <c r="M12" s="204"/>
    </row>
    <row r="13" spans="2:18" ht="16.5" customHeight="1">
      <c r="B13" s="63" t="s">
        <v>178</v>
      </c>
      <c r="C13" s="88">
        <v>30</v>
      </c>
      <c r="D13" s="18" t="s">
        <v>176</v>
      </c>
      <c r="E13" s="89">
        <f t="shared" si="0"/>
        <v>3000</v>
      </c>
      <c r="F13" s="90" t="s">
        <v>177</v>
      </c>
      <c r="G13" s="206">
        <f>'Input sheet'!H13/poundton</f>
        <v>8.7499999999999994E-2</v>
      </c>
      <c r="H13" s="65"/>
      <c r="I13" s="72"/>
      <c r="M13" s="204"/>
    </row>
    <row r="14" spans="2:18" ht="16.5" customHeight="1">
      <c r="B14" s="63" t="s">
        <v>111</v>
      </c>
      <c r="C14" s="88">
        <v>10</v>
      </c>
      <c r="D14" s="18" t="s">
        <v>176</v>
      </c>
      <c r="E14" s="89">
        <f t="shared" si="0"/>
        <v>1000</v>
      </c>
      <c r="F14" s="90" t="s">
        <v>177</v>
      </c>
      <c r="G14" s="206">
        <f>'Input sheet'!H16</f>
        <v>0.4</v>
      </c>
      <c r="H14" s="65"/>
      <c r="I14" s="72"/>
      <c r="M14" s="204"/>
    </row>
    <row r="15" spans="2:18" ht="16.5" customHeight="1">
      <c r="B15" s="63" t="s">
        <v>113</v>
      </c>
      <c r="C15" s="91"/>
      <c r="D15" s="18"/>
      <c r="E15" s="92">
        <f>SUM(E11:E14)/poundton</f>
        <v>32</v>
      </c>
      <c r="F15" s="90" t="s">
        <v>179</v>
      </c>
      <c r="G15" s="56">
        <f>'Input sheet'!H18</f>
        <v>20</v>
      </c>
      <c r="H15" s="65"/>
      <c r="I15" s="72"/>
      <c r="M15" s="204"/>
    </row>
    <row r="16" spans="2:18" ht="16.5" customHeight="1">
      <c r="B16" s="58" t="s">
        <v>58</v>
      </c>
      <c r="C16" s="37">
        <f>'Input sheet'!D21</f>
        <v>0.17</v>
      </c>
      <c r="D16" s="80" t="s">
        <v>180</v>
      </c>
      <c r="E16" s="87">
        <f>C16*E4</f>
        <v>17</v>
      </c>
      <c r="F16" s="90" t="s">
        <v>181</v>
      </c>
      <c r="G16" s="56">
        <f>'Input sheet'!H19</f>
        <v>22</v>
      </c>
      <c r="H16" s="69">
        <f>E16*G16</f>
        <v>374</v>
      </c>
      <c r="I16" s="72"/>
    </row>
    <row r="17" spans="2:10" ht="16.5" customHeight="1">
      <c r="B17" s="58" t="s">
        <v>116</v>
      </c>
      <c r="C17" s="45">
        <f>('Input sheet'!D15-'Input sheet'!D14)/100</f>
        <v>2.2999999999999998</v>
      </c>
      <c r="D17" s="90" t="s">
        <v>182</v>
      </c>
      <c r="E17" s="89">
        <f>C17*$E$4</f>
        <v>229.99999999999997</v>
      </c>
      <c r="F17" s="18" t="s">
        <v>183</v>
      </c>
      <c r="G17" s="56">
        <f>'Input sheet'!K23</f>
        <v>4.21</v>
      </c>
      <c r="H17" s="69">
        <f>G17*E17</f>
        <v>968.29999999999984</v>
      </c>
      <c r="I17" s="72"/>
    </row>
    <row r="18" spans="2:10" ht="16.5" customHeight="1">
      <c r="B18" s="58" t="s">
        <v>122</v>
      </c>
      <c r="C18" s="45">
        <f>('Input sheet'!D15-'Input sheet'!D14)/100</f>
        <v>2.2999999999999998</v>
      </c>
      <c r="D18" s="90" t="s">
        <v>182</v>
      </c>
      <c r="E18" s="89">
        <f>C18*$E$4</f>
        <v>229.99999999999997</v>
      </c>
      <c r="F18" s="18" t="s">
        <v>183</v>
      </c>
      <c r="G18" s="56">
        <f>'Input sheet'!K24</f>
        <v>2</v>
      </c>
      <c r="H18" s="69">
        <f>G18*E18</f>
        <v>459.99999999999994</v>
      </c>
      <c r="I18" s="72"/>
    </row>
    <row r="19" spans="2:10" ht="16.5" customHeight="1">
      <c r="B19" s="58" t="s">
        <v>184</v>
      </c>
      <c r="C19" s="45">
        <f>('Input sheet'!D15-'Input sheet'!D14)/100</f>
        <v>2.2999999999999998</v>
      </c>
      <c r="D19" s="90" t="s">
        <v>182</v>
      </c>
      <c r="E19" s="89">
        <f>C19*$E$4</f>
        <v>229.99999999999997</v>
      </c>
      <c r="F19" s="18" t="s">
        <v>183</v>
      </c>
      <c r="G19" s="56">
        <f>'Input sheet'!K25</f>
        <v>3.14</v>
      </c>
      <c r="H19" s="69">
        <f>G19*E19</f>
        <v>722.19999999999993</v>
      </c>
      <c r="I19" s="72"/>
    </row>
    <row r="20" spans="2:10" ht="16.5" customHeight="1">
      <c r="B20" s="58" t="s">
        <v>185</v>
      </c>
      <c r="C20" s="45">
        <f>('Input sheet'!D15-'Input sheet'!D14)/100</f>
        <v>2.2999999999999998</v>
      </c>
      <c r="D20" s="90" t="s">
        <v>182</v>
      </c>
      <c r="E20" s="89">
        <f>C20*$E$4</f>
        <v>229.99999999999997</v>
      </c>
      <c r="F20" s="18" t="s">
        <v>183</v>
      </c>
      <c r="G20" s="56">
        <f>'Input sheet'!K26</f>
        <v>1.75</v>
      </c>
      <c r="H20" s="69">
        <f>G20*E20</f>
        <v>402.49999999999994</v>
      </c>
      <c r="I20" s="72"/>
    </row>
    <row r="21" spans="2:10" ht="16.5" customHeight="1">
      <c r="B21" s="58" t="s">
        <v>68</v>
      </c>
      <c r="C21" s="93"/>
      <c r="D21" s="90" t="s">
        <v>125</v>
      </c>
      <c r="E21" s="201">
        <v>2.5</v>
      </c>
      <c r="F21" s="18"/>
      <c r="G21" s="68">
        <f>(1+'Input sheet'!H21)^(1/12) - 1</f>
        <v>5.8497409526456767E-3</v>
      </c>
      <c r="H21" s="73">
        <f>SUM(H9:H10,H16:H20)*(1+G21)^E21-SUM(H9:H10,H16:H20)</f>
        <v>241.12635862725801</v>
      </c>
      <c r="I21" s="72"/>
    </row>
    <row r="22" spans="2:10" ht="16.5" customHeight="1">
      <c r="B22" s="54" t="s">
        <v>126</v>
      </c>
      <c r="C22" s="45"/>
      <c r="D22" s="20"/>
      <c r="E22" s="60"/>
      <c r="F22" s="20"/>
      <c r="G22" s="45"/>
      <c r="H22" s="61">
        <f>SUM(H16:H21)+H9+H10</f>
        <v>16657.037072912972</v>
      </c>
      <c r="I22" s="72"/>
    </row>
    <row r="23" spans="2:10" ht="16.5" customHeight="1">
      <c r="B23" s="36"/>
      <c r="C23" s="45"/>
      <c r="D23" s="20"/>
      <c r="E23" s="60"/>
      <c r="F23" s="20"/>
      <c r="G23" s="45"/>
      <c r="H23" s="36"/>
      <c r="J23" s="11"/>
    </row>
    <row r="24" spans="2:10" ht="16.5" customHeight="1">
      <c r="B24" s="62" t="s">
        <v>127</v>
      </c>
      <c r="C24" s="52" t="s">
        <v>168</v>
      </c>
      <c r="D24" s="35" t="s">
        <v>12</v>
      </c>
      <c r="E24" s="52" t="s">
        <v>96</v>
      </c>
      <c r="F24" s="35" t="s">
        <v>12</v>
      </c>
      <c r="G24" s="53" t="s">
        <v>97</v>
      </c>
      <c r="H24" s="53" t="s">
        <v>169</v>
      </c>
    </row>
    <row r="25" spans="2:10" ht="16.5" customHeight="1">
      <c r="B25" s="58" t="s">
        <v>128</v>
      </c>
      <c r="C25" s="45">
        <f>('Input sheet'!D15-'Input sheet'!D14)/100</f>
        <v>2.2999999999999998</v>
      </c>
      <c r="D25" s="90" t="s">
        <v>182</v>
      </c>
      <c r="E25" s="89">
        <f>C25*$E$4</f>
        <v>229.99999999999997</v>
      </c>
      <c r="F25" s="18" t="s">
        <v>183</v>
      </c>
      <c r="G25" s="59">
        <v>1.18</v>
      </c>
      <c r="H25" s="69">
        <f>G25*E25</f>
        <v>271.39999999999998</v>
      </c>
      <c r="I25" s="72"/>
    </row>
    <row r="26" spans="2:10" ht="16.5" customHeight="1">
      <c r="B26" s="58" t="s">
        <v>129</v>
      </c>
      <c r="C26" s="45">
        <f>('Input sheet'!D15-'Input sheet'!D14)/100</f>
        <v>2.2999999999999998</v>
      </c>
      <c r="D26" s="90" t="s">
        <v>182</v>
      </c>
      <c r="E26" s="89">
        <f>C26*$E$4</f>
        <v>229.99999999999997</v>
      </c>
      <c r="F26" s="18" t="s">
        <v>183</v>
      </c>
      <c r="G26" s="59">
        <v>6.89</v>
      </c>
      <c r="H26" s="73">
        <f>G26*E26</f>
        <v>1584.6999999999998</v>
      </c>
      <c r="I26" s="72"/>
    </row>
    <row r="27" spans="2:10" ht="16.5" customHeight="1">
      <c r="B27" s="54" t="s">
        <v>131</v>
      </c>
      <c r="C27" s="45"/>
      <c r="D27" s="60"/>
      <c r="E27" s="60"/>
      <c r="F27" s="60"/>
      <c r="G27" s="45"/>
      <c r="H27" s="61">
        <f>SUM(H25:H26)</f>
        <v>1856.1</v>
      </c>
      <c r="I27" s="72"/>
    </row>
    <row r="28" spans="2:10" ht="16.5" customHeight="1">
      <c r="B28" s="54"/>
      <c r="C28" s="45"/>
      <c r="D28" s="60"/>
      <c r="E28" s="60"/>
      <c r="F28" s="60"/>
      <c r="G28" s="45"/>
      <c r="H28" s="61"/>
      <c r="I28" s="72"/>
    </row>
    <row r="29" spans="2:10" ht="16.5" customHeight="1">
      <c r="B29" s="54" t="s">
        <v>132</v>
      </c>
      <c r="C29" s="45"/>
      <c r="D29" s="60"/>
      <c r="E29" s="60"/>
      <c r="F29" s="60"/>
      <c r="G29" s="60"/>
      <c r="H29" s="61">
        <f>H27+H22</f>
        <v>18513.13707291297</v>
      </c>
      <c r="I29" s="72"/>
      <c r="J29" s="11"/>
    </row>
    <row r="30" spans="2:10" ht="16.5" customHeight="1">
      <c r="B30" s="36"/>
      <c r="C30" s="45"/>
      <c r="D30" s="60"/>
      <c r="E30" s="60"/>
      <c r="F30" s="60"/>
      <c r="G30" s="45"/>
      <c r="H30" s="45"/>
    </row>
    <row r="31" spans="2:10" ht="16.5" customHeight="1">
      <c r="B31" s="104" t="s">
        <v>133</v>
      </c>
      <c r="C31" s="108"/>
      <c r="D31" s="108"/>
      <c r="E31" s="108"/>
      <c r="F31" s="108"/>
      <c r="G31" s="107">
        <f>H31/E4</f>
        <v>28.732113270870286</v>
      </c>
      <c r="H31" s="107">
        <f>H6-H22</f>
        <v>2873.2113270870286</v>
      </c>
      <c r="I31" s="72"/>
    </row>
    <row r="32" spans="2:10" ht="16.5" customHeight="1">
      <c r="B32" s="78" t="s">
        <v>134</v>
      </c>
      <c r="C32" s="76"/>
      <c r="D32" s="76"/>
      <c r="E32" s="76"/>
      <c r="F32" s="76"/>
      <c r="G32" s="77">
        <f>H32/E4</f>
        <v>10.1711132708703</v>
      </c>
      <c r="H32" s="77">
        <f>H6-H29</f>
        <v>1017.1113270870301</v>
      </c>
      <c r="I32" s="72"/>
    </row>
    <row r="33" spans="2:9" ht="16.5" customHeight="1">
      <c r="B33" s="4"/>
      <c r="C33" s="5"/>
      <c r="D33" s="5"/>
      <c r="E33" s="5"/>
      <c r="F33" s="5"/>
      <c r="G33" s="5"/>
      <c r="H33" s="6"/>
      <c r="I33" s="16" t="s">
        <v>186</v>
      </c>
    </row>
    <row r="34" spans="2:9">
      <c r="B34" s="37"/>
      <c r="C34" s="37"/>
      <c r="D34" s="37"/>
      <c r="E34" s="37"/>
      <c r="F34" s="37"/>
      <c r="G34" s="37"/>
      <c r="H34" s="37"/>
      <c r="I34" s="37"/>
    </row>
    <row r="35" spans="2:9" ht="16.5" customHeight="1">
      <c r="B35" s="122" t="s">
        <v>187</v>
      </c>
      <c r="C35" s="123"/>
      <c r="D35" s="123"/>
      <c r="E35" s="123"/>
      <c r="F35" s="123"/>
      <c r="G35" s="95"/>
      <c r="H35" s="37"/>
      <c r="I35" s="37"/>
    </row>
    <row r="36" spans="2:9" ht="16.5" customHeight="1">
      <c r="B36" s="109" t="s">
        <v>136</v>
      </c>
      <c r="C36" s="109" t="s">
        <v>96</v>
      </c>
      <c r="D36" s="226" t="s">
        <v>137</v>
      </c>
      <c r="E36" s="226"/>
      <c r="F36" s="127" t="s">
        <v>97</v>
      </c>
      <c r="G36" s="95"/>
      <c r="H36" s="37"/>
      <c r="I36" s="37"/>
    </row>
    <row r="37" spans="2:9" ht="16.5" customHeight="1">
      <c r="B37" s="111" t="s">
        <v>188</v>
      </c>
      <c r="C37" s="111">
        <f>'Input sheet'!D14</f>
        <v>50</v>
      </c>
      <c r="D37" s="228" t="s">
        <v>189</v>
      </c>
      <c r="E37" s="228"/>
      <c r="F37" s="112">
        <f>'Input sheet'!H5</f>
        <v>64.849999999999994</v>
      </c>
      <c r="G37" s="95"/>
      <c r="H37" s="37"/>
      <c r="I37" s="37"/>
    </row>
    <row r="38" spans="2:9" ht="16.5" customHeight="1">
      <c r="B38" s="111" t="s">
        <v>138</v>
      </c>
      <c r="C38" s="111">
        <f>'Input sheet'!D15</f>
        <v>280</v>
      </c>
      <c r="D38" s="222" t="s">
        <v>190</v>
      </c>
      <c r="E38" s="222"/>
      <c r="F38" s="112">
        <f>'Input sheet'!H4</f>
        <v>68.25</v>
      </c>
      <c r="G38" s="95"/>
      <c r="H38" s="37"/>
      <c r="I38" s="37"/>
    </row>
    <row r="39" spans="2:9" ht="16.5" customHeight="1">
      <c r="B39" s="111" t="s">
        <v>191</v>
      </c>
      <c r="C39" s="114">
        <f>C16</f>
        <v>0.17</v>
      </c>
      <c r="D39" s="222" t="s">
        <v>145</v>
      </c>
      <c r="E39" s="222"/>
      <c r="F39" s="112">
        <f>'Input sheet'!H19</f>
        <v>22</v>
      </c>
      <c r="G39" s="95"/>
      <c r="H39" s="37"/>
      <c r="I39" s="37"/>
    </row>
    <row r="40" spans="2:9" ht="16.5" customHeight="1">
      <c r="B40" s="111" t="s">
        <v>192</v>
      </c>
      <c r="C40" s="126">
        <v>0.10199999999999999</v>
      </c>
      <c r="D40" s="122" t="s">
        <v>148</v>
      </c>
      <c r="E40" s="124"/>
      <c r="F40" s="112">
        <f>Pcorn</f>
        <v>4.3</v>
      </c>
      <c r="G40" s="95"/>
      <c r="H40" s="37"/>
      <c r="I40" s="37"/>
    </row>
    <row r="41" spans="2:9" ht="16.5" customHeight="1">
      <c r="B41" s="120" t="s">
        <v>151</v>
      </c>
      <c r="C41" s="203">
        <f>'Input sheet'!H21</f>
        <v>7.2499999999999995E-2</v>
      </c>
      <c r="D41" s="125"/>
      <c r="E41" s="125"/>
      <c r="F41" s="121"/>
      <c r="G41" s="95"/>
      <c r="H41" s="37"/>
      <c r="I41" s="37"/>
    </row>
    <row r="42" spans="2:9" hidden="1">
      <c r="B42" s="95"/>
      <c r="C42" s="95"/>
      <c r="D42" s="95"/>
      <c r="E42" s="95"/>
      <c r="F42" s="96"/>
      <c r="G42" s="95"/>
      <c r="H42" s="37"/>
      <c r="I42" s="37"/>
    </row>
    <row r="43" spans="2:9" hidden="1">
      <c r="B43" s="95"/>
      <c r="C43" s="95"/>
      <c r="D43" s="95"/>
      <c r="E43" s="95"/>
      <c r="F43" s="95"/>
      <c r="G43" s="95"/>
      <c r="H43" s="37"/>
      <c r="I43" s="37"/>
    </row>
    <row r="44" spans="2:9" hidden="1">
      <c r="B44" s="95"/>
      <c r="C44" s="95"/>
      <c r="D44" s="95"/>
      <c r="E44" s="95"/>
      <c r="F44" s="95"/>
      <c r="G44" s="95"/>
      <c r="H44" s="37"/>
      <c r="I44" s="37"/>
    </row>
    <row r="45" spans="2:9" hidden="1">
      <c r="B45" s="95"/>
      <c r="C45" s="95"/>
      <c r="D45" s="95"/>
      <c r="E45" s="95"/>
      <c r="F45" s="95"/>
      <c r="G45" s="95"/>
      <c r="H45" s="37"/>
      <c r="I45" s="37"/>
    </row>
    <row r="46" spans="2:9" hidden="1">
      <c r="B46" s="37"/>
      <c r="C46" s="37"/>
      <c r="D46" s="37"/>
      <c r="E46" s="37"/>
      <c r="F46" s="37"/>
      <c r="G46" s="37"/>
      <c r="H46" s="37"/>
      <c r="I46" s="37"/>
    </row>
    <row r="47" spans="2:9" hidden="1">
      <c r="B47" s="37"/>
      <c r="C47" s="37"/>
      <c r="D47" s="37"/>
      <c r="E47" s="37"/>
      <c r="F47" s="37"/>
      <c r="G47" s="37"/>
      <c r="H47" s="37"/>
      <c r="I47" s="37"/>
    </row>
    <row r="48" spans="2:9" hidden="1">
      <c r="B48" s="37"/>
      <c r="C48" s="37"/>
      <c r="D48" s="37"/>
      <c r="E48" s="37"/>
      <c r="F48" s="37"/>
      <c r="G48" s="37"/>
      <c r="H48" s="37"/>
      <c r="I48" s="37"/>
    </row>
    <row r="49" spans="2:9" hidden="1">
      <c r="B49" s="37"/>
      <c r="C49" s="37"/>
      <c r="D49" s="37"/>
      <c r="E49" s="37"/>
      <c r="F49" s="37"/>
      <c r="G49" s="37"/>
      <c r="H49" s="37"/>
      <c r="I49" s="37"/>
    </row>
    <row r="50" spans="2:9" hidden="1">
      <c r="B50" s="37"/>
      <c r="C50" s="37"/>
      <c r="D50" s="37"/>
      <c r="E50" s="37"/>
      <c r="F50" s="37"/>
      <c r="G50" s="37"/>
      <c r="H50" s="37"/>
      <c r="I50" s="37"/>
    </row>
    <row r="51" spans="2:9" hidden="1">
      <c r="B51" s="37"/>
      <c r="C51" s="37"/>
      <c r="D51" s="37"/>
      <c r="E51" s="37"/>
      <c r="F51" s="37"/>
      <c r="G51" s="37"/>
      <c r="H51" s="37"/>
      <c r="I51" s="37"/>
    </row>
    <row r="818" spans="2:3" hidden="1">
      <c r="B818" s="3" t="s">
        <v>193</v>
      </c>
    </row>
    <row r="819" spans="2:3" hidden="1">
      <c r="B819" s="3" t="s">
        <v>194</v>
      </c>
      <c r="C819" s="3">
        <v>1</v>
      </c>
    </row>
    <row r="820" spans="2:3" hidden="1">
      <c r="B820" s="3" t="s">
        <v>195</v>
      </c>
      <c r="C820" s="3">
        <v>1</v>
      </c>
    </row>
    <row r="821" spans="2:3" hidden="1">
      <c r="B821" s="3" t="s">
        <v>196</v>
      </c>
      <c r="C821" s="3">
        <v>1</v>
      </c>
    </row>
    <row r="822" spans="2:3" hidden="1">
      <c r="B822" s="3" t="s">
        <v>197</v>
      </c>
      <c r="C822" s="3">
        <v>2</v>
      </c>
    </row>
    <row r="823" spans="2:3" hidden="1">
      <c r="B823" s="3" t="s">
        <v>198</v>
      </c>
      <c r="C823" s="3">
        <v>1</v>
      </c>
    </row>
    <row r="824" spans="2:3" hidden="1">
      <c r="B824" s="3" t="s">
        <v>199</v>
      </c>
      <c r="C824" s="3">
        <v>0</v>
      </c>
    </row>
    <row r="825" spans="2:3" hidden="1">
      <c r="B825" s="3" t="s">
        <v>200</v>
      </c>
      <c r="C825" s="3">
        <v>0</v>
      </c>
    </row>
    <row r="826" spans="2:3" hidden="1">
      <c r="B826" s="3" t="s">
        <v>201</v>
      </c>
      <c r="C826" s="3">
        <v>0</v>
      </c>
    </row>
    <row r="827" spans="2:3" hidden="1">
      <c r="B827" s="3" t="s">
        <v>202</v>
      </c>
      <c r="C827" s="3">
        <v>0</v>
      </c>
    </row>
    <row r="828" spans="2:3" hidden="1">
      <c r="B828" s="3" t="s">
        <v>203</v>
      </c>
      <c r="C828" s="3">
        <v>0</v>
      </c>
    </row>
    <row r="829" spans="2:3" hidden="1">
      <c r="B829" s="3" t="s">
        <v>204</v>
      </c>
      <c r="C829" s="3">
        <v>0</v>
      </c>
    </row>
    <row r="830" spans="2:3" hidden="1">
      <c r="B830" s="3" t="s">
        <v>205</v>
      </c>
      <c r="C830" s="3" t="b">
        <v>1</v>
      </c>
    </row>
    <row r="831" spans="2:3" hidden="1">
      <c r="B831" s="3" t="s">
        <v>206</v>
      </c>
      <c r="C831" s="3" t="b">
        <v>1</v>
      </c>
    </row>
    <row r="832" spans="2:3" hidden="1">
      <c r="B832" s="3" t="s">
        <v>207</v>
      </c>
      <c r="C832" s="3" t="b">
        <v>1</v>
      </c>
    </row>
    <row r="833" spans="2:3" hidden="1">
      <c r="B833" s="3" t="s">
        <v>208</v>
      </c>
      <c r="C833" s="3">
        <v>0</v>
      </c>
    </row>
    <row r="834" spans="2:3" hidden="1">
      <c r="B834" s="3" t="s">
        <v>209</v>
      </c>
      <c r="C834" s="3">
        <v>0</v>
      </c>
    </row>
    <row r="835" spans="2:3" hidden="1">
      <c r="B835" s="3" t="s">
        <v>210</v>
      </c>
      <c r="C835" s="3" t="b">
        <v>1</v>
      </c>
    </row>
    <row r="836" spans="2:3" hidden="1">
      <c r="B836" s="3" t="s">
        <v>211</v>
      </c>
      <c r="C836" s="3">
        <v>0</v>
      </c>
    </row>
    <row r="837" spans="2:3" hidden="1">
      <c r="B837" s="3" t="s">
        <v>212</v>
      </c>
      <c r="C837" s="3">
        <v>0</v>
      </c>
    </row>
    <row r="838" spans="2:3" hidden="1">
      <c r="B838" s="3" t="s">
        <v>213</v>
      </c>
      <c r="C838" s="3">
        <v>0</v>
      </c>
    </row>
    <row r="839" spans="2:3" hidden="1">
      <c r="B839" s="3" t="s">
        <v>214</v>
      </c>
      <c r="C839" s="3">
        <v>0</v>
      </c>
    </row>
    <row r="840" spans="2:3" hidden="1">
      <c r="B840" s="3" t="s">
        <v>215</v>
      </c>
      <c r="C840" s="3" t="s">
        <v>216</v>
      </c>
    </row>
    <row r="841" spans="2:3" hidden="1">
      <c r="B841" s="3" t="s">
        <v>217</v>
      </c>
      <c r="C841" s="3">
        <v>750</v>
      </c>
    </row>
    <row r="842" spans="2:3" hidden="1">
      <c r="B842" s="3" t="s">
        <v>218</v>
      </c>
      <c r="C842" s="3">
        <v>135</v>
      </c>
    </row>
    <row r="843" spans="2:3" hidden="1">
      <c r="B843" s="3" t="s">
        <v>219</v>
      </c>
      <c r="C843" s="3">
        <v>3.7</v>
      </c>
    </row>
    <row r="844" spans="2:3" hidden="1">
      <c r="B844" s="3" t="s">
        <v>220</v>
      </c>
      <c r="C844" s="3">
        <v>0</v>
      </c>
    </row>
    <row r="845" spans="2:3" hidden="1">
      <c r="B845" s="3" t="s">
        <v>221</v>
      </c>
      <c r="C845" s="3">
        <v>0</v>
      </c>
    </row>
    <row r="846" spans="2:3" hidden="1">
      <c r="B846" s="3" t="s">
        <v>222</v>
      </c>
      <c r="C846" s="3">
        <v>0</v>
      </c>
    </row>
    <row r="847" spans="2:3" hidden="1">
      <c r="B847" s="3" t="s">
        <v>223</v>
      </c>
      <c r="C847" s="3">
        <v>0</v>
      </c>
    </row>
    <row r="848" spans="2:3" hidden="1">
      <c r="B848" s="3" t="s">
        <v>224</v>
      </c>
      <c r="C848" s="3">
        <v>270</v>
      </c>
    </row>
    <row r="849" spans="2:3" hidden="1">
      <c r="B849" s="3" t="s">
        <v>225</v>
      </c>
      <c r="C849" s="3">
        <v>0</v>
      </c>
    </row>
    <row r="850" spans="2:3" hidden="1">
      <c r="B850" s="3" t="s">
        <v>226</v>
      </c>
      <c r="C850" s="3">
        <v>0</v>
      </c>
    </row>
    <row r="851" spans="2:3" hidden="1">
      <c r="B851" s="3" t="s">
        <v>227</v>
      </c>
      <c r="C851" s="3">
        <v>0</v>
      </c>
    </row>
    <row r="852" spans="2:3" hidden="1">
      <c r="B852" s="3" t="s">
        <v>228</v>
      </c>
      <c r="C852" s="3">
        <v>0</v>
      </c>
    </row>
    <row r="853" spans="2:3" hidden="1">
      <c r="B853" s="3" t="s">
        <v>229</v>
      </c>
      <c r="C853" s="3">
        <v>0</v>
      </c>
    </row>
    <row r="854" spans="2:3" hidden="1">
      <c r="B854" s="3" t="s">
        <v>230</v>
      </c>
      <c r="C854" s="3">
        <v>30000</v>
      </c>
    </row>
    <row r="855" spans="2:3" hidden="1">
      <c r="B855" s="3" t="s">
        <v>231</v>
      </c>
      <c r="C855" s="3">
        <v>0</v>
      </c>
    </row>
    <row r="856" spans="2:3" hidden="1">
      <c r="B856" s="3" t="s">
        <v>232</v>
      </c>
      <c r="C856" s="3">
        <v>0</v>
      </c>
    </row>
    <row r="857" spans="2:3" hidden="1">
      <c r="B857" s="3" t="s">
        <v>233</v>
      </c>
      <c r="C857" s="3">
        <v>0</v>
      </c>
    </row>
    <row r="858" spans="2:3" hidden="1">
      <c r="B858" s="3" t="s">
        <v>234</v>
      </c>
      <c r="C858" s="3">
        <v>0</v>
      </c>
    </row>
    <row r="859" spans="2:3" hidden="1">
      <c r="B859" s="3" t="s">
        <v>235</v>
      </c>
      <c r="C859" s="3">
        <v>0</v>
      </c>
    </row>
    <row r="860" spans="2:3" hidden="1">
      <c r="B860" s="3" t="s">
        <v>236</v>
      </c>
      <c r="C860" s="3">
        <v>140</v>
      </c>
    </row>
    <row r="861" spans="2:3" hidden="1">
      <c r="B861" s="3" t="s">
        <v>237</v>
      </c>
      <c r="C861" s="3">
        <v>0</v>
      </c>
    </row>
    <row r="862" spans="2:3" hidden="1">
      <c r="B862" s="3" t="s">
        <v>238</v>
      </c>
      <c r="C862" s="3">
        <v>0</v>
      </c>
    </row>
    <row r="863" spans="2:3" hidden="1">
      <c r="B863" s="3" t="s">
        <v>239</v>
      </c>
      <c r="C863" s="3">
        <v>60</v>
      </c>
    </row>
    <row r="864" spans="2:3" hidden="1">
      <c r="B864" s="3" t="s">
        <v>240</v>
      </c>
      <c r="C864" s="3">
        <v>45</v>
      </c>
    </row>
    <row r="865" spans="2:3" hidden="1">
      <c r="B865" s="3" t="s">
        <v>241</v>
      </c>
      <c r="C865" s="3">
        <v>0.6</v>
      </c>
    </row>
    <row r="866" spans="2:3" hidden="1">
      <c r="B866" s="3" t="s">
        <v>242</v>
      </c>
      <c r="C866" s="3">
        <v>0</v>
      </c>
    </row>
    <row r="867" spans="2:3" hidden="1">
      <c r="B867" s="3" t="s">
        <v>243</v>
      </c>
      <c r="C867" s="3">
        <v>0</v>
      </c>
    </row>
    <row r="868" spans="2:3" hidden="1">
      <c r="B868" s="3" t="s">
        <v>244</v>
      </c>
      <c r="C868" s="3">
        <v>0.45</v>
      </c>
    </row>
    <row r="869" spans="2:3" hidden="1">
      <c r="B869" s="3" t="s">
        <v>245</v>
      </c>
      <c r="C869" s="3">
        <v>0</v>
      </c>
    </row>
    <row r="870" spans="2:3" hidden="1">
      <c r="B870" s="3" t="s">
        <v>246</v>
      </c>
      <c r="C870" s="3">
        <v>0</v>
      </c>
    </row>
    <row r="871" spans="2:3" hidden="1">
      <c r="B871" s="3" t="s">
        <v>247</v>
      </c>
      <c r="C871" s="3">
        <v>0.48</v>
      </c>
    </row>
    <row r="872" spans="2:3" hidden="1">
      <c r="B872" s="3" t="s">
        <v>248</v>
      </c>
      <c r="C872" s="3">
        <v>0.4</v>
      </c>
    </row>
    <row r="873" spans="2:3" hidden="1">
      <c r="B873" s="3" t="s">
        <v>249</v>
      </c>
      <c r="C873" s="3">
        <v>15</v>
      </c>
    </row>
    <row r="874" spans="2:3" hidden="1">
      <c r="B874" s="3" t="s">
        <v>250</v>
      </c>
      <c r="C874" s="3">
        <v>0</v>
      </c>
    </row>
    <row r="875" spans="2:3" hidden="1">
      <c r="B875" s="3" t="s">
        <v>251</v>
      </c>
      <c r="C875" s="3">
        <v>0</v>
      </c>
    </row>
    <row r="876" spans="2:3" hidden="1">
      <c r="B876" s="3" t="s">
        <v>252</v>
      </c>
      <c r="C876" s="3">
        <v>0</v>
      </c>
    </row>
    <row r="877" spans="2:3" hidden="1">
      <c r="B877" s="3" t="s">
        <v>253</v>
      </c>
      <c r="C877" s="3">
        <v>0</v>
      </c>
    </row>
    <row r="878" spans="2:3" hidden="1">
      <c r="B878" s="3" t="s">
        <v>254</v>
      </c>
      <c r="C878" s="3">
        <v>0</v>
      </c>
    </row>
    <row r="879" spans="2:3" hidden="1">
      <c r="B879" s="3" t="s">
        <v>255</v>
      </c>
      <c r="C879" s="3">
        <v>0</v>
      </c>
    </row>
    <row r="880" spans="2:3" hidden="1">
      <c r="B880" s="3" t="s">
        <v>256</v>
      </c>
      <c r="C880" s="3">
        <v>2</v>
      </c>
    </row>
    <row r="881" spans="2:3" hidden="1">
      <c r="B881" s="3" t="s">
        <v>257</v>
      </c>
      <c r="C881" s="3">
        <v>0</v>
      </c>
    </row>
    <row r="882" spans="2:3" hidden="1">
      <c r="B882" s="3" t="s">
        <v>258</v>
      </c>
      <c r="C882" s="3">
        <v>0</v>
      </c>
    </row>
    <row r="883" spans="2:3" hidden="1">
      <c r="B883" s="3" t="s">
        <v>259</v>
      </c>
      <c r="C883" s="3">
        <v>0</v>
      </c>
    </row>
    <row r="884" spans="2:3" hidden="1">
      <c r="B884" s="3" t="s">
        <v>260</v>
      </c>
      <c r="C884" s="3">
        <v>0</v>
      </c>
    </row>
    <row r="885" spans="2:3" hidden="1">
      <c r="B885" s="3" t="s">
        <v>261</v>
      </c>
      <c r="C885" s="3">
        <v>0</v>
      </c>
    </row>
    <row r="886" spans="2:3" hidden="1">
      <c r="B886" s="3" t="s">
        <v>262</v>
      </c>
      <c r="C886" s="3">
        <v>0</v>
      </c>
    </row>
    <row r="887" spans="2:3" hidden="1">
      <c r="B887" s="3" t="s">
        <v>263</v>
      </c>
      <c r="C887" s="3">
        <v>0</v>
      </c>
    </row>
    <row r="888" spans="2:3" hidden="1">
      <c r="B888" s="3" t="s">
        <v>264</v>
      </c>
      <c r="C888" s="3">
        <v>29</v>
      </c>
    </row>
    <row r="889" spans="2:3" hidden="1">
      <c r="B889" s="3" t="s">
        <v>265</v>
      </c>
      <c r="C889" s="3">
        <v>0</v>
      </c>
    </row>
    <row r="890" spans="2:3" hidden="1">
      <c r="B890" s="3" t="s">
        <v>266</v>
      </c>
      <c r="C890" s="3">
        <v>0</v>
      </c>
    </row>
    <row r="891" spans="2:3" hidden="1">
      <c r="B891" s="3" t="s">
        <v>267</v>
      </c>
      <c r="C891" s="3">
        <v>0</v>
      </c>
    </row>
    <row r="892" spans="2:3" hidden="1">
      <c r="B892" s="3" t="s">
        <v>268</v>
      </c>
      <c r="C892" s="3">
        <v>0</v>
      </c>
    </row>
    <row r="893" spans="2:3" hidden="1">
      <c r="B893" s="3" t="s">
        <v>269</v>
      </c>
      <c r="C893" s="3">
        <v>0</v>
      </c>
    </row>
    <row r="894" spans="2:3" hidden="1">
      <c r="B894" s="3" t="s">
        <v>270</v>
      </c>
      <c r="C894" s="3">
        <v>0</v>
      </c>
    </row>
    <row r="895" spans="2:3" hidden="1">
      <c r="B895" s="3" t="s">
        <v>271</v>
      </c>
      <c r="C895" s="3">
        <v>0</v>
      </c>
    </row>
    <row r="896" spans="2:3" hidden="1">
      <c r="B896" s="3" t="s">
        <v>272</v>
      </c>
      <c r="C896" s="3">
        <v>0</v>
      </c>
    </row>
    <row r="897" spans="2:3" hidden="1">
      <c r="B897" s="3" t="s">
        <v>273</v>
      </c>
      <c r="C897" s="3">
        <v>0</v>
      </c>
    </row>
    <row r="898" spans="2:3" hidden="1">
      <c r="B898" s="3" t="s">
        <v>274</v>
      </c>
      <c r="C898" s="3">
        <v>0</v>
      </c>
    </row>
    <row r="899" spans="2:3" hidden="1">
      <c r="B899" s="3" t="s">
        <v>275</v>
      </c>
      <c r="C899" s="3">
        <v>0</v>
      </c>
    </row>
    <row r="900" spans="2:3" hidden="1">
      <c r="B900" s="3" t="s">
        <v>276</v>
      </c>
      <c r="C900" s="3">
        <v>0</v>
      </c>
    </row>
    <row r="901" spans="2:3" hidden="1">
      <c r="B901" s="3" t="s">
        <v>277</v>
      </c>
      <c r="C901" s="3" t="s">
        <v>278</v>
      </c>
    </row>
    <row r="902" spans="2:3" hidden="1">
      <c r="B902" s="3" t="s">
        <v>279</v>
      </c>
      <c r="C902" s="3">
        <v>0.5</v>
      </c>
    </row>
    <row r="903" spans="2:3" hidden="1">
      <c r="B903" s="3" t="s">
        <v>280</v>
      </c>
      <c r="C903" s="3">
        <v>13.5</v>
      </c>
    </row>
    <row r="904" spans="2:3" hidden="1">
      <c r="B904" s="3" t="s">
        <v>281</v>
      </c>
      <c r="C904" s="3">
        <v>18</v>
      </c>
    </row>
    <row r="905" spans="2:3" hidden="1">
      <c r="B905" s="3" t="s">
        <v>282</v>
      </c>
      <c r="C905" s="3">
        <v>0</v>
      </c>
    </row>
    <row r="906" spans="2:3" hidden="1">
      <c r="B906" s="3" t="s">
        <v>283</v>
      </c>
      <c r="C906" s="3">
        <v>0</v>
      </c>
    </row>
    <row r="907" spans="2:3" hidden="1">
      <c r="B907" s="3" t="s">
        <v>284</v>
      </c>
      <c r="C907" s="3">
        <v>0</v>
      </c>
    </row>
    <row r="908" spans="2:3" hidden="1">
      <c r="B908" s="3" t="s">
        <v>285</v>
      </c>
      <c r="C908" s="3">
        <v>4000</v>
      </c>
    </row>
    <row r="909" spans="2:3" hidden="1">
      <c r="B909" s="3" t="s">
        <v>286</v>
      </c>
      <c r="C909" s="3">
        <v>4</v>
      </c>
    </row>
    <row r="910" spans="2:3" hidden="1">
      <c r="B910" s="3" t="s">
        <v>287</v>
      </c>
      <c r="C910" s="3">
        <v>0</v>
      </c>
    </row>
    <row r="911" spans="2:3" hidden="1">
      <c r="B911" s="3" t="s">
        <v>288</v>
      </c>
      <c r="C911" s="3">
        <v>0</v>
      </c>
    </row>
    <row r="912" spans="2:3" hidden="1">
      <c r="B912" s="3" t="s">
        <v>289</v>
      </c>
      <c r="C912" s="3">
        <v>0</v>
      </c>
    </row>
    <row r="913" spans="2:3" hidden="1">
      <c r="B913" s="3" t="s">
        <v>290</v>
      </c>
      <c r="C913" s="3">
        <v>6</v>
      </c>
    </row>
    <row r="914" spans="2:3" hidden="1">
      <c r="B914" s="3" t="s">
        <v>291</v>
      </c>
      <c r="C914" s="3">
        <v>3.65</v>
      </c>
    </row>
    <row r="915" spans="2:3" hidden="1">
      <c r="B915" s="3" t="s">
        <v>292</v>
      </c>
      <c r="C915" s="3">
        <v>3.38</v>
      </c>
    </row>
    <row r="916" spans="2:3" hidden="1">
      <c r="B916" s="3" t="s">
        <v>293</v>
      </c>
      <c r="C916" s="3">
        <v>1</v>
      </c>
    </row>
    <row r="917" spans="2:3" hidden="1">
      <c r="B917" s="3" t="s">
        <v>294</v>
      </c>
      <c r="C917" s="3">
        <v>0</v>
      </c>
    </row>
    <row r="918" spans="2:3" hidden="1">
      <c r="B918" s="3" t="s">
        <v>295</v>
      </c>
      <c r="C918" s="3">
        <v>21</v>
      </c>
    </row>
    <row r="919" spans="2:3" hidden="1">
      <c r="B919" s="3" t="s">
        <v>296</v>
      </c>
      <c r="C919" s="3">
        <v>0</v>
      </c>
    </row>
    <row r="920" spans="2:3" hidden="1">
      <c r="B920" s="3" t="s">
        <v>297</v>
      </c>
      <c r="C920" s="3">
        <v>0</v>
      </c>
    </row>
    <row r="921" spans="2:3" hidden="1">
      <c r="B921" s="3" t="s">
        <v>298</v>
      </c>
      <c r="C921" s="3">
        <v>0</v>
      </c>
    </row>
    <row r="922" spans="2:3" hidden="1">
      <c r="B922" s="3" t="s">
        <v>299</v>
      </c>
      <c r="C922" s="3">
        <v>3</v>
      </c>
    </row>
    <row r="923" spans="2:3" hidden="1">
      <c r="B923" s="3" t="s">
        <v>300</v>
      </c>
      <c r="C923" s="3">
        <v>0</v>
      </c>
    </row>
    <row r="924" spans="2:3" hidden="1">
      <c r="B924" s="3" t="s">
        <v>301</v>
      </c>
      <c r="C924" s="3">
        <v>0</v>
      </c>
    </row>
    <row r="925" spans="2:3" hidden="1">
      <c r="B925" s="3" t="s">
        <v>302</v>
      </c>
      <c r="C925" s="3">
        <v>60</v>
      </c>
    </row>
    <row r="926" spans="2:3" hidden="1">
      <c r="B926" s="3" t="s">
        <v>303</v>
      </c>
      <c r="C926" s="3">
        <v>0</v>
      </c>
    </row>
    <row r="927" spans="2:3" hidden="1">
      <c r="B927" s="3" t="s">
        <v>304</v>
      </c>
      <c r="C927" s="3">
        <v>2.63</v>
      </c>
    </row>
    <row r="928" spans="2:3" hidden="1">
      <c r="B928" s="3" t="s">
        <v>305</v>
      </c>
      <c r="C928" s="3">
        <v>0</v>
      </c>
    </row>
    <row r="929" spans="2:3" hidden="1">
      <c r="B929" s="3" t="s">
        <v>306</v>
      </c>
      <c r="C929" s="3">
        <v>6800</v>
      </c>
    </row>
    <row r="930" spans="2:3" hidden="1">
      <c r="B930" s="3" t="s">
        <v>307</v>
      </c>
      <c r="C930" s="3">
        <v>0</v>
      </c>
    </row>
    <row r="931" spans="2:3" hidden="1">
      <c r="B931" s="3" t="s">
        <v>308</v>
      </c>
      <c r="C931" s="3">
        <v>0</v>
      </c>
    </row>
    <row r="932" spans="2:3" hidden="1">
      <c r="B932" s="3" t="s">
        <v>309</v>
      </c>
      <c r="C932" s="3">
        <v>8500</v>
      </c>
    </row>
    <row r="933" spans="2:3" hidden="1">
      <c r="B933" s="3" t="s">
        <v>310</v>
      </c>
      <c r="C933" s="3">
        <v>40</v>
      </c>
    </row>
    <row r="934" spans="2:3" hidden="1">
      <c r="B934" s="3" t="s">
        <v>311</v>
      </c>
      <c r="C934" s="3">
        <v>15000</v>
      </c>
    </row>
    <row r="935" spans="2:3" hidden="1">
      <c r="B935" s="3" t="s">
        <v>312</v>
      </c>
      <c r="C935" s="3">
        <v>25</v>
      </c>
    </row>
    <row r="936" spans="2:3" hidden="1">
      <c r="B936" s="3" t="s">
        <v>313</v>
      </c>
      <c r="C936" s="3">
        <v>0</v>
      </c>
    </row>
    <row r="937" spans="2:3" hidden="1">
      <c r="B937" s="3" t="s">
        <v>314</v>
      </c>
      <c r="C937" s="3">
        <v>0</v>
      </c>
    </row>
    <row r="938" spans="2:3" hidden="1">
      <c r="B938" s="3" t="s">
        <v>315</v>
      </c>
      <c r="C938" s="3">
        <v>0</v>
      </c>
    </row>
    <row r="939" spans="2:3" hidden="1">
      <c r="B939" s="3" t="s">
        <v>316</v>
      </c>
      <c r="C939" s="3">
        <v>0</v>
      </c>
    </row>
    <row r="940" spans="2:3" hidden="1">
      <c r="B940" s="3" t="s">
        <v>317</v>
      </c>
      <c r="C940" s="3">
        <v>0</v>
      </c>
    </row>
    <row r="941" spans="2:3" hidden="1">
      <c r="B941" s="3" t="s">
        <v>318</v>
      </c>
      <c r="C941" s="3">
        <v>0</v>
      </c>
    </row>
    <row r="942" spans="2:3" hidden="1">
      <c r="B942" s="3" t="s">
        <v>319</v>
      </c>
      <c r="C942" s="3">
        <v>0</v>
      </c>
    </row>
    <row r="943" spans="2:3" hidden="1">
      <c r="B943" s="3" t="s">
        <v>320</v>
      </c>
      <c r="C943" s="3">
        <v>0</v>
      </c>
    </row>
    <row r="944" spans="2:3" hidden="1">
      <c r="B944" s="3" t="s">
        <v>321</v>
      </c>
      <c r="C944" s="3">
        <v>0</v>
      </c>
    </row>
    <row r="945" spans="2:3" hidden="1">
      <c r="B945" s="3" t="s">
        <v>322</v>
      </c>
      <c r="C945" s="3">
        <v>0</v>
      </c>
    </row>
    <row r="946" spans="2:3" hidden="1">
      <c r="B946" s="3" t="s">
        <v>323</v>
      </c>
      <c r="C946" s="3">
        <v>0</v>
      </c>
    </row>
    <row r="947" spans="2:3" hidden="1">
      <c r="B947" s="3" t="s">
        <v>324</v>
      </c>
      <c r="C947" s="3">
        <v>6</v>
      </c>
    </row>
    <row r="948" spans="2:3" hidden="1">
      <c r="B948" s="3" t="s">
        <v>325</v>
      </c>
      <c r="C948" s="3">
        <v>0</v>
      </c>
    </row>
    <row r="949" spans="2:3" hidden="1">
      <c r="B949" s="3" t="s">
        <v>326</v>
      </c>
      <c r="C949" s="3">
        <v>0</v>
      </c>
    </row>
    <row r="950" spans="2:3" hidden="1">
      <c r="B950" s="3" t="s">
        <v>327</v>
      </c>
      <c r="C950" s="3">
        <v>0</v>
      </c>
    </row>
    <row r="951" spans="2:3" hidden="1">
      <c r="B951" s="3" t="s">
        <v>328</v>
      </c>
      <c r="C951" s="3">
        <v>0</v>
      </c>
    </row>
    <row r="952" spans="2:3" hidden="1">
      <c r="B952" s="3" t="s">
        <v>329</v>
      </c>
      <c r="C952" s="3">
        <v>0</v>
      </c>
    </row>
    <row r="953" spans="2:3" hidden="1">
      <c r="B953" s="3" t="s">
        <v>330</v>
      </c>
      <c r="C953" s="3">
        <v>0</v>
      </c>
    </row>
    <row r="954" spans="2:3" hidden="1">
      <c r="B954" s="3" t="s">
        <v>331</v>
      </c>
      <c r="C954" s="3">
        <v>0</v>
      </c>
    </row>
    <row r="955" spans="2:3" hidden="1">
      <c r="B955" s="3" t="s">
        <v>332</v>
      </c>
      <c r="C955" s="3">
        <v>0</v>
      </c>
    </row>
    <row r="956" spans="2:3" hidden="1">
      <c r="B956" s="3" t="s">
        <v>333</v>
      </c>
      <c r="C956" s="3">
        <v>0</v>
      </c>
    </row>
    <row r="957" spans="2:3" hidden="1">
      <c r="B957" s="3" t="s">
        <v>334</v>
      </c>
      <c r="C957" s="3">
        <v>0</v>
      </c>
    </row>
    <row r="958" spans="2:3" hidden="1">
      <c r="B958" s="3" t="s">
        <v>335</v>
      </c>
      <c r="C958" s="3">
        <v>0</v>
      </c>
    </row>
    <row r="959" spans="2:3" hidden="1">
      <c r="B959" s="3" t="s">
        <v>336</v>
      </c>
      <c r="C959" s="3">
        <v>0</v>
      </c>
    </row>
    <row r="960" spans="2:3" hidden="1">
      <c r="B960" s="3" t="s">
        <v>337</v>
      </c>
      <c r="C960" s="3">
        <v>1</v>
      </c>
    </row>
    <row r="961" spans="2:3" hidden="1">
      <c r="B961" s="3" t="s">
        <v>338</v>
      </c>
      <c r="C961" s="3">
        <v>0</v>
      </c>
    </row>
    <row r="962" spans="2:3" hidden="1">
      <c r="B962" s="3" t="s">
        <v>339</v>
      </c>
      <c r="C962" s="3">
        <v>0</v>
      </c>
    </row>
    <row r="963" spans="2:3" hidden="1">
      <c r="B963" s="3" t="s">
        <v>340</v>
      </c>
      <c r="C963" s="3">
        <v>0</v>
      </c>
    </row>
    <row r="964" spans="2:3" hidden="1">
      <c r="B964" s="3" t="s">
        <v>341</v>
      </c>
      <c r="C964" s="3">
        <v>0</v>
      </c>
    </row>
    <row r="965" spans="2:3" hidden="1">
      <c r="B965" s="3" t="s">
        <v>342</v>
      </c>
      <c r="C965" s="3">
        <v>0</v>
      </c>
    </row>
    <row r="966" spans="2:3" hidden="1">
      <c r="B966" s="3" t="s">
        <v>343</v>
      </c>
      <c r="C966" s="3">
        <v>0</v>
      </c>
    </row>
    <row r="967" spans="2:3" hidden="1">
      <c r="B967" s="3" t="s">
        <v>344</v>
      </c>
      <c r="C967" s="3">
        <v>0</v>
      </c>
    </row>
    <row r="968" spans="2:3" hidden="1">
      <c r="B968" s="3" t="s">
        <v>345</v>
      </c>
      <c r="C968" s="3" t="s">
        <v>346</v>
      </c>
    </row>
    <row r="969" spans="2:3" hidden="1">
      <c r="B969" s="3" t="s">
        <v>347</v>
      </c>
      <c r="C969" s="3" t="s">
        <v>348</v>
      </c>
    </row>
    <row r="970" spans="2:3" hidden="1">
      <c r="B970" s="3" t="s">
        <v>349</v>
      </c>
      <c r="C970" s="3" t="s">
        <v>350</v>
      </c>
    </row>
    <row r="971" spans="2:3" hidden="1">
      <c r="B971" s="3" t="s">
        <v>351</v>
      </c>
      <c r="C971" s="3" t="s">
        <v>352</v>
      </c>
    </row>
    <row r="972" spans="2:3" hidden="1">
      <c r="B972" s="3" t="s">
        <v>353</v>
      </c>
      <c r="C972" s="3" t="s">
        <v>354</v>
      </c>
    </row>
    <row r="973" spans="2:3" hidden="1">
      <c r="B973" s="3" t="s">
        <v>355</v>
      </c>
      <c r="C973" s="3" t="s">
        <v>356</v>
      </c>
    </row>
    <row r="974" spans="2:3" hidden="1">
      <c r="B974" s="3" t="s">
        <v>357</v>
      </c>
      <c r="C974" s="3" t="s">
        <v>358</v>
      </c>
    </row>
    <row r="975" spans="2:3" hidden="1">
      <c r="B975" s="3" t="s">
        <v>359</v>
      </c>
      <c r="C975" s="3" t="s">
        <v>360</v>
      </c>
    </row>
    <row r="976" spans="2:3" hidden="1">
      <c r="B976" s="3" t="s">
        <v>361</v>
      </c>
      <c r="C976" s="3" t="s">
        <v>362</v>
      </c>
    </row>
    <row r="977" spans="2:3" hidden="1">
      <c r="B977" s="3" t="s">
        <v>363</v>
      </c>
      <c r="C977" s="3" t="s">
        <v>364</v>
      </c>
    </row>
    <row r="978" spans="2:3" hidden="1">
      <c r="B978" s="3" t="s">
        <v>365</v>
      </c>
      <c r="C978" s="3" t="s">
        <v>366</v>
      </c>
    </row>
    <row r="979" spans="2:3" hidden="1">
      <c r="B979" s="3" t="s">
        <v>367</v>
      </c>
      <c r="C979" s="3" t="s">
        <v>368</v>
      </c>
    </row>
    <row r="980" spans="2:3" hidden="1">
      <c r="B980" s="3" t="s">
        <v>369</v>
      </c>
      <c r="C980" s="3" t="s">
        <v>366</v>
      </c>
    </row>
    <row r="981" spans="2:3" hidden="1">
      <c r="B981" s="3" t="s">
        <v>370</v>
      </c>
      <c r="C981" s="3" t="s">
        <v>358</v>
      </c>
    </row>
    <row r="982" spans="2:3" hidden="1">
      <c r="B982" s="3" t="s">
        <v>371</v>
      </c>
      <c r="C982" s="3" t="s">
        <v>346</v>
      </c>
    </row>
    <row r="983" spans="2:3" hidden="1">
      <c r="B983" s="3" t="s">
        <v>372</v>
      </c>
      <c r="C983" s="3" t="s">
        <v>366</v>
      </c>
    </row>
    <row r="984" spans="2:3" hidden="1">
      <c r="B984" s="3" t="s">
        <v>373</v>
      </c>
      <c r="C984" s="3" t="s">
        <v>366</v>
      </c>
    </row>
    <row r="985" spans="2:3" hidden="1">
      <c r="B985" s="3" t="s">
        <v>374</v>
      </c>
      <c r="C985" s="3" t="s">
        <v>375</v>
      </c>
    </row>
    <row r="986" spans="2:3" hidden="1">
      <c r="B986" s="3" t="s">
        <v>376</v>
      </c>
      <c r="C986" s="3" t="s">
        <v>377</v>
      </c>
    </row>
    <row r="987" spans="2:3" hidden="1">
      <c r="B987" s="3" t="s">
        <v>378</v>
      </c>
      <c r="C987" s="3" t="s">
        <v>350</v>
      </c>
    </row>
    <row r="988" spans="2:3" hidden="1">
      <c r="B988" s="3" t="s">
        <v>379</v>
      </c>
      <c r="C988" s="3" t="s">
        <v>377</v>
      </c>
    </row>
    <row r="989" spans="2:3" hidden="1">
      <c r="B989" s="3" t="s">
        <v>380</v>
      </c>
      <c r="C989" s="3" t="s">
        <v>381</v>
      </c>
    </row>
    <row r="990" spans="2:3" hidden="1">
      <c r="B990" s="3" t="s">
        <v>382</v>
      </c>
      <c r="C990" s="3" t="s">
        <v>383</v>
      </c>
    </row>
    <row r="991" spans="2:3" hidden="1">
      <c r="B991" s="3" t="s">
        <v>384</v>
      </c>
      <c r="C991" s="3" t="s">
        <v>385</v>
      </c>
    </row>
    <row r="992" spans="2:3" hidden="1">
      <c r="B992" s="3" t="s">
        <v>386</v>
      </c>
      <c r="C992" s="3" t="s">
        <v>346</v>
      </c>
    </row>
    <row r="993" spans="2:3" hidden="1">
      <c r="B993" s="3" t="s">
        <v>387</v>
      </c>
      <c r="C993" s="3" t="s">
        <v>346</v>
      </c>
    </row>
    <row r="994" spans="2:3" hidden="1">
      <c r="B994" s="3" t="s">
        <v>388</v>
      </c>
      <c r="C994" s="3" t="s">
        <v>389</v>
      </c>
    </row>
    <row r="995" spans="2:3" hidden="1">
      <c r="B995" s="3" t="s">
        <v>390</v>
      </c>
      <c r="C995" s="3" t="s">
        <v>391</v>
      </c>
    </row>
    <row r="996" spans="2:3" hidden="1">
      <c r="B996" s="3" t="s">
        <v>392</v>
      </c>
      <c r="C996" s="3">
        <v>0</v>
      </c>
    </row>
    <row r="997" spans="2:3" hidden="1">
      <c r="B997" s="3" t="s">
        <v>393</v>
      </c>
      <c r="C997" s="3">
        <v>0</v>
      </c>
    </row>
    <row r="998" spans="2:3" hidden="1">
      <c r="B998" s="3" t="s">
        <v>394</v>
      </c>
      <c r="C998" s="3">
        <v>0</v>
      </c>
    </row>
    <row r="999" spans="2:3" hidden="1">
      <c r="B999" s="3" t="s">
        <v>395</v>
      </c>
      <c r="C999" s="3" t="s">
        <v>396</v>
      </c>
    </row>
    <row r="1000" spans="2:3" hidden="1">
      <c r="B1000" s="3" t="s">
        <v>397</v>
      </c>
      <c r="C1000" s="3">
        <v>0</v>
      </c>
    </row>
    <row r="1001" spans="2:3" hidden="1">
      <c r="B1001" s="3" t="s">
        <v>398</v>
      </c>
      <c r="C1001" s="3" t="s">
        <v>396</v>
      </c>
    </row>
    <row r="1002" spans="2:3" hidden="1">
      <c r="B1002" s="3" t="s">
        <v>399</v>
      </c>
      <c r="C1002" s="3">
        <v>0</v>
      </c>
    </row>
    <row r="1003" spans="2:3" hidden="1">
      <c r="B1003" s="3" t="s">
        <v>400</v>
      </c>
      <c r="C1003" s="3">
        <v>0</v>
      </c>
    </row>
    <row r="1004" spans="2:3" hidden="1">
      <c r="B1004" s="3" t="s">
        <v>401</v>
      </c>
      <c r="C1004" s="3">
        <v>0</v>
      </c>
    </row>
    <row r="1005" spans="2:3" hidden="1">
      <c r="B1005" s="3" t="s">
        <v>402</v>
      </c>
      <c r="C1005" s="3">
        <v>0</v>
      </c>
    </row>
    <row r="1006" spans="2:3" hidden="1">
      <c r="B1006" s="3" t="s">
        <v>403</v>
      </c>
      <c r="C1006" s="3">
        <v>0</v>
      </c>
    </row>
    <row r="1007" spans="2:3" hidden="1">
      <c r="B1007" s="3" t="s">
        <v>404</v>
      </c>
      <c r="C1007" s="3" t="s">
        <v>405</v>
      </c>
    </row>
    <row r="1008" spans="2:3" hidden="1">
      <c r="B1008" s="3" t="s">
        <v>406</v>
      </c>
      <c r="C1008" s="3">
        <v>0</v>
      </c>
    </row>
    <row r="1009" spans="2:3" hidden="1">
      <c r="B1009" s="3" t="s">
        <v>407</v>
      </c>
      <c r="C1009" s="3">
        <v>0</v>
      </c>
    </row>
    <row r="1010" spans="2:3" hidden="1">
      <c r="B1010" s="3" t="s">
        <v>408</v>
      </c>
      <c r="C1010" s="3">
        <v>0</v>
      </c>
    </row>
    <row r="1011" spans="2:3" hidden="1">
      <c r="B1011" s="3" t="s">
        <v>409</v>
      </c>
      <c r="C1011" s="3">
        <v>0</v>
      </c>
    </row>
    <row r="1012" spans="2:3" hidden="1">
      <c r="B1012" s="3" t="s">
        <v>410</v>
      </c>
      <c r="C1012" s="3">
        <v>0</v>
      </c>
    </row>
    <row r="1013" spans="2:3" hidden="1">
      <c r="B1013" s="3" t="s">
        <v>411</v>
      </c>
      <c r="C1013" s="3">
        <v>0</v>
      </c>
    </row>
    <row r="1014" spans="2:3" hidden="1">
      <c r="B1014" s="3" t="s">
        <v>412</v>
      </c>
      <c r="C1014" s="3">
        <v>0</v>
      </c>
    </row>
    <row r="1015" spans="2:3" hidden="1">
      <c r="B1015" s="3" t="s">
        <v>413</v>
      </c>
      <c r="C1015" s="3" t="s">
        <v>414</v>
      </c>
    </row>
    <row r="1016" spans="2:3" hidden="1">
      <c r="B1016" s="3" t="s">
        <v>415</v>
      </c>
      <c r="C1016" s="3" t="s">
        <v>405</v>
      </c>
    </row>
    <row r="1017" spans="2:3" hidden="1">
      <c r="B1017" s="3" t="s">
        <v>416</v>
      </c>
      <c r="C1017" s="3">
        <v>0</v>
      </c>
    </row>
    <row r="1018" spans="2:3" hidden="1">
      <c r="B1018" s="3" t="s">
        <v>417</v>
      </c>
      <c r="C1018" s="3">
        <v>0</v>
      </c>
    </row>
    <row r="1019" spans="2:3" hidden="1">
      <c r="B1019" s="3" t="s">
        <v>418</v>
      </c>
      <c r="C1019" s="3">
        <v>0</v>
      </c>
    </row>
    <row r="1020" spans="2:3" hidden="1">
      <c r="B1020" s="3" t="s">
        <v>419</v>
      </c>
      <c r="C1020" s="3">
        <v>0</v>
      </c>
    </row>
    <row r="1021" spans="2:3" hidden="1">
      <c r="B1021" s="3" t="s">
        <v>420</v>
      </c>
      <c r="C1021" s="3">
        <v>0</v>
      </c>
    </row>
    <row r="1022" spans="2:3" hidden="1">
      <c r="B1022" s="3" t="s">
        <v>421</v>
      </c>
      <c r="C1022" s="3">
        <v>0</v>
      </c>
    </row>
    <row r="1023" spans="2:3" hidden="1">
      <c r="B1023" s="3" t="s">
        <v>422</v>
      </c>
      <c r="C1023" s="3">
        <v>0</v>
      </c>
    </row>
    <row r="1024" spans="2:3" hidden="1">
      <c r="B1024" s="3" t="s">
        <v>423</v>
      </c>
      <c r="C1024" s="3">
        <v>0</v>
      </c>
    </row>
    <row r="1025" spans="2:3" hidden="1">
      <c r="B1025" s="3" t="s">
        <v>424</v>
      </c>
      <c r="C1025" s="3">
        <v>0</v>
      </c>
    </row>
    <row r="1026" spans="2:3" hidden="1">
      <c r="B1026" s="3" t="s">
        <v>425</v>
      </c>
      <c r="C1026" s="3">
        <v>0</v>
      </c>
    </row>
    <row r="1027" spans="2:3" hidden="1">
      <c r="B1027" s="3" t="s">
        <v>426</v>
      </c>
      <c r="C1027" s="3">
        <v>0</v>
      </c>
    </row>
    <row r="1028" spans="2:3" hidden="1">
      <c r="B1028" s="3" t="s">
        <v>427</v>
      </c>
      <c r="C1028" s="3">
        <v>0</v>
      </c>
    </row>
    <row r="1029" spans="2:3" hidden="1">
      <c r="B1029" s="3" t="s">
        <v>428</v>
      </c>
      <c r="C1029" s="3">
        <v>0</v>
      </c>
    </row>
    <row r="1030" spans="2:3" hidden="1">
      <c r="B1030" s="3" t="s">
        <v>429</v>
      </c>
      <c r="C1030" s="3">
        <v>0</v>
      </c>
    </row>
    <row r="1031" spans="2:3" hidden="1">
      <c r="B1031" s="3" t="s">
        <v>430</v>
      </c>
      <c r="C1031" s="3">
        <v>0</v>
      </c>
    </row>
    <row r="1032" spans="2:3" hidden="1">
      <c r="B1032" s="3" t="s">
        <v>431</v>
      </c>
      <c r="C1032" s="3" t="s">
        <v>405</v>
      </c>
    </row>
    <row r="1033" spans="2:3" hidden="1">
      <c r="B1033" s="3" t="s">
        <v>432</v>
      </c>
      <c r="C1033" s="3" t="s">
        <v>433</v>
      </c>
    </row>
    <row r="1034" spans="2:3" hidden="1">
      <c r="B1034" s="3" t="s">
        <v>434</v>
      </c>
      <c r="C1034" s="3">
        <v>0</v>
      </c>
    </row>
    <row r="1035" spans="2:3" hidden="1">
      <c r="B1035" s="3" t="s">
        <v>435</v>
      </c>
      <c r="C1035" s="3">
        <v>0</v>
      </c>
    </row>
    <row r="1036" spans="2:3" hidden="1">
      <c r="B1036" s="3" t="s">
        <v>436</v>
      </c>
      <c r="C1036" s="3">
        <v>0</v>
      </c>
    </row>
    <row r="1037" spans="2:3" hidden="1">
      <c r="B1037" s="3" t="s">
        <v>437</v>
      </c>
      <c r="C1037" s="3">
        <v>1</v>
      </c>
    </row>
    <row r="1038" spans="2:3" hidden="1">
      <c r="B1038" s="3" t="s">
        <v>438</v>
      </c>
      <c r="C1038" s="3">
        <v>0</v>
      </c>
    </row>
    <row r="1039" spans="2:3" hidden="1">
      <c r="B1039" s="3" t="s">
        <v>439</v>
      </c>
      <c r="C1039" s="3">
        <v>0.3</v>
      </c>
    </row>
    <row r="1040" spans="2:3" hidden="1">
      <c r="B1040" s="3" t="s">
        <v>440</v>
      </c>
      <c r="C1040" s="3">
        <v>0</v>
      </c>
    </row>
    <row r="1041" spans="2:3" hidden="1">
      <c r="B1041" s="3" t="s">
        <v>441</v>
      </c>
      <c r="C1041" s="3">
        <v>0</v>
      </c>
    </row>
    <row r="1042" spans="2:3" hidden="1">
      <c r="B1042" s="3" t="s">
        <v>442</v>
      </c>
      <c r="C1042" s="3">
        <v>0</v>
      </c>
    </row>
    <row r="1043" spans="2:3" hidden="1">
      <c r="B1043" s="3" t="s">
        <v>443</v>
      </c>
      <c r="C1043" s="3">
        <v>0</v>
      </c>
    </row>
    <row r="1044" spans="2:3" hidden="1">
      <c r="B1044" s="3" t="s">
        <v>444</v>
      </c>
      <c r="C1044" s="3">
        <v>0</v>
      </c>
    </row>
    <row r="1045" spans="2:3" hidden="1">
      <c r="B1045" s="3" t="s">
        <v>445</v>
      </c>
      <c r="C1045" s="3">
        <v>1</v>
      </c>
    </row>
    <row r="1046" spans="2:3" hidden="1">
      <c r="B1046" s="3" t="s">
        <v>446</v>
      </c>
      <c r="C1046" s="3">
        <v>0</v>
      </c>
    </row>
    <row r="1047" spans="2:3" hidden="1">
      <c r="B1047" s="3" t="s">
        <v>447</v>
      </c>
      <c r="C1047" s="3">
        <v>0</v>
      </c>
    </row>
    <row r="1048" spans="2:3" hidden="1">
      <c r="B1048" s="3" t="s">
        <v>448</v>
      </c>
      <c r="C1048" s="3">
        <v>0</v>
      </c>
    </row>
    <row r="1049" spans="2:3" hidden="1">
      <c r="B1049" s="3" t="s">
        <v>449</v>
      </c>
      <c r="C1049" s="3">
        <v>0</v>
      </c>
    </row>
    <row r="1050" spans="2:3" hidden="1">
      <c r="B1050" s="3" t="s">
        <v>450</v>
      </c>
      <c r="C1050" s="3">
        <v>0</v>
      </c>
    </row>
    <row r="1051" spans="2:3" hidden="1">
      <c r="B1051" s="3" t="s">
        <v>451</v>
      </c>
      <c r="C1051" s="3">
        <v>0</v>
      </c>
    </row>
    <row r="1052" spans="2:3" hidden="1">
      <c r="B1052" s="3" t="s">
        <v>452</v>
      </c>
      <c r="C1052" s="3">
        <v>0</v>
      </c>
    </row>
    <row r="1053" spans="2:3" hidden="1">
      <c r="B1053" s="3" t="s">
        <v>453</v>
      </c>
      <c r="C1053" s="3">
        <v>2</v>
      </c>
    </row>
    <row r="1054" spans="2:3" hidden="1">
      <c r="B1054" s="3" t="s">
        <v>454</v>
      </c>
      <c r="C1054" s="3">
        <v>0</v>
      </c>
    </row>
    <row r="1055" spans="2:3" hidden="1">
      <c r="B1055" s="3" t="s">
        <v>455</v>
      </c>
      <c r="C1055" s="3">
        <v>1</v>
      </c>
    </row>
    <row r="1056" spans="2:3" hidden="1">
      <c r="B1056" s="3" t="s">
        <v>456</v>
      </c>
      <c r="C1056" s="3">
        <v>0</v>
      </c>
    </row>
    <row r="1057" spans="2:3" hidden="1">
      <c r="B1057" s="3" t="s">
        <v>457</v>
      </c>
      <c r="C1057" s="3">
        <v>0</v>
      </c>
    </row>
    <row r="1058" spans="2:3" hidden="1">
      <c r="B1058" s="3" t="s">
        <v>458</v>
      </c>
      <c r="C1058" s="3">
        <v>0</v>
      </c>
    </row>
    <row r="1059" spans="2:3" hidden="1">
      <c r="B1059" s="3" t="s">
        <v>459</v>
      </c>
      <c r="C1059" s="3">
        <v>0</v>
      </c>
    </row>
    <row r="1060" spans="2:3" hidden="1">
      <c r="B1060" s="3" t="s">
        <v>460</v>
      </c>
      <c r="C1060" s="3">
        <v>0</v>
      </c>
    </row>
    <row r="1061" spans="2:3" hidden="1">
      <c r="B1061" s="3" t="s">
        <v>461</v>
      </c>
      <c r="C1061" s="3">
        <v>0</v>
      </c>
    </row>
    <row r="1062" spans="2:3" hidden="1">
      <c r="B1062" s="3" t="s">
        <v>462</v>
      </c>
      <c r="C1062" s="3">
        <v>0</v>
      </c>
    </row>
    <row r="1063" spans="2:3" hidden="1">
      <c r="B1063" s="3" t="s">
        <v>463</v>
      </c>
      <c r="C1063" s="3">
        <v>0</v>
      </c>
    </row>
    <row r="1064" spans="2:3" hidden="1">
      <c r="B1064" s="3" t="s">
        <v>464</v>
      </c>
      <c r="C1064" s="3">
        <v>0</v>
      </c>
    </row>
    <row r="1065" spans="2:3" hidden="1">
      <c r="B1065" s="3" t="s">
        <v>465</v>
      </c>
      <c r="C1065" s="3">
        <v>0</v>
      </c>
    </row>
    <row r="1066" spans="2:3" hidden="1">
      <c r="B1066" s="3" t="s">
        <v>466</v>
      </c>
      <c r="C1066" s="3">
        <v>0</v>
      </c>
    </row>
    <row r="1067" spans="2:3" hidden="1">
      <c r="B1067" s="3" t="s">
        <v>467</v>
      </c>
      <c r="C1067" s="3">
        <v>0</v>
      </c>
    </row>
    <row r="1068" spans="2:3" hidden="1">
      <c r="B1068" s="3" t="s">
        <v>468</v>
      </c>
      <c r="C1068" s="3">
        <v>0</v>
      </c>
    </row>
    <row r="1069" spans="2:3" hidden="1">
      <c r="B1069" s="3" t="s">
        <v>469</v>
      </c>
      <c r="C1069" s="3">
        <v>0</v>
      </c>
    </row>
    <row r="1070" spans="2:3" hidden="1">
      <c r="B1070" s="3" t="s">
        <v>470</v>
      </c>
      <c r="C1070" s="3">
        <v>0</v>
      </c>
    </row>
    <row r="1071" spans="2:3" hidden="1">
      <c r="B1071" s="3" t="s">
        <v>471</v>
      </c>
      <c r="C1071" s="3">
        <v>0</v>
      </c>
    </row>
    <row r="1072" spans="2:3" hidden="1">
      <c r="B1072" s="3" t="s">
        <v>472</v>
      </c>
      <c r="C1072" s="3">
        <v>0</v>
      </c>
    </row>
    <row r="1073" spans="2:3" hidden="1">
      <c r="B1073" s="3" t="s">
        <v>473</v>
      </c>
      <c r="C1073" s="3">
        <v>1</v>
      </c>
    </row>
    <row r="1074" spans="2:3" hidden="1">
      <c r="B1074" s="3" t="s">
        <v>474</v>
      </c>
      <c r="C1074" s="3">
        <v>0</v>
      </c>
    </row>
    <row r="1075" spans="2:3" hidden="1">
      <c r="B1075" s="3" t="s">
        <v>475</v>
      </c>
      <c r="C1075" s="3">
        <v>0</v>
      </c>
    </row>
    <row r="1076" spans="2:3" hidden="1">
      <c r="B1076" s="3" t="s">
        <v>476</v>
      </c>
      <c r="C1076" s="3">
        <v>0</v>
      </c>
    </row>
    <row r="1077" spans="2:3" hidden="1">
      <c r="B1077" s="3" t="s">
        <v>477</v>
      </c>
      <c r="C1077" s="3">
        <v>0</v>
      </c>
    </row>
    <row r="1078" spans="2:3" hidden="1">
      <c r="B1078" s="3" t="s">
        <v>478</v>
      </c>
      <c r="C1078" s="3">
        <v>0</v>
      </c>
    </row>
    <row r="1079" spans="2:3" hidden="1">
      <c r="B1079" s="3" t="s">
        <v>479</v>
      </c>
      <c r="C1079" s="3">
        <v>0</v>
      </c>
    </row>
    <row r="1080" spans="2:3" hidden="1">
      <c r="B1080" s="3" t="s">
        <v>480</v>
      </c>
      <c r="C1080" s="3">
        <v>0</v>
      </c>
    </row>
    <row r="1081" spans="2:3" hidden="1">
      <c r="B1081" s="3" t="s">
        <v>481</v>
      </c>
      <c r="C1081" s="3">
        <v>0</v>
      </c>
    </row>
    <row r="1082" spans="2:3" hidden="1">
      <c r="B1082" s="3" t="s">
        <v>482</v>
      </c>
      <c r="C1082" s="3">
        <v>0</v>
      </c>
    </row>
    <row r="1083" spans="2:3" hidden="1">
      <c r="B1083" s="3" t="s">
        <v>483</v>
      </c>
      <c r="C1083" s="3">
        <v>0</v>
      </c>
    </row>
    <row r="1084" spans="2:3" hidden="1">
      <c r="B1084" s="3" t="s">
        <v>484</v>
      </c>
      <c r="C1084" s="3">
        <v>0</v>
      </c>
    </row>
    <row r="1085" spans="2:3" hidden="1">
      <c r="B1085" s="3" t="s">
        <v>485</v>
      </c>
      <c r="C1085" s="3">
        <v>0</v>
      </c>
    </row>
    <row r="1086" spans="2:3" hidden="1">
      <c r="B1086" s="3" t="s">
        <v>486</v>
      </c>
      <c r="C1086" s="3">
        <v>0</v>
      </c>
    </row>
    <row r="1087" spans="2:3" hidden="1">
      <c r="B1087" s="3" t="s">
        <v>487</v>
      </c>
      <c r="C1087" s="3">
        <v>0</v>
      </c>
    </row>
    <row r="1088" spans="2:3" hidden="1">
      <c r="B1088" s="3" t="s">
        <v>488</v>
      </c>
      <c r="C1088" s="3">
        <v>0</v>
      </c>
    </row>
    <row r="1089" spans="2:3" hidden="1">
      <c r="B1089" s="3" t="s">
        <v>489</v>
      </c>
      <c r="C1089" s="3">
        <v>0</v>
      </c>
    </row>
    <row r="1090" spans="2:3" hidden="1">
      <c r="B1090" s="3" t="s">
        <v>490</v>
      </c>
      <c r="C1090" s="3">
        <v>0</v>
      </c>
    </row>
    <row r="1091" spans="2:3" hidden="1">
      <c r="B1091" s="3" t="s">
        <v>491</v>
      </c>
      <c r="C1091" s="3">
        <v>0</v>
      </c>
    </row>
    <row r="1092" spans="2:3" hidden="1">
      <c r="B1092" s="3" t="s">
        <v>492</v>
      </c>
      <c r="C1092" s="3">
        <v>0</v>
      </c>
    </row>
    <row r="1093" spans="2:3" hidden="1">
      <c r="B1093" s="3" t="s">
        <v>493</v>
      </c>
      <c r="C1093" s="3">
        <v>0</v>
      </c>
    </row>
    <row r="1094" spans="2:3" hidden="1">
      <c r="B1094" s="3" t="s">
        <v>494</v>
      </c>
      <c r="C1094" s="3">
        <v>0</v>
      </c>
    </row>
    <row r="1095" spans="2:3" hidden="1">
      <c r="B1095" s="3" t="s">
        <v>495</v>
      </c>
      <c r="C1095" s="3">
        <v>0</v>
      </c>
    </row>
    <row r="1096" spans="2:3" hidden="1">
      <c r="B1096" s="3" t="s">
        <v>496</v>
      </c>
      <c r="C1096" s="3">
        <v>0</v>
      </c>
    </row>
    <row r="1097" spans="2:3" hidden="1">
      <c r="B1097" s="3" t="s">
        <v>497</v>
      </c>
      <c r="C1097" s="3">
        <v>0</v>
      </c>
    </row>
    <row r="1098" spans="2:3" hidden="1">
      <c r="B1098" s="3" t="s">
        <v>498</v>
      </c>
      <c r="C1098" s="3">
        <v>0</v>
      </c>
    </row>
    <row r="1099" spans="2:3" hidden="1">
      <c r="B1099" s="3" t="s">
        <v>499</v>
      </c>
      <c r="C1099" s="3">
        <v>0</v>
      </c>
    </row>
    <row r="1100" spans="2:3" hidden="1">
      <c r="B1100" s="3" t="s">
        <v>500</v>
      </c>
      <c r="C1100" s="3">
        <v>0</v>
      </c>
    </row>
    <row r="1101" spans="2:3" hidden="1">
      <c r="B1101" s="3" t="s">
        <v>501</v>
      </c>
      <c r="C1101" s="3">
        <v>0</v>
      </c>
    </row>
    <row r="1102" spans="2:3" hidden="1">
      <c r="B1102" s="3" t="s">
        <v>502</v>
      </c>
      <c r="C1102" s="3">
        <v>0</v>
      </c>
    </row>
    <row r="1103" spans="2:3" hidden="1">
      <c r="B1103" s="3" t="s">
        <v>503</v>
      </c>
      <c r="C1103" s="3">
        <v>0</v>
      </c>
    </row>
    <row r="1104" spans="2:3" hidden="1">
      <c r="B1104" s="3" t="s">
        <v>504</v>
      </c>
      <c r="C1104" s="3">
        <v>0</v>
      </c>
    </row>
    <row r="1105" spans="2:3" hidden="1">
      <c r="B1105" s="3" t="s">
        <v>505</v>
      </c>
      <c r="C1105" s="3">
        <v>0</v>
      </c>
    </row>
    <row r="1106" spans="2:3" hidden="1">
      <c r="B1106" s="3" t="s">
        <v>506</v>
      </c>
      <c r="C1106" s="3">
        <v>0</v>
      </c>
    </row>
    <row r="1107" spans="2:3" hidden="1">
      <c r="B1107" s="3" t="s">
        <v>507</v>
      </c>
      <c r="C1107" s="3">
        <v>0</v>
      </c>
    </row>
    <row r="1108" spans="2:3" hidden="1">
      <c r="B1108" s="3" t="s">
        <v>508</v>
      </c>
      <c r="C1108" s="3">
        <v>0</v>
      </c>
    </row>
    <row r="1109" spans="2:3" hidden="1">
      <c r="B1109" s="3" t="s">
        <v>509</v>
      </c>
      <c r="C1109" s="3">
        <v>0</v>
      </c>
    </row>
    <row r="1110" spans="2:3" hidden="1">
      <c r="B1110" s="3" t="s">
        <v>510</v>
      </c>
      <c r="C1110" s="3">
        <v>0</v>
      </c>
    </row>
    <row r="1111" spans="2:3" hidden="1">
      <c r="B1111" s="3" t="s">
        <v>511</v>
      </c>
      <c r="C1111" s="3">
        <v>0</v>
      </c>
    </row>
    <row r="1112" spans="2:3" hidden="1">
      <c r="B1112" s="3" t="s">
        <v>512</v>
      </c>
      <c r="C1112" s="3">
        <v>0</v>
      </c>
    </row>
    <row r="1113" spans="2:3" hidden="1">
      <c r="B1113" s="3" t="s">
        <v>513</v>
      </c>
      <c r="C1113" s="3">
        <v>0</v>
      </c>
    </row>
    <row r="1048548" ht="6.75" hidden="1" customHeight="1"/>
  </sheetData>
  <sheetProtection sheet="1" objects="1" scenarios="1"/>
  <mergeCells count="7">
    <mergeCell ref="D38:E38"/>
    <mergeCell ref="D39:E39"/>
    <mergeCell ref="N2:R2"/>
    <mergeCell ref="L4:L8"/>
    <mergeCell ref="B1:H1"/>
    <mergeCell ref="D36:E36"/>
    <mergeCell ref="D37:E37"/>
  </mergeCells>
  <pageMargins left="0.25" right="0.25" top="0.75" bottom="0.75" header="0.3" footer="0.3"/>
  <pageSetup scale="87" orientation="portrait" r:id="rId1"/>
  <ignoredErrors>
    <ignoredError sqref="G10 E10:E14 C9 G14 G15:G20 C4 E1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42099-45FA-4084-9134-F3158611363E}">
  <dimension ref="A1:I56"/>
  <sheetViews>
    <sheetView workbookViewId="0">
      <selection activeCell="G24" sqref="G24"/>
    </sheetView>
  </sheetViews>
  <sheetFormatPr defaultRowHeight="15"/>
  <cols>
    <col min="1" max="1" width="31.375" bestFit="1" customWidth="1"/>
    <col min="3" max="3" width="9.875" bestFit="1" customWidth="1"/>
  </cols>
  <sheetData>
    <row r="1" spans="1:9">
      <c r="A1" s="169" t="s">
        <v>514</v>
      </c>
    </row>
    <row r="3" spans="1:9">
      <c r="A3" s="169" t="s">
        <v>515</v>
      </c>
      <c r="F3" t="s">
        <v>516</v>
      </c>
    </row>
    <row r="4" spans="1:9">
      <c r="B4" t="s">
        <v>517</v>
      </c>
      <c r="C4" t="s">
        <v>518</v>
      </c>
      <c r="G4">
        <v>2025</v>
      </c>
      <c r="H4">
        <v>2026</v>
      </c>
    </row>
    <row r="5" spans="1:9">
      <c r="B5" t="s">
        <v>519</v>
      </c>
      <c r="C5" t="s">
        <v>519</v>
      </c>
      <c r="F5" t="s">
        <v>520</v>
      </c>
      <c r="G5" t="s">
        <v>521</v>
      </c>
    </row>
    <row r="6" spans="1:9">
      <c r="A6" t="s">
        <v>522</v>
      </c>
      <c r="B6" s="166">
        <v>80.89</v>
      </c>
      <c r="C6" s="166">
        <v>69.734499999999997</v>
      </c>
      <c r="F6">
        <v>280</v>
      </c>
      <c r="G6" s="166">
        <f>F6*B6/100</f>
        <v>226.49200000000002</v>
      </c>
      <c r="H6" s="166">
        <f>F6/100*C6</f>
        <v>195.25659999999999</v>
      </c>
    </row>
    <row r="7" spans="1:9">
      <c r="A7" t="s">
        <v>523</v>
      </c>
      <c r="B7" s="166">
        <v>54.48</v>
      </c>
      <c r="C7" s="166">
        <v>54.174094252499998</v>
      </c>
    </row>
    <row r="8" spans="1:9">
      <c r="A8" t="s">
        <v>524</v>
      </c>
      <c r="B8" s="166">
        <v>88.15</v>
      </c>
      <c r="C8" s="166">
        <v>85.856828706000002</v>
      </c>
      <c r="F8">
        <v>50</v>
      </c>
      <c r="G8" s="166">
        <f>F8*B8/100</f>
        <v>44.075000000000003</v>
      </c>
      <c r="H8" s="166">
        <f t="shared" ref="H8:H10" si="0">F8/100*C8</f>
        <v>42.928414353000001</v>
      </c>
    </row>
    <row r="9" spans="1:9">
      <c r="A9" s="171" t="s">
        <v>525</v>
      </c>
      <c r="B9" s="167">
        <f>B8/$F$8</f>
        <v>1.7630000000000001</v>
      </c>
      <c r="C9" s="167">
        <f>C8/$F$8</f>
        <v>1.71713657412</v>
      </c>
      <c r="G9" s="166"/>
      <c r="H9" s="166"/>
    </row>
    <row r="10" spans="1:9">
      <c r="A10" t="s">
        <v>526</v>
      </c>
      <c r="B10" s="166">
        <v>70.98</v>
      </c>
      <c r="C10" s="166">
        <v>61.191183211769065</v>
      </c>
      <c r="F10">
        <v>400</v>
      </c>
      <c r="G10" s="166">
        <f>F10*B10/100</f>
        <v>283.92</v>
      </c>
      <c r="H10" s="166">
        <f t="shared" si="0"/>
        <v>244.76473284707626</v>
      </c>
    </row>
    <row r="11" spans="1:9">
      <c r="B11" s="166"/>
      <c r="C11" s="166"/>
      <c r="G11" s="170">
        <f>B10/B6</f>
        <v>0.8774879465941402</v>
      </c>
      <c r="H11" s="170">
        <f>C10/C6</f>
        <v>0.8774879465941402</v>
      </c>
    </row>
    <row r="12" spans="1:9">
      <c r="A12" t="s">
        <v>527</v>
      </c>
      <c r="B12" s="166">
        <v>297.44749999999999</v>
      </c>
      <c r="C12" s="166">
        <v>256.42666199468414</v>
      </c>
      <c r="G12" s="166">
        <f>B12-G6</f>
        <v>70.955499999999972</v>
      </c>
      <c r="H12" s="166">
        <f>C12-H6</f>
        <v>61.170061994684147</v>
      </c>
      <c r="I12" t="s">
        <v>528</v>
      </c>
    </row>
    <row r="13" spans="1:9">
      <c r="A13" s="171" t="s">
        <v>529</v>
      </c>
      <c r="B13" s="188">
        <f>B12/F13</f>
        <v>106.23125</v>
      </c>
      <c r="C13" s="172">
        <f>C12/F13</f>
        <v>91.580950712387192</v>
      </c>
      <c r="F13">
        <v>2.8</v>
      </c>
      <c r="G13" s="170">
        <f>B13/B6</f>
        <v>1.3132803807640006</v>
      </c>
      <c r="H13" s="170">
        <f>C13/C6</f>
        <v>1.3132803807640006</v>
      </c>
    </row>
    <row r="14" spans="1:9">
      <c r="A14" t="s">
        <v>530</v>
      </c>
      <c r="B14" s="166">
        <v>19</v>
      </c>
      <c r="C14" s="166">
        <v>19</v>
      </c>
    </row>
    <row r="15" spans="1:9">
      <c r="A15" t="s">
        <v>531</v>
      </c>
      <c r="B15" s="166">
        <v>4</v>
      </c>
      <c r="C15" s="166">
        <v>4.47</v>
      </c>
    </row>
    <row r="16" spans="1:9">
      <c r="A16" t="s">
        <v>532</v>
      </c>
      <c r="B16" s="166">
        <v>261.10000000000002</v>
      </c>
      <c r="C16" s="166">
        <v>291.10000000000002</v>
      </c>
    </row>
    <row r="17" spans="1:5">
      <c r="A17" t="s">
        <v>533</v>
      </c>
      <c r="B17" s="166">
        <v>167.5</v>
      </c>
      <c r="C17" s="166">
        <v>187.18124999999998</v>
      </c>
    </row>
    <row r="19" spans="1:5">
      <c r="A19" s="169" t="s">
        <v>534</v>
      </c>
    </row>
    <row r="20" spans="1:5">
      <c r="C20" s="168">
        <v>2026</v>
      </c>
    </row>
    <row r="21" spans="1:5">
      <c r="A21" t="s">
        <v>535</v>
      </c>
      <c r="C21" s="168">
        <v>60.17</v>
      </c>
    </row>
    <row r="23" spans="1:5">
      <c r="A23" s="169" t="s">
        <v>536</v>
      </c>
    </row>
    <row r="24" spans="1:5">
      <c r="A24" t="s">
        <v>537</v>
      </c>
      <c r="C24">
        <v>68.28</v>
      </c>
    </row>
    <row r="26" spans="1:5">
      <c r="A26" s="169" t="s">
        <v>538</v>
      </c>
      <c r="D26" t="s">
        <v>539</v>
      </c>
      <c r="E26" t="s">
        <v>540</v>
      </c>
    </row>
    <row r="27" spans="1:5">
      <c r="A27" t="s">
        <v>539</v>
      </c>
      <c r="B27" t="s">
        <v>541</v>
      </c>
      <c r="C27">
        <f>D27*$E$27</f>
        <v>64.140999999999991</v>
      </c>
      <c r="D27">
        <v>91.63</v>
      </c>
      <c r="E27">
        <v>0.7</v>
      </c>
    </row>
    <row r="28" spans="1:5">
      <c r="B28" t="s">
        <v>542</v>
      </c>
      <c r="C28">
        <f t="shared" ref="C28:C29" si="1">D28*$E$27</f>
        <v>69.173999999999992</v>
      </c>
      <c r="D28">
        <v>98.82</v>
      </c>
    </row>
    <row r="29" spans="1:5">
      <c r="B29" t="s">
        <v>543</v>
      </c>
      <c r="C29">
        <f t="shared" si="1"/>
        <v>71.015000000000001</v>
      </c>
      <c r="D29">
        <v>101.45</v>
      </c>
    </row>
    <row r="30" spans="1:5">
      <c r="B30" t="s">
        <v>544</v>
      </c>
      <c r="C30">
        <f>AVERAGE(C27:C29)</f>
        <v>68.11</v>
      </c>
    </row>
    <row r="32" spans="1:5">
      <c r="A32" s="169" t="s">
        <v>545</v>
      </c>
    </row>
    <row r="33" spans="1:3">
      <c r="B33" t="s">
        <v>541</v>
      </c>
      <c r="C33">
        <v>65</v>
      </c>
    </row>
    <row r="34" spans="1:3">
      <c r="B34" t="s">
        <v>542</v>
      </c>
      <c r="C34">
        <v>70</v>
      </c>
    </row>
    <row r="35" spans="1:3">
      <c r="B35" t="s">
        <v>543</v>
      </c>
    </row>
    <row r="36" spans="1:3">
      <c r="B36" t="s">
        <v>544</v>
      </c>
      <c r="C36">
        <f>AVERAGE(C33:C35)</f>
        <v>67.5</v>
      </c>
    </row>
    <row r="38" spans="1:3">
      <c r="A38" t="s">
        <v>546</v>
      </c>
      <c r="C38" s="189">
        <v>68.25</v>
      </c>
    </row>
    <row r="39" spans="1:3">
      <c r="A39" s="169"/>
    </row>
    <row r="40" spans="1:3">
      <c r="A40" s="169" t="s">
        <v>547</v>
      </c>
    </row>
    <row r="41" spans="1:3">
      <c r="A41" t="s">
        <v>548</v>
      </c>
      <c r="B41" t="s">
        <v>549</v>
      </c>
      <c r="C41" t="s">
        <v>550</v>
      </c>
    </row>
    <row r="42" spans="1:3">
      <c r="A42" t="s">
        <v>551</v>
      </c>
      <c r="B42">
        <v>65.5</v>
      </c>
      <c r="C42">
        <v>50</v>
      </c>
    </row>
    <row r="43" spans="1:3">
      <c r="A43" t="s">
        <v>552</v>
      </c>
      <c r="B43">
        <f>B42/C42*100</f>
        <v>131</v>
      </c>
    </row>
    <row r="44" spans="1:3">
      <c r="A44" t="s">
        <v>553</v>
      </c>
      <c r="B44">
        <v>61.7</v>
      </c>
    </row>
    <row r="45" spans="1:3">
      <c r="A45" t="s">
        <v>554</v>
      </c>
      <c r="B45" s="187">
        <f>B43/B44</f>
        <v>2.1231766612641816</v>
      </c>
    </row>
    <row r="47" spans="1:3">
      <c r="A47" t="s">
        <v>555</v>
      </c>
      <c r="B47" s="167">
        <f>AVERAGE(B9:C9)</f>
        <v>1.7400682870600002</v>
      </c>
    </row>
    <row r="48" spans="1:3">
      <c r="B48" s="167"/>
    </row>
    <row r="49" spans="1:5">
      <c r="A49" t="s">
        <v>556</v>
      </c>
      <c r="B49" s="187">
        <f>AVERAGE(B45,B47)</f>
        <v>1.9316224741620909</v>
      </c>
    </row>
    <row r="51" spans="1:5">
      <c r="A51" s="169" t="s">
        <v>557</v>
      </c>
    </row>
    <row r="52" spans="1:5">
      <c r="A52" t="s">
        <v>21</v>
      </c>
      <c r="C52">
        <v>68.25</v>
      </c>
      <c r="E52" t="s">
        <v>558</v>
      </c>
    </row>
    <row r="53" spans="1:5">
      <c r="A53" t="s">
        <v>559</v>
      </c>
      <c r="C53">
        <v>1.9</v>
      </c>
      <c r="D53" t="s">
        <v>560</v>
      </c>
      <c r="E53" t="s">
        <v>561</v>
      </c>
    </row>
    <row r="54" spans="1:5">
      <c r="A54" t="s">
        <v>562</v>
      </c>
      <c r="C54">
        <f>C52*C53/100</f>
        <v>1.2967499999999998</v>
      </c>
    </row>
    <row r="55" spans="1:5">
      <c r="A55" t="s">
        <v>563</v>
      </c>
      <c r="C55">
        <v>50</v>
      </c>
    </row>
    <row r="56" spans="1:5">
      <c r="A56" t="s">
        <v>564</v>
      </c>
      <c r="C56" s="189">
        <f>C54*C55</f>
        <v>64.837499999999991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9f608c11-4ccd-421c-a88d-29e29a7a365f" xsi:nil="true"/>
    <lcf76f155ced4ddcb4097134ff3c332f xmlns="9f608c11-4ccd-421c-a88d-29e29a7a365f">
      <Terms xmlns="http://schemas.microsoft.com/office/infopath/2007/PartnerControls"/>
    </lcf76f155ced4ddcb4097134ff3c332f>
    <TaxCatchAll xmlns="7bd0c97a-79aa-4cc6-bd7d-1cd468b1e455" xsi:nil="true"/>
    <last_x0020_update xmlns="9f608c11-4ccd-421c-a88d-29e29a7a36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995914E1A9804181E196FA66AF5914" ma:contentTypeVersion="21" ma:contentTypeDescription="Create a new document." ma:contentTypeScope="" ma:versionID="d620b20bc7a183f258ec10a7d71db0ae">
  <xsd:schema xmlns:xsd="http://www.w3.org/2001/XMLSchema" xmlns:xs="http://www.w3.org/2001/XMLSchema" xmlns:p="http://schemas.microsoft.com/office/2006/metadata/properties" xmlns:ns2="9f608c11-4ccd-421c-a88d-29e29a7a365f" xmlns:ns3="7bd0c97a-79aa-4cc6-bd7d-1cd468b1e455" targetNamespace="http://schemas.microsoft.com/office/2006/metadata/properties" ma:root="true" ma:fieldsID="f419571e5e10bbeff24e2a4523aa8732" ns2:_="" ns3:_="">
    <xsd:import namespace="9f608c11-4ccd-421c-a88d-29e29a7a365f"/>
    <xsd:import namespace="7bd0c97a-79aa-4cc6-bd7d-1cd468b1e45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ast_x0020_update" minOccurs="0"/>
                <xsd:element ref="ns2:MediaServiceLocation" minOccurs="0"/>
                <xsd:element ref="ns2:Da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8c11-4ccd-421c-a88d-29e29a7a3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ast_x0020_update" ma:index="19" nillable="true" ma:displayName="last update" ma:format="DateOnly" ma:internalName="last_x0020_update">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Date" ma:index="21" nillable="true" ma:displayName="Date" ma:format="DateOnly" ma:internalName="Date">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d0c97a-79aa-4cc6-bd7d-1cd468b1e4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1755391-8c5a-49fe-93a6-be9ca737bd28}" ma:internalName="TaxCatchAll" ma:showField="CatchAllData" ma:web="7bd0c97a-79aa-4cc6-bd7d-1cd468b1e4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6B92D2-4164-4609-B292-8FF7F02C1015}"/>
</file>

<file path=customXml/itemProps2.xml><?xml version="1.0" encoding="utf-8"?>
<ds:datastoreItem xmlns:ds="http://schemas.openxmlformats.org/officeDocument/2006/customXml" ds:itemID="{2EC9FB9B-400F-4719-A180-B446AC3F2DD8}"/>
</file>

<file path=customXml/itemProps3.xml><?xml version="1.0" encoding="utf-8"?>
<ds:datastoreItem xmlns:ds="http://schemas.openxmlformats.org/officeDocument/2006/customXml" ds:itemID="{86546C5F-DFD2-424D-B57A-31D72B6F8C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E. Massey</dc:creator>
  <cp:keywords/>
  <dc:description/>
  <cp:lastModifiedBy>Stokes, Victoria</cp:lastModifiedBy>
  <cp:revision/>
  <dcterms:created xsi:type="dcterms:W3CDTF">2014-11-07T21:30:57Z</dcterms:created>
  <dcterms:modified xsi:type="dcterms:W3CDTF">2025-10-13T18:38:24Z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0x010100BE995914E1A9804181E196FA66AF5914</vt:lpwstr>
  </property>
  <property fmtid="{D5CDD505-2E9C-101B-9397-08002B2CF9AE}" pid="3" name="MediaServiceImageTags">
    <vt:lpwstr/>
  </property>
</Properties>
</file>