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Vegetable Budgets - In Draft/"/>
    </mc:Choice>
  </mc:AlternateContent>
  <xr:revisionPtr revIDLastSave="230" documentId="8_{272A9658-E3E6-448C-B6CA-9F0447F61945}" xr6:coauthVersionLast="47" xr6:coauthVersionMax="47" xr10:uidLastSave="{A7DABFA6-09F3-4CA2-B6D8-C8BC204B9DF2}"/>
  <workbookProtection lockStructure="1"/>
  <bookViews>
    <workbookView xWindow="28680" yWindow="-120" windowWidth="38640" windowHeight="21840" activeTab="2"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Budget!$B$1:$G$43</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27" i="1"/>
  <c r="I3" i="4" l="1"/>
  <c r="B3" i="4"/>
  <c r="G28" i="1"/>
  <c r="G22" i="1"/>
  <c r="G23" i="1"/>
  <c r="G15" i="1"/>
  <c r="G16" i="1"/>
  <c r="G17" i="1"/>
  <c r="G18" i="1"/>
  <c r="G9" i="1"/>
  <c r="G11" i="1"/>
  <c r="G10" i="1"/>
  <c r="H57" i="1"/>
  <c r="G57" i="1"/>
  <c r="F57" i="1"/>
  <c r="E21" i="1" s="1"/>
  <c r="G25" i="1"/>
  <c r="G19" i="1"/>
  <c r="G13" i="1" l="1"/>
  <c r="D9" i="4"/>
  <c r="H5" i="4"/>
  <c r="G26" i="1"/>
  <c r="G35" i="1" l="1"/>
  <c r="G36" i="1" l="1"/>
  <c r="G37" i="1" s="1"/>
  <c r="I5" i="4" l="1"/>
  <c r="J5" i="4" l="1"/>
  <c r="K5" i="4"/>
  <c r="G5" i="4"/>
  <c r="F5" i="4"/>
  <c r="E5" i="4"/>
  <c r="D8" i="4"/>
  <c r="D10" i="4"/>
  <c r="D11" i="4"/>
  <c r="D7" i="4"/>
  <c r="D12" i="4"/>
  <c r="D6" i="4"/>
  <c r="G24" i="1" l="1"/>
  <c r="G21" i="1"/>
  <c r="G8" i="1"/>
  <c r="G12" i="1"/>
  <c r="G6" i="1"/>
  <c r="G3" i="1"/>
  <c r="G4" i="1" l="1"/>
  <c r="E29" i="1" l="1"/>
  <c r="G29" i="1" s="1"/>
  <c r="G30" i="1" s="1"/>
  <c r="G32" i="1" l="1"/>
  <c r="G38" i="1" s="1"/>
  <c r="I9" i="4" s="1"/>
  <c r="H22" i="4" l="1"/>
  <c r="H19" i="4"/>
  <c r="G21" i="4"/>
  <c r="J21" i="4"/>
  <c r="F20" i="4"/>
  <c r="H20" i="4"/>
  <c r="J23" i="4"/>
  <c r="G39" i="1"/>
  <c r="K19" i="4"/>
  <c r="H23" i="4"/>
  <c r="J7" i="4"/>
  <c r="J11" i="4"/>
  <c r="I21" i="4"/>
  <c r="J22" i="4"/>
  <c r="H18" i="4"/>
  <c r="I23" i="4"/>
  <c r="E18" i="4"/>
  <c r="F24" i="4"/>
  <c r="G24" i="4"/>
  <c r="K20" i="4"/>
  <c r="J24" i="4"/>
  <c r="H24" i="4"/>
  <c r="G23" i="4"/>
  <c r="I24" i="4"/>
  <c r="K18" i="4"/>
  <c r="J19" i="4"/>
  <c r="I20" i="4"/>
  <c r="F18" i="4"/>
  <c r="K24" i="4"/>
  <c r="E20" i="4"/>
  <c r="E19" i="4"/>
  <c r="J18" i="4"/>
  <c r="F23" i="4"/>
  <c r="F21" i="4"/>
  <c r="G19" i="4"/>
  <c r="G22" i="4"/>
  <c r="K22" i="4"/>
  <c r="I19" i="4"/>
  <c r="I22" i="4"/>
  <c r="G18" i="4"/>
  <c r="E23" i="4"/>
  <c r="G20" i="4"/>
  <c r="E24" i="4"/>
  <c r="I18" i="4"/>
  <c r="K21" i="4"/>
  <c r="J20" i="4"/>
  <c r="E22" i="4"/>
  <c r="K23" i="4"/>
  <c r="F22" i="4"/>
  <c r="E21" i="4"/>
  <c r="H21" i="4"/>
  <c r="F19" i="4"/>
  <c r="H10" i="4"/>
  <c r="K12" i="4"/>
  <c r="F6" i="4"/>
  <c r="K10" i="4"/>
  <c r="G8" i="4"/>
  <c r="H6" i="4"/>
  <c r="E6" i="4"/>
  <c r="H8" i="4"/>
  <c r="E11" i="4"/>
  <c r="F10" i="4"/>
  <c r="K11" i="4"/>
  <c r="K9" i="4"/>
  <c r="H7" i="4"/>
  <c r="H12" i="4"/>
  <c r="G9" i="4"/>
  <c r="K7" i="4"/>
  <c r="K6" i="4"/>
  <c r="J6" i="4"/>
  <c r="G12" i="4"/>
  <c r="G41" i="1"/>
  <c r="H9" i="4"/>
  <c r="J9" i="4"/>
  <c r="I8" i="4"/>
  <c r="F7" i="4"/>
  <c r="I10" i="4"/>
  <c r="E10" i="4"/>
  <c r="E9" i="4"/>
  <c r="J8" i="4"/>
  <c r="K8" i="4"/>
  <c r="I6" i="4"/>
  <c r="G11" i="4"/>
  <c r="I12" i="4"/>
  <c r="F8" i="4"/>
  <c r="I7" i="4"/>
  <c r="H11" i="4"/>
  <c r="G7" i="4"/>
  <c r="F9" i="4"/>
  <c r="J10" i="4"/>
  <c r="E12" i="4"/>
  <c r="G10" i="4"/>
  <c r="E7" i="4"/>
  <c r="F12" i="4"/>
  <c r="E8" i="4"/>
  <c r="I11" i="4"/>
  <c r="G6" i="4"/>
  <c r="F11" i="4"/>
  <c r="J12"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<sst xmlns="http://schemas.openxmlformats.org/spreadsheetml/2006/main" count="170" uniqueCount="118">
  <si>
    <t>Updated: 1/2025</t>
  </si>
  <si>
    <t>This worksheet is for educational purposes only and the user assumes all risks associated with its use.</t>
  </si>
  <si>
    <t>Revenue</t>
  </si>
  <si>
    <t>Unit</t>
  </si>
  <si>
    <t xml:space="preserve"> Quantity</t>
  </si>
  <si>
    <t>acre</t>
  </si>
  <si>
    <t>ton</t>
  </si>
  <si>
    <t>pound</t>
  </si>
  <si>
    <t>percent</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</si>
  <si>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</si>
  <si>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</si>
  <si>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</si>
  <si>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</si>
  <si>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</si>
  <si>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</si>
  <si>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</si>
  <si>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</si>
  <si>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</si>
  <si>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</si>
  <si>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</si>
  <si>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</si>
  <si>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</si>
  <si>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</si>
  <si>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</si>
  <si>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</si>
  <si>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</si>
  <si>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</si>
  <si>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</si>
  <si>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</si>
  <si>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</si>
  <si>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Interest on operating capital</t>
  </si>
  <si>
    <t xml:space="preserve">For budget questions, contact: </t>
  </si>
  <si>
    <t xml:space="preserve">For horticulture expertise, contact: </t>
  </si>
  <si>
    <t>MU Commercial Horticulture Team</t>
  </si>
  <si>
    <t>Price per unit</t>
  </si>
  <si>
    <t>Dollars per acre</t>
  </si>
  <si>
    <t>Fertilizer and lime</t>
  </si>
  <si>
    <t>Labor</t>
  </si>
  <si>
    <t>Lime (spread)</t>
  </si>
  <si>
    <t>Insecticide</t>
  </si>
  <si>
    <t>Irrigation</t>
  </si>
  <si>
    <t>hour</t>
  </si>
  <si>
    <t>Machinery fuel/repair/maintenance</t>
  </si>
  <si>
    <t>Land</t>
  </si>
  <si>
    <t>Item</t>
  </si>
  <si>
    <t>Passes</t>
  </si>
  <si>
    <t>$ per pass</t>
  </si>
  <si>
    <t>2WD 75 hp</t>
  </si>
  <si>
    <t>Disk harrow (10')</t>
  </si>
  <si>
    <t>Interest</t>
  </si>
  <si>
    <t>$ per acre</t>
  </si>
  <si>
    <t>years</t>
  </si>
  <si>
    <t>% of investment</t>
  </si>
  <si>
    <t>Overhead irrigation equipment</t>
  </si>
  <si>
    <t>Power unit</t>
  </si>
  <si>
    <t>Purchase price</t>
  </si>
  <si>
    <t>Salvage value</t>
  </si>
  <si>
    <t>Useful life</t>
  </si>
  <si>
    <t>Total</t>
  </si>
  <si>
    <t>Repairs/maint.</t>
  </si>
  <si>
    <t>hours/pass</t>
  </si>
  <si>
    <t>Developed by: Peter Zimmel, FAPRI</t>
  </si>
  <si>
    <t>Dollars per acre
per acre</t>
  </si>
  <si>
    <t xml:space="preserve">Table 2: Irrigation system cost information </t>
  </si>
  <si>
    <t xml:space="preserve">Explore estimated annual per acre returns over total costs under varying revenue and operating cost scenarios. </t>
  </si>
  <si>
    <t>Chisel plow (9')</t>
  </si>
  <si>
    <t>Cultivate + sidedress (4-row)</t>
  </si>
  <si>
    <t>Trailer - vegetables (16')</t>
  </si>
  <si>
    <t>Mallory Rahe, MU Extension</t>
  </si>
  <si>
    <t>Machinery operator</t>
  </si>
  <si>
    <t>Machinery</t>
  </si>
  <si>
    <t>Irrigation system</t>
  </si>
  <si>
    <t xml:space="preserve">Budget created by Peter Zimmel, Food and Agricultural Policy Institute (FAPRI). Prices were updated January 2025. </t>
  </si>
  <si>
    <t xml:space="preserve">Access online at muext.us/MissouriAgBudgets. </t>
  </si>
  <si>
    <r>
      <t>Operating costs</t>
    </r>
    <r>
      <rPr>
        <vertAlign val="superscript"/>
        <sz val="11"/>
        <color theme="1"/>
        <rFont val="Aptos  "/>
      </rPr>
      <t>1</t>
    </r>
  </si>
  <si>
    <r>
      <t>Ownership costs</t>
    </r>
    <r>
      <rPr>
        <vertAlign val="superscript"/>
        <sz val="11"/>
        <color theme="1"/>
        <rFont val="Aptos  "/>
      </rPr>
      <t>2</t>
    </r>
  </si>
  <si>
    <r>
      <rPr>
        <vertAlign val="superscript"/>
        <sz val="10"/>
        <rFont val="Aptos  "/>
      </rPr>
      <t>1</t>
    </r>
    <r>
      <rPr>
        <sz val="10"/>
        <rFont val="Aptos  "/>
      </rPr>
      <t>Machinery operating cost is the sum of fuel, repairs and maintenance.</t>
    </r>
  </si>
  <si>
    <r>
      <rPr>
        <vertAlign val="superscript"/>
        <sz val="10"/>
        <rFont val="Aptos  "/>
      </rPr>
      <t>2</t>
    </r>
    <r>
      <rPr>
        <sz val="10"/>
        <rFont val="Aptos  "/>
      </rPr>
      <t>Machinery ownership cost is the sum of machinery overhead and depreciation.</t>
    </r>
  </si>
  <si>
    <t>Packaging</t>
  </si>
  <si>
    <t>Marketing</t>
  </si>
  <si>
    <t>This budget models one acre of open field irrigated sweet corn production. All ears are assumed to be sold by the dozen into fresh markets. Develop a customized budget by adjusting the assumptions in gray cells to match the management practices and expected yields and prices for your farm.</t>
  </si>
  <si>
    <t>Sweet corn</t>
  </si>
  <si>
    <t>Sweet Corn Enterprise Budget</t>
  </si>
  <si>
    <t>Seed</t>
  </si>
  <si>
    <t xml:space="preserve">Nitrogen  </t>
  </si>
  <si>
    <t>Phosphate</t>
  </si>
  <si>
    <t>Potash</t>
  </si>
  <si>
    <t>Nitrogen sidedressing</t>
  </si>
  <si>
    <t>pint</t>
  </si>
  <si>
    <t>Herbicide (Bicep II Magnum)</t>
  </si>
  <si>
    <t>boxes/bags</t>
  </si>
  <si>
    <t>Plntr - vacuum (4-row)</t>
  </si>
  <si>
    <t>Cultivate (4-row)</t>
  </si>
  <si>
    <t>Disk bed + app fert (4-row)</t>
  </si>
  <si>
    <t>Cultivate + app herb (4-row)</t>
  </si>
  <si>
    <t>Sprayer 300-450 gallon (60')</t>
  </si>
  <si>
    <t>Self-propelled</t>
  </si>
  <si>
    <t>Poncho</t>
  </si>
  <si>
    <t>Brigade 2EC</t>
  </si>
  <si>
    <t>Pounce</t>
  </si>
  <si>
    <t>Radiant 1SC</t>
  </si>
  <si>
    <t>ounce</t>
  </si>
  <si>
    <t>Miscellaneous expense</t>
  </si>
  <si>
    <t>Harvest</t>
  </si>
  <si>
    <t>Packing</t>
  </si>
  <si>
    <t>Other</t>
  </si>
  <si>
    <t>Irrigation fuel and oil</t>
  </si>
  <si>
    <t>Irrigation repairs/maintenance</t>
  </si>
  <si>
    <t>Sweet Corn Price and Yield Sensitivity Table</t>
  </si>
  <si>
    <t>Sweet Corn Operating Costs and Revenue Sensitivity Table</t>
  </si>
  <si>
    <t>dozen ears</t>
  </si>
  <si>
    <t>Yield per acre:</t>
  </si>
  <si>
    <t>Price per:</t>
  </si>
  <si>
    <t xml:space="preserve">Sweet Corn Enterprise Budget for Missouri </t>
  </si>
  <si>
    <t>This work is supported by the U.S. Department of Agriculture’s (USDA) Farm Service Agency through project award number FSA23CPT0012862. Its contents are solely the responsibility of the authors and do not necessarily represent the official views of the USDA.</t>
  </si>
  <si>
    <t>Table 1: Capital investments used in Missouri sweet potato budget</t>
  </si>
  <si>
    <t xml:space="preserve">Explore annual profitability expectations (per acre returns over total costs) under varying yield and price scenarios in full production and holding costs constant. </t>
  </si>
  <si>
    <t>Return to land and 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</si>
</sst>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 numFmtId="167" formatCode="&quot;$&quot;#,##0"/>
  </numFmts>
  <fonts count="35">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i/>
      <sz val="12"/>
      <color theme="1"/>
      <name val="Aptos"/>
      <family val="2"/>
      <scheme val="minor"/>
    </font>
    <font>
      <sz val="12"/>
      <name val="Aptos"/>
      <family val="2"/>
      <scheme val="minor"/>
    </font>
    <font>
      <b/>
      <sz val="12"/>
      <color rgb="FFF1B82D"/>
      <name val="Aptos"/>
      <family val="2"/>
      <scheme val="min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b/>
      <u/>
      <sz val="12"/>
      <color theme="4"/>
      <name val="Aptos"/>
      <family val="2"/>
      <scheme val="minor"/>
    </font>
    <font>
      <sz val="11"/>
      <color theme="1"/>
      <name val="Aptos  "/>
    </font>
    <font>
      <sz val="10"/>
      <color theme="1"/>
      <name val="Aptos  "/>
    </font>
    <font>
      <u/>
      <sz val="11"/>
      <color theme="1"/>
      <name val="Aptos  "/>
    </font>
    <font>
      <vertAlign val="superscript"/>
      <sz val="11"/>
      <color theme="1"/>
      <name val="Aptos  "/>
    </font>
    <font>
      <i/>
      <sz val="10"/>
      <color theme="1"/>
      <name val="Aptos  "/>
    </font>
    <font>
      <sz val="10"/>
      <name val="Aptos  "/>
    </font>
    <font>
      <vertAlign val="superscript"/>
      <sz val="10"/>
      <name val="Aptos  "/>
    </font>
    <font>
      <u/>
      <sz val="10"/>
      <color theme="10"/>
      <name val="Aptos  "/>
    </font>
    <font>
      <sz val="16"/>
      <color rgb="FFFDB719"/>
      <name val="Aptos  "/>
    </font>
    <font>
      <sz val="12"/>
      <color theme="1"/>
      <name val="Aptos  "/>
    </font>
    <font>
      <b/>
      <sz val="12"/>
      <name val="Aptos  "/>
    </font>
    <font>
      <b/>
      <sz val="12"/>
      <color theme="1"/>
      <name val="Aptos  "/>
    </font>
    <font>
      <sz val="12"/>
      <name val="Aptos  "/>
    </font>
    <font>
      <b/>
      <sz val="11"/>
      <name val="Aptos  "/>
    </font>
    <font>
      <b/>
      <sz val="16"/>
      <color rgb="FFFDB719"/>
      <name val="Aptos Black"/>
      <family val="2"/>
      <scheme val="major"/>
    </font>
    <font>
      <sz val="11"/>
      <color rgb="FF000000"/>
      <name val="Aptos  "/>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5" fillId="4" borderId="4" applyNumberFormat="0" applyAlignment="0" applyProtection="0"/>
    <xf numFmtId="0" fontId="1" fillId="0" borderId="0"/>
    <xf numFmtId="44" fontId="1" fillId="0" borderId="0" applyFont="0" applyFill="0" applyBorder="0" applyAlignment="0" applyProtection="0"/>
    <xf numFmtId="0" fontId="15" fillId="0" borderId="0" applyNumberFormat="0" applyFill="0" applyBorder="0" applyAlignment="0" applyProtection="0"/>
    <xf numFmtId="0" fontId="17" fillId="0" borderId="0"/>
  </cellStyleXfs>
  <cellXfs count="165">
    <xf numFmtId="0" fontId="0" fillId="0" borderId="0" xfId="0"/>
    <xf numFmtId="0" fontId="2" fillId="0" borderId="0" xfId="0" applyFont="1"/>
    <xf numFmtId="164" fontId="2" fillId="0" borderId="0" xfId="0" applyNumberFormat="1" applyFont="1"/>
    <xf numFmtId="0" fontId="6" fillId="5" borderId="0" xfId="0" applyFont="1" applyFill="1"/>
    <xf numFmtId="0" fontId="6" fillId="0" borderId="0" xfId="0" applyFont="1"/>
    <xf numFmtId="0" fontId="0" fillId="5" borderId="0" xfId="0" applyFill="1"/>
    <xf numFmtId="0" fontId="3" fillId="5" borderId="0" xfId="0" applyFont="1" applyFill="1" applyAlignment="1">
      <alignment horizontal="left" indent="4"/>
    </xf>
    <xf numFmtId="0" fontId="8" fillId="5" borderId="0" xfId="0" applyFont="1" applyFill="1"/>
    <xf numFmtId="0" fontId="8" fillId="0" borderId="0" xfId="0" applyFont="1"/>
    <xf numFmtId="0" fontId="8" fillId="0" borderId="0" xfId="0" applyFont="1" applyAlignment="1">
      <alignment wrapText="1"/>
    </xf>
    <xf numFmtId="0" fontId="4" fillId="5" borderId="0" xfId="0" applyFont="1" applyFill="1"/>
    <xf numFmtId="0" fontId="12" fillId="3" borderId="17" xfId="0" applyFont="1" applyFill="1" applyBorder="1" applyAlignment="1">
      <alignment horizontal="center" textRotation="90"/>
    </xf>
    <xf numFmtId="0" fontId="10" fillId="3" borderId="19" xfId="0" applyFont="1" applyFill="1" applyBorder="1"/>
    <xf numFmtId="3" fontId="8" fillId="0" borderId="11" xfId="0" applyNumberFormat="1" applyFont="1" applyBorder="1"/>
    <xf numFmtId="0" fontId="10" fillId="3" borderId="20" xfId="0" applyFont="1" applyFill="1" applyBorder="1"/>
    <xf numFmtId="3" fontId="8" fillId="0" borderId="1" xfId="0" applyNumberFormat="1" applyFont="1" applyBorder="1" applyAlignment="1">
      <alignment horizontal="right"/>
    </xf>
    <xf numFmtId="0" fontId="12" fillId="3" borderId="17" xfId="0" applyFont="1" applyFill="1" applyBorder="1" applyAlignment="1">
      <alignment horizontal="center" vertical="center" textRotation="90"/>
    </xf>
    <xf numFmtId="2" fontId="8" fillId="0" borderId="17" xfId="0" applyNumberFormat="1" applyFont="1" applyBorder="1" applyAlignment="1">
      <alignment horizontal="center"/>
    </xf>
    <xf numFmtId="0" fontId="6" fillId="5" borderId="0" xfId="0" applyFont="1" applyFill="1" applyAlignment="1">
      <alignment horizontal="center"/>
    </xf>
    <xf numFmtId="0" fontId="4" fillId="5" borderId="0" xfId="0" applyFont="1" applyFill="1" applyAlignment="1">
      <alignment horizontal="left" vertical="top" wrapText="1"/>
    </xf>
    <xf numFmtId="7" fontId="8" fillId="0" borderId="12" xfId="4" applyNumberFormat="1" applyFont="1" applyBorder="1" applyAlignment="1">
      <alignment horizontal="center"/>
    </xf>
    <xf numFmtId="0" fontId="4" fillId="5" borderId="0" xfId="0" applyFont="1" applyFill="1" applyAlignment="1">
      <alignment horizontal="right" vertical="top" wrapText="1"/>
    </xf>
    <xf numFmtId="0" fontId="8" fillId="3" borderId="16" xfId="0" applyFont="1" applyFill="1" applyBorder="1"/>
    <xf numFmtId="0" fontId="8" fillId="3" borderId="11" xfId="0" applyFont="1" applyFill="1" applyBorder="1"/>
    <xf numFmtId="0" fontId="8" fillId="3" borderId="0" xfId="0" applyFont="1" applyFill="1"/>
    <xf numFmtId="0" fontId="11" fillId="5" borderId="0" xfId="0" applyFont="1" applyFill="1" applyAlignment="1">
      <alignment horizontal="right"/>
    </xf>
    <xf numFmtId="0" fontId="11" fillId="5" borderId="13" xfId="0" applyFont="1" applyFill="1" applyBorder="1" applyAlignment="1">
      <alignment horizontal="right"/>
    </xf>
    <xf numFmtId="0" fontId="12" fillId="3" borderId="12" xfId="0" applyFont="1" applyFill="1" applyBorder="1" applyAlignment="1">
      <alignment horizontal="center" textRotation="90"/>
    </xf>
    <xf numFmtId="3" fontId="8" fillId="0" borderId="18" xfId="0" applyNumberFormat="1" applyFont="1" applyBorder="1"/>
    <xf numFmtId="0" fontId="11" fillId="5" borderId="0" xfId="0" applyFont="1" applyFill="1" applyAlignment="1">
      <alignment horizontal="center" vertical="center"/>
    </xf>
    <xf numFmtId="9" fontId="11" fillId="5" borderId="0" xfId="0" applyNumberFormat="1" applyFont="1" applyFill="1" applyAlignment="1">
      <alignment horizontal="center" vertical="center"/>
    </xf>
    <xf numFmtId="0" fontId="11" fillId="5" borderId="2" xfId="0" applyFont="1" applyFill="1" applyBorder="1" applyAlignment="1">
      <alignment horizontal="center" vertical="center"/>
    </xf>
    <xf numFmtId="7" fontId="8" fillId="0" borderId="15" xfId="4" applyNumberFormat="1" applyFont="1" applyBorder="1" applyAlignment="1">
      <alignment horizontal="center"/>
    </xf>
    <xf numFmtId="0" fontId="8" fillId="3" borderId="18" xfId="0" applyFont="1" applyFill="1" applyBorder="1"/>
    <xf numFmtId="0" fontId="8" fillId="3" borderId="13" xfId="0" applyFont="1" applyFill="1" applyBorder="1"/>
    <xf numFmtId="0" fontId="12" fillId="3" borderId="2" xfId="0" applyFont="1" applyFill="1" applyBorder="1" applyAlignment="1">
      <alignment horizontal="center" textRotation="90"/>
    </xf>
    <xf numFmtId="6" fontId="11" fillId="0" borderId="16" xfId="4" applyNumberFormat="1" applyFont="1" applyBorder="1"/>
    <xf numFmtId="6" fontId="11" fillId="0" borderId="11" xfId="4" applyNumberFormat="1" applyFont="1" applyBorder="1"/>
    <xf numFmtId="6" fontId="11" fillId="0" borderId="18" xfId="4" applyNumberFormat="1" applyFont="1" applyBorder="1"/>
    <xf numFmtId="6" fontId="11" fillId="0" borderId="12" xfId="4" applyNumberFormat="1" applyFont="1" applyBorder="1"/>
    <xf numFmtId="6" fontId="11" fillId="0" borderId="0" xfId="4" applyNumberFormat="1" applyFont="1" applyBorder="1"/>
    <xf numFmtId="6" fontId="11" fillId="0" borderId="13" xfId="4" applyNumberFormat="1" applyFont="1" applyBorder="1"/>
    <xf numFmtId="6" fontId="11" fillId="0" borderId="21" xfId="4" applyNumberFormat="1" applyFont="1" applyBorder="1"/>
    <xf numFmtId="6" fontId="11" fillId="0" borderId="15" xfId="4" applyNumberFormat="1" applyFont="1" applyBorder="1"/>
    <xf numFmtId="6" fontId="11" fillId="0" borderId="2" xfId="4" applyNumberFormat="1" applyFont="1" applyBorder="1"/>
    <xf numFmtId="6" fontId="11" fillId="0" borderId="14" xfId="4" applyNumberFormat="1" applyFont="1" applyBorder="1"/>
    <xf numFmtId="3" fontId="8" fillId="0" borderId="23" xfId="0" applyNumberFormat="1" applyFont="1" applyBorder="1" applyAlignment="1">
      <alignment horizontal="right"/>
    </xf>
    <xf numFmtId="3" fontId="8" fillId="0" borderId="24" xfId="0" applyNumberFormat="1" applyFont="1" applyBorder="1" applyAlignment="1">
      <alignment horizontal="right"/>
    </xf>
    <xf numFmtId="0" fontId="8" fillId="3" borderId="28" xfId="0" applyFont="1" applyFill="1" applyBorder="1"/>
    <xf numFmtId="0" fontId="12" fillId="3" borderId="29" xfId="0" applyFont="1" applyFill="1" applyBorder="1" applyAlignment="1">
      <alignment horizontal="center" vertical="center" textRotation="90"/>
    </xf>
    <xf numFmtId="2" fontId="8" fillId="0" borderId="29" xfId="0" applyNumberFormat="1" applyFont="1" applyBorder="1" applyAlignment="1">
      <alignment horizontal="center"/>
    </xf>
    <xf numFmtId="0" fontId="16" fillId="5" borderId="0" xfId="5" applyFont="1" applyFill="1" applyAlignment="1">
      <alignment horizontal="left" wrapText="1"/>
    </xf>
    <xf numFmtId="0" fontId="18" fillId="5" borderId="0" xfId="5" applyFont="1" applyFill="1" applyAlignment="1">
      <alignment horizontal="left" vertical="top" wrapText="1"/>
    </xf>
    <xf numFmtId="0" fontId="19" fillId="0" borderId="0" xfId="0" applyFont="1"/>
    <xf numFmtId="0" fontId="21" fillId="0" borderId="0" xfId="0" applyFont="1"/>
    <xf numFmtId="0" fontId="19" fillId="0" borderId="2" xfId="0" applyFont="1" applyBorder="1"/>
    <xf numFmtId="164" fontId="19" fillId="0" borderId="2" xfId="0" applyNumberFormat="1" applyFont="1" applyBorder="1" applyAlignment="1">
      <alignment horizontal="right"/>
    </xf>
    <xf numFmtId="0" fontId="19" fillId="0" borderId="0" xfId="0" applyFont="1" applyAlignment="1">
      <alignment horizontal="right"/>
    </xf>
    <xf numFmtId="164" fontId="19" fillId="0" borderId="0" xfId="0" applyNumberFormat="1" applyFont="1" applyAlignment="1">
      <alignment horizontal="right"/>
    </xf>
    <xf numFmtId="164" fontId="23" fillId="0" borderId="2" xfId="0" applyNumberFormat="1" applyFont="1" applyBorder="1" applyAlignment="1">
      <alignment horizontal="right"/>
    </xf>
    <xf numFmtId="0" fontId="23" fillId="0" borderId="2" xfId="0" applyFont="1" applyBorder="1" applyAlignment="1">
      <alignment horizontal="right"/>
    </xf>
    <xf numFmtId="0" fontId="19" fillId="2" borderId="0" xfId="0" applyFont="1" applyFill="1"/>
    <xf numFmtId="164" fontId="19" fillId="2" borderId="0" xfId="0" applyNumberFormat="1" applyFont="1" applyFill="1" applyAlignment="1">
      <alignment horizontal="right"/>
    </xf>
    <xf numFmtId="164" fontId="19" fillId="2" borderId="0" xfId="4" applyNumberFormat="1" applyFont="1" applyFill="1" applyBorder="1" applyAlignment="1">
      <alignment horizontal="right"/>
    </xf>
    <xf numFmtId="4" fontId="19" fillId="2" borderId="0" xfId="0" applyNumberFormat="1" applyFont="1" applyFill="1"/>
    <xf numFmtId="164" fontId="19" fillId="2" borderId="0" xfId="0" applyNumberFormat="1" applyFont="1" applyFill="1"/>
    <xf numFmtId="164" fontId="19" fillId="2" borderId="0" xfId="4" applyNumberFormat="1" applyFont="1" applyFill="1"/>
    <xf numFmtId="4" fontId="19" fillId="2" borderId="0" xfId="0" applyNumberFormat="1" applyFont="1" applyFill="1" applyAlignment="1">
      <alignment horizontal="right"/>
    </xf>
    <xf numFmtId="0" fontId="19" fillId="2" borderId="2" xfId="0" applyFont="1" applyFill="1" applyBorder="1"/>
    <xf numFmtId="4" fontId="19" fillId="2" borderId="2" xfId="0" applyNumberFormat="1" applyFont="1" applyFill="1" applyBorder="1"/>
    <xf numFmtId="164" fontId="19" fillId="2" borderId="2" xfId="0" applyNumberFormat="1" applyFont="1" applyFill="1" applyBorder="1"/>
    <xf numFmtId="4" fontId="19" fillId="0" borderId="0" xfId="0" applyNumberFormat="1" applyFont="1"/>
    <xf numFmtId="164" fontId="19" fillId="0" borderId="0" xfId="0" applyNumberFormat="1" applyFont="1"/>
    <xf numFmtId="0" fontId="24" fillId="5" borderId="0" xfId="6" applyFont="1" applyFill="1"/>
    <xf numFmtId="0" fontId="19" fillId="0" borderId="11" xfId="0" applyFont="1" applyBorder="1"/>
    <xf numFmtId="0" fontId="19" fillId="0" borderId="11" xfId="0" applyFont="1" applyBorder="1" applyAlignment="1">
      <alignment horizontal="right"/>
    </xf>
    <xf numFmtId="0" fontId="19" fillId="0" borderId="1" xfId="0" applyFont="1" applyBorder="1"/>
    <xf numFmtId="0" fontId="19" fillId="2" borderId="1" xfId="0" applyFont="1" applyFill="1" applyBorder="1"/>
    <xf numFmtId="164" fontId="19" fillId="2" borderId="1" xfId="0" applyNumberFormat="1" applyFont="1" applyFill="1" applyBorder="1"/>
    <xf numFmtId="166" fontId="19" fillId="2" borderId="1" xfId="0" applyNumberFormat="1" applyFont="1" applyFill="1" applyBorder="1"/>
    <xf numFmtId="0" fontId="27" fillId="0" borderId="0" xfId="0" applyFont="1" applyAlignment="1">
      <alignment wrapText="1"/>
    </xf>
    <xf numFmtId="0" fontId="28" fillId="0" borderId="0" xfId="0" applyFont="1"/>
    <xf numFmtId="0" fontId="29" fillId="5" borderId="1" xfId="6" applyFont="1" applyFill="1" applyBorder="1" applyAlignment="1">
      <alignment horizontal="left"/>
    </xf>
    <xf numFmtId="2" fontId="29" fillId="5" borderId="1" xfId="6" applyNumberFormat="1" applyFont="1" applyFill="1" applyBorder="1" applyAlignment="1">
      <alignment horizontal="right"/>
    </xf>
    <xf numFmtId="0" fontId="29" fillId="0" borderId="0" xfId="0" applyFont="1"/>
    <xf numFmtId="0" fontId="20" fillId="0" borderId="0" xfId="0" applyFont="1"/>
    <xf numFmtId="165" fontId="28" fillId="2" borderId="0" xfId="0" applyNumberFormat="1" applyFont="1" applyFill="1"/>
    <xf numFmtId="164" fontId="28" fillId="2" borderId="0" xfId="4" applyNumberFormat="1" applyFont="1" applyFill="1" applyProtection="1"/>
    <xf numFmtId="164" fontId="28" fillId="0" borderId="2" xfId="0" applyNumberFormat="1" applyFont="1" applyBorder="1"/>
    <xf numFmtId="0" fontId="30" fillId="0" borderId="0" xfId="0" applyFont="1" applyAlignment="1">
      <alignment horizontal="right"/>
    </xf>
    <xf numFmtId="164" fontId="28" fillId="0" borderId="0" xfId="0" applyNumberFormat="1" applyFont="1"/>
    <xf numFmtId="0" fontId="29" fillId="0" borderId="1" xfId="0" applyFont="1" applyBorder="1"/>
    <xf numFmtId="165" fontId="28" fillId="0" borderId="0" xfId="0" applyNumberFormat="1" applyFont="1"/>
    <xf numFmtId="164" fontId="28" fillId="0" borderId="0" xfId="4" applyNumberFormat="1" applyFont="1" applyProtection="1"/>
    <xf numFmtId="164" fontId="28" fillId="0" borderId="0" xfId="4" applyNumberFormat="1" applyFont="1" applyFill="1" applyProtection="1"/>
    <xf numFmtId="0" fontId="31" fillId="0" borderId="0" xfId="0" applyFont="1"/>
    <xf numFmtId="9" fontId="20" fillId="0" borderId="0" xfId="0" applyNumberFormat="1" applyFont="1" applyAlignment="1">
      <alignment horizontal="left"/>
    </xf>
    <xf numFmtId="167" fontId="28" fillId="0" borderId="0" xfId="4" applyNumberFormat="1" applyFont="1"/>
    <xf numFmtId="9" fontId="28" fillId="2" borderId="0" xfId="1" applyFont="1" applyFill="1" applyProtection="1"/>
    <xf numFmtId="164" fontId="28" fillId="2" borderId="0" xfId="0" applyNumberFormat="1" applyFont="1" applyFill="1"/>
    <xf numFmtId="0" fontId="28" fillId="0" borderId="0" xfId="0" applyFont="1" applyAlignment="1">
      <alignment wrapText="1"/>
    </xf>
    <xf numFmtId="3" fontId="28" fillId="0" borderId="0" xfId="0" applyNumberFormat="1" applyFont="1"/>
    <xf numFmtId="0" fontId="32" fillId="0" borderId="1" xfId="0" applyFont="1" applyBorder="1" applyAlignment="1">
      <alignment horizontal="left" wrapText="1"/>
    </xf>
    <xf numFmtId="0" fontId="29" fillId="0" borderId="1" xfId="0" applyFont="1" applyBorder="1" applyAlignment="1">
      <alignment horizontal="center" wrapText="1"/>
    </xf>
    <xf numFmtId="0" fontId="28" fillId="0" borderId="11" xfId="0" applyFont="1" applyBorder="1"/>
    <xf numFmtId="164" fontId="28" fillId="0" borderId="11" xfId="0" applyNumberFormat="1" applyFont="1" applyBorder="1"/>
    <xf numFmtId="0" fontId="28" fillId="0" borderId="3" xfId="0" applyFont="1" applyBorder="1"/>
    <xf numFmtId="164" fontId="28" fillId="0" borderId="3" xfId="0" applyNumberFormat="1" applyFont="1" applyBorder="1"/>
    <xf numFmtId="0" fontId="19" fillId="0" borderId="0" xfId="0" applyFont="1" applyProtection="1">
      <protection locked="0"/>
    </xf>
    <xf numFmtId="165" fontId="28" fillId="5" borderId="0" xfId="0" applyNumberFormat="1" applyFont="1" applyFill="1"/>
    <xf numFmtId="164" fontId="28" fillId="5" borderId="0" xfId="4" applyNumberFormat="1" applyFont="1" applyFill="1" applyProtection="1"/>
    <xf numFmtId="0" fontId="19" fillId="2" borderId="0" xfId="0" applyFont="1" applyFill="1" applyAlignment="1">
      <alignment horizontal="right"/>
    </xf>
    <xf numFmtId="0" fontId="31" fillId="0" borderId="0" xfId="0" applyFont="1" applyAlignment="1">
      <alignment horizontal="left"/>
    </xf>
    <xf numFmtId="0" fontId="28" fillId="2" borderId="0" xfId="0" applyFont="1" applyFill="1"/>
    <xf numFmtId="0" fontId="20" fillId="2" borderId="0" xfId="0" applyFont="1" applyFill="1"/>
    <xf numFmtId="0" fontId="20" fillId="5" borderId="0" xfId="0" applyFont="1" applyFill="1"/>
    <xf numFmtId="10" fontId="28" fillId="2" borderId="0" xfId="0" applyNumberFormat="1" applyFont="1" applyFill="1"/>
    <xf numFmtId="10" fontId="28" fillId="5" borderId="0" xfId="0" applyNumberFormat="1" applyFont="1" applyFill="1"/>
    <xf numFmtId="4" fontId="28" fillId="2" borderId="0" xfId="0" applyNumberFormat="1" applyFont="1" applyFill="1"/>
    <xf numFmtId="4" fontId="28" fillId="5" borderId="0" xfId="0" applyNumberFormat="1" applyFont="1" applyFill="1"/>
    <xf numFmtId="0" fontId="14" fillId="3" borderId="27" xfId="0" applyFont="1" applyFill="1" applyBorder="1" applyAlignment="1">
      <alignment vertical="center" textRotation="90"/>
    </xf>
    <xf numFmtId="0" fontId="30" fillId="0" borderId="11" xfId="0" applyFont="1" applyBorder="1" applyAlignment="1">
      <alignment horizontal="left"/>
    </xf>
    <xf numFmtId="164" fontId="28" fillId="2" borderId="2" xfId="0" applyNumberFormat="1" applyFont="1" applyFill="1" applyBorder="1"/>
    <xf numFmtId="164" fontId="28" fillId="5" borderId="0" xfId="0" applyNumberFormat="1" applyFont="1" applyFill="1"/>
    <xf numFmtId="0" fontId="9" fillId="5" borderId="0" xfId="2" applyFont="1" applyFill="1" applyBorder="1" applyAlignment="1">
      <alignment horizontal="center" wrapText="1"/>
    </xf>
    <xf numFmtId="0" fontId="34" fillId="0" borderId="2" xfId="0" applyFont="1" applyBorder="1"/>
    <xf numFmtId="3" fontId="8" fillId="5" borderId="11" xfId="0" applyNumberFormat="1" applyFont="1" applyFill="1" applyBorder="1" applyProtection="1">
      <protection locked="0"/>
    </xf>
    <xf numFmtId="7" fontId="8" fillId="5" borderId="12" xfId="4" applyNumberFormat="1" applyFont="1" applyFill="1" applyBorder="1" applyAlignment="1" applyProtection="1">
      <alignment horizontal="center"/>
      <protection locked="0"/>
    </xf>
    <xf numFmtId="0" fontId="7" fillId="3" borderId="5" xfId="0" applyFont="1" applyFill="1" applyBorder="1"/>
    <xf numFmtId="0" fontId="7" fillId="3" borderId="6" xfId="0" applyFont="1" applyFill="1" applyBorder="1"/>
    <xf numFmtId="0" fontId="13" fillId="3" borderId="5" xfId="3" applyFont="1" applyFill="1" applyBorder="1" applyAlignment="1">
      <alignment horizontal="center"/>
    </xf>
    <xf numFmtId="0" fontId="13" fillId="3" borderId="6" xfId="3" applyFont="1" applyFill="1" applyBorder="1" applyAlignment="1">
      <alignment horizontal="center"/>
    </xf>
    <xf numFmtId="0" fontId="13" fillId="3" borderId="7" xfId="3" applyFont="1" applyFill="1" applyBorder="1" applyAlignment="1">
      <alignment horizontal="center"/>
    </xf>
    <xf numFmtId="0" fontId="8" fillId="5" borderId="0" xfId="0" applyFont="1" applyFill="1" applyAlignment="1">
      <alignment horizontal="right"/>
    </xf>
    <xf numFmtId="0" fontId="0" fillId="5" borderId="0" xfId="0" applyFill="1"/>
    <xf numFmtId="0" fontId="9" fillId="4" borderId="8" xfId="2" applyFont="1" applyBorder="1" applyAlignment="1">
      <alignment horizontal="center" wrapText="1"/>
    </xf>
    <xf numFmtId="0" fontId="9" fillId="4" borderId="9" xfId="2" applyFont="1" applyBorder="1" applyAlignment="1">
      <alignment horizontal="center" wrapText="1"/>
    </xf>
    <xf numFmtId="0" fontId="9" fillId="4" borderId="10" xfId="2" applyFont="1" applyBorder="1" applyAlignment="1">
      <alignment horizontal="center" wrapText="1"/>
    </xf>
    <xf numFmtId="0" fontId="11" fillId="5" borderId="0" xfId="0" applyFont="1" applyFill="1" applyAlignment="1">
      <alignment horizontal="left" vertical="top" wrapText="1"/>
    </xf>
    <xf numFmtId="0" fontId="0" fillId="0" borderId="0" xfId="0" applyAlignment="1">
      <alignment horizontal="left" vertical="center" wrapText="1"/>
    </xf>
    <xf numFmtId="0" fontId="26" fillId="0" borderId="0" xfId="5" applyFont="1" applyAlignment="1">
      <alignment horizontal="left"/>
    </xf>
    <xf numFmtId="0" fontId="20" fillId="0" borderId="22" xfId="0" applyFont="1" applyBorder="1" applyAlignment="1">
      <alignment horizontal="left" vertical="top" wrapText="1"/>
    </xf>
    <xf numFmtId="0" fontId="33" fillId="3" borderId="23" xfId="0" applyFont="1" applyFill="1" applyBorder="1" applyAlignment="1">
      <alignment horizontal="center" wrapText="1"/>
    </xf>
    <xf numFmtId="0" fontId="33" fillId="3" borderId="1" xfId="0" applyFont="1" applyFill="1" applyBorder="1" applyAlignment="1">
      <alignment horizontal="center" wrapText="1"/>
    </xf>
    <xf numFmtId="0" fontId="33" fillId="3" borderId="24" xfId="0" applyFont="1" applyFill="1" applyBorder="1" applyAlignment="1">
      <alignment horizontal="center" wrapText="1"/>
    </xf>
    <xf numFmtId="0" fontId="31" fillId="0" borderId="0" xfId="0" applyFont="1" applyAlignment="1">
      <alignment horizontal="left"/>
    </xf>
    <xf numFmtId="0" fontId="30" fillId="0" borderId="3" xfId="0" applyFont="1" applyBorder="1" applyAlignment="1">
      <alignment horizontal="left"/>
    </xf>
    <xf numFmtId="0" fontId="4" fillId="5" borderId="0" xfId="0" applyFont="1" applyFill="1" applyAlignment="1">
      <alignment horizontal="center"/>
    </xf>
    <xf numFmtId="0" fontId="8" fillId="0" borderId="0" xfId="0" applyFont="1" applyAlignment="1">
      <alignment horizontal="left"/>
    </xf>
    <xf numFmtId="0" fontId="14" fillId="3" borderId="25" xfId="0" applyFont="1" applyFill="1" applyBorder="1" applyAlignment="1">
      <alignment horizontal="center"/>
    </xf>
    <xf numFmtId="0" fontId="14" fillId="3" borderId="1" xfId="0" applyFont="1" applyFill="1" applyBorder="1" applyAlignment="1">
      <alignment horizontal="center"/>
    </xf>
    <xf numFmtId="0" fontId="14" fillId="3" borderId="24" xfId="0" applyFont="1" applyFill="1" applyBorder="1" applyAlignment="1">
      <alignment horizontal="center"/>
    </xf>
    <xf numFmtId="0" fontId="14" fillId="3" borderId="12" xfId="0" applyFont="1" applyFill="1" applyBorder="1" applyAlignment="1">
      <alignment horizontal="center" vertical="center" textRotation="90"/>
    </xf>
    <xf numFmtId="0" fontId="14" fillId="3" borderId="15" xfId="0" applyFont="1" applyFill="1" applyBorder="1" applyAlignment="1">
      <alignment horizontal="center" vertical="center" textRotation="90"/>
    </xf>
    <xf numFmtId="0" fontId="8" fillId="5" borderId="0" xfId="0" applyFont="1" applyFill="1" applyAlignment="1">
      <alignment horizontal="left" wrapText="1"/>
    </xf>
    <xf numFmtId="0" fontId="14" fillId="3" borderId="26" xfId="0" applyFont="1" applyFill="1" applyBorder="1" applyAlignment="1">
      <alignment horizontal="center" vertical="center" textRotation="90"/>
    </xf>
    <xf numFmtId="0" fontId="14" fillId="3" borderId="11" xfId="0" applyFont="1" applyFill="1" applyBorder="1" applyAlignment="1">
      <alignment horizontal="center" textRotation="90"/>
    </xf>
    <xf numFmtId="0" fontId="14" fillId="3" borderId="0" xfId="0" applyFont="1" applyFill="1" applyAlignment="1">
      <alignment horizontal="center" textRotation="90"/>
    </xf>
    <xf numFmtId="0" fontId="14" fillId="3" borderId="23" xfId="0" applyFont="1" applyFill="1" applyBorder="1" applyAlignment="1">
      <alignment horizontal="right"/>
    </xf>
    <xf numFmtId="0" fontId="14" fillId="3" borderId="1" xfId="0" applyFont="1" applyFill="1" applyBorder="1" applyAlignment="1">
      <alignment horizontal="right"/>
    </xf>
    <xf numFmtId="0" fontId="14" fillId="3" borderId="1" xfId="0" applyFont="1" applyFill="1" applyBorder="1" applyAlignment="1">
      <alignment horizontal="left"/>
    </xf>
    <xf numFmtId="0" fontId="14" fillId="3" borderId="24" xfId="0" applyFont="1" applyFill="1" applyBorder="1" applyAlignment="1">
      <alignment horizontal="left"/>
    </xf>
    <xf numFmtId="0" fontId="30" fillId="0" borderId="0" xfId="0" applyFont="1" applyBorder="1" applyAlignment="1">
      <alignment horizontal="left"/>
    </xf>
    <xf numFmtId="0" fontId="28" fillId="0" borderId="0" xfId="0" applyFont="1" applyBorder="1"/>
    <xf numFmtId="164" fontId="28" fillId="0" borderId="0" xfId="0" applyNumberFormat="1" applyFont="1" applyBorder="1"/>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4">
    <dxf>
      <font>
        <color rgb="FFFF0000"/>
      </font>
    </dxf>
    <dxf>
      <font>
        <color rgb="FFFF000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University of Missouri - Extension and Food &amp; Agricultural Policy Research Institute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mallory-rahe" TargetMode="External"/><Relationship Id="rId1" Type="http://schemas.openxmlformats.org/officeDocument/2006/relationships/hyperlink" Target="https://extension.missouri.edu/programs/commercial-horticulture/find-a-horticulturist-near-yo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tension.missouri.edu/programs/agricultural-business-and-policy-extension/missouri-crop-and-livestock-enterprise-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8"/>
  <sheetViews>
    <sheetView workbookViewId="0">
      <selection activeCell="A4" sqref="A4:XFD4"/>
    </sheetView>
  </sheetViews>
  <sheetFormatPr defaultColWidth="0" defaultRowHeight="16.5" customHeight="1" zeroHeight="1"/>
  <cols>
    <col min="1" max="1" width="2.83203125" style="4" customWidth="1"/>
    <col min="2" max="2" width="29.25" style="4" customWidth="1"/>
    <col min="3" max="3" width="32.83203125" style="4" customWidth="1"/>
    <col min="4" max="4" width="33.33203125" style="4" customWidth="1"/>
    <col min="5" max="5" width="3" style="4" customWidth="1"/>
    <col min="6" max="8" width="9" style="4" hidden="1" customWidth="1"/>
    <col min="9" max="13" width="0" style="4" hidden="1" customWidth="1"/>
    <col min="14" max="16384" width="9" style="4" hidden="1"/>
  </cols>
  <sheetData>
    <row r="1" spans="1:13" ht="17" thickBot="1">
      <c r="A1" s="3"/>
      <c r="B1" s="5"/>
      <c r="C1" s="5"/>
      <c r="D1" s="5"/>
      <c r="E1" s="3"/>
      <c r="F1" s="3"/>
      <c r="G1" s="3"/>
      <c r="H1" s="3"/>
      <c r="I1" s="3"/>
      <c r="J1" s="3"/>
      <c r="K1" s="3"/>
      <c r="L1" s="3"/>
      <c r="M1" s="3"/>
    </row>
    <row r="2" spans="1:13" ht="19.5" customHeight="1" thickBot="1">
      <c r="A2" s="3"/>
      <c r="B2" s="130" t="s">
        <v>113</v>
      </c>
      <c r="C2" s="131"/>
      <c r="D2" s="132"/>
      <c r="E2" s="3"/>
      <c r="F2" s="3"/>
      <c r="G2" s="3"/>
      <c r="H2" s="3"/>
    </row>
    <row r="3" spans="1:13" ht="16.5" customHeight="1">
      <c r="A3" s="3"/>
      <c r="B3" s="133" t="s">
        <v>0</v>
      </c>
      <c r="C3" s="133"/>
      <c r="D3" s="133"/>
      <c r="E3" s="3"/>
      <c r="F3" s="3"/>
      <c r="G3" s="3"/>
      <c r="H3" s="3"/>
    </row>
    <row r="4" spans="1:13">
      <c r="A4" s="3"/>
      <c r="B4" s="134"/>
      <c r="C4" s="134"/>
      <c r="D4" s="134"/>
      <c r="E4" s="3"/>
      <c r="F4" s="3"/>
      <c r="G4" s="3"/>
      <c r="H4" s="3"/>
    </row>
    <row r="5" spans="1:13" ht="67" customHeight="1">
      <c r="A5" s="3"/>
      <c r="B5" s="10" t="s">
        <v>61</v>
      </c>
      <c r="C5" s="8"/>
      <c r="D5" s="3" t="e" vm="1">
        <v>#VALUE!</v>
      </c>
      <c r="E5" s="3"/>
      <c r="F5" s="3"/>
      <c r="G5" s="3"/>
      <c r="H5" s="3"/>
    </row>
    <row r="6" spans="1:13" ht="16.5" customHeight="1">
      <c r="A6" s="3"/>
      <c r="B6" s="21" t="s">
        <v>31</v>
      </c>
      <c r="C6" s="52" t="s">
        <v>68</v>
      </c>
      <c r="D6" s="18"/>
      <c r="E6" s="3"/>
      <c r="F6" s="3"/>
      <c r="G6" s="3"/>
      <c r="H6" s="3"/>
    </row>
    <row r="7" spans="1:13" ht="8.15" customHeight="1">
      <c r="A7" s="3"/>
      <c r="B7" s="21"/>
      <c r="C7" s="19"/>
      <c r="D7" s="18"/>
      <c r="E7" s="3"/>
      <c r="F7" s="3"/>
      <c r="G7" s="3"/>
      <c r="H7" s="3"/>
    </row>
    <row r="8" spans="1:13" ht="32.5" customHeight="1">
      <c r="A8" s="3"/>
      <c r="B8" s="21" t="s">
        <v>32</v>
      </c>
      <c r="C8" s="51" t="s">
        <v>33</v>
      </c>
      <c r="D8" s="18"/>
      <c r="E8" s="3"/>
      <c r="F8" s="3"/>
      <c r="G8" s="3"/>
      <c r="H8" s="3"/>
    </row>
    <row r="9" spans="1:13" ht="16.5" customHeight="1">
      <c r="A9" s="3"/>
      <c r="B9" s="6"/>
      <c r="C9"/>
      <c r="D9" s="5"/>
      <c r="E9" s="3"/>
      <c r="F9" s="3"/>
      <c r="G9" s="3"/>
      <c r="H9" s="3"/>
    </row>
    <row r="10" spans="1:13" ht="51.5" customHeight="1">
      <c r="A10" s="3"/>
      <c r="B10" s="138" t="s">
        <v>80</v>
      </c>
      <c r="C10" s="138"/>
      <c r="D10" s="138"/>
      <c r="E10" s="3"/>
      <c r="F10" s="3"/>
      <c r="G10" s="3"/>
      <c r="H10" s="3"/>
    </row>
    <row r="11" spans="1:13" ht="19.5" customHeight="1">
      <c r="A11" s="3"/>
      <c r="B11" s="7"/>
      <c r="C11" s="7"/>
      <c r="D11" s="7"/>
      <c r="E11" s="3"/>
      <c r="F11" s="3"/>
      <c r="G11" s="3"/>
      <c r="H11" s="3"/>
    </row>
    <row r="12" spans="1:13" ht="16.5" customHeight="1">
      <c r="A12" s="3"/>
      <c r="B12" s="135" t="s">
        <v>1</v>
      </c>
      <c r="C12" s="136"/>
      <c r="D12" s="137"/>
      <c r="E12" s="3"/>
      <c r="F12" s="3"/>
      <c r="G12" s="3"/>
      <c r="H12" s="3"/>
    </row>
    <row r="13" spans="1:13" s="3" customFormat="1" ht="16.5" customHeight="1">
      <c r="B13" s="124"/>
      <c r="C13" s="124"/>
      <c r="D13" s="124"/>
    </row>
    <row r="14" spans="1:13" ht="44.25" customHeight="1">
      <c r="A14" s="3"/>
      <c r="B14" s="139" t="s">
        <v>114</v>
      </c>
      <c r="C14" s="139"/>
      <c r="D14" s="139"/>
      <c r="E14" s="3"/>
      <c r="F14" s="3"/>
      <c r="G14" s="3"/>
      <c r="H14" s="3"/>
    </row>
    <row r="15" spans="1:13" ht="17" thickBot="1">
      <c r="A15" s="3"/>
      <c r="B15" s="5"/>
      <c r="C15" s="5"/>
      <c r="D15" s="5"/>
      <c r="E15" s="3"/>
      <c r="F15" s="3"/>
      <c r="G15" s="3"/>
      <c r="H15" s="3"/>
    </row>
    <row r="16" spans="1:13" ht="19" thickBot="1">
      <c r="A16" s="3"/>
      <c r="B16" s="128"/>
      <c r="C16" s="129"/>
      <c r="D16" s="129"/>
      <c r="E16" s="3"/>
      <c r="F16" s="3"/>
      <c r="G16" s="3"/>
      <c r="H16" s="3"/>
    </row>
    <row r="17" spans="1:8">
      <c r="A17" s="3"/>
      <c r="B17" s="3"/>
      <c r="C17" s="3"/>
      <c r="D17" s="3"/>
      <c r="E17" s="3"/>
      <c r="F17" s="3"/>
      <c r="G17" s="3"/>
      <c r="H17" s="3"/>
    </row>
    <row r="18" spans="1:8" hidden="1">
      <c r="A18" s="3"/>
      <c r="B18" s="3"/>
      <c r="C18" s="3"/>
      <c r="D18" s="3"/>
      <c r="E18" s="3"/>
      <c r="F18" s="3"/>
      <c r="G18" s="3"/>
      <c r="H18" s="3"/>
    </row>
    <row r="19" spans="1:8" hidden="1">
      <c r="A19" s="3"/>
      <c r="B19" s="3"/>
      <c r="C19" s="3"/>
      <c r="D19" s="3"/>
      <c r="E19" s="3"/>
      <c r="F19" s="3"/>
      <c r="G19" s="3"/>
      <c r="H19" s="3"/>
    </row>
    <row r="20" spans="1:8" hidden="1">
      <c r="A20" s="3"/>
      <c r="B20" s="3"/>
      <c r="C20" s="3"/>
      <c r="D20" s="3"/>
      <c r="E20" s="3"/>
      <c r="F20" s="3"/>
      <c r="G20" s="3"/>
      <c r="H20" s="3"/>
    </row>
    <row r="21" spans="1:8" hidden="1">
      <c r="A21" s="3"/>
      <c r="B21" s="3"/>
      <c r="C21" s="3"/>
      <c r="D21" s="3"/>
      <c r="E21" s="3"/>
      <c r="F21" s="3"/>
      <c r="G21" s="3"/>
      <c r="H21" s="3"/>
    </row>
    <row r="22" spans="1:8" hidden="1">
      <c r="A22" s="3"/>
      <c r="B22" s="3"/>
      <c r="C22" s="3"/>
      <c r="D22" s="3"/>
      <c r="E22" s="3"/>
      <c r="F22" s="3"/>
      <c r="G22" s="3"/>
      <c r="H22" s="3"/>
    </row>
    <row r="23" spans="1:8" hidden="1">
      <c r="A23" s="3"/>
      <c r="B23" s="3"/>
      <c r="C23" s="3"/>
      <c r="D23" s="3"/>
      <c r="E23" s="3"/>
      <c r="F23" s="3"/>
      <c r="G23" s="3"/>
      <c r="H23" s="3"/>
    </row>
    <row r="24" spans="1:8" hidden="1">
      <c r="A24" s="3"/>
      <c r="B24" s="3"/>
      <c r="C24" s="3"/>
      <c r="D24" s="3"/>
      <c r="E24" s="3"/>
      <c r="F24" s="3"/>
      <c r="G24" s="3"/>
      <c r="H24" s="3"/>
    </row>
    <row r="25" spans="1:8" hidden="1">
      <c r="A25" s="3"/>
      <c r="B25" s="3"/>
      <c r="C25" s="3"/>
      <c r="D25" s="3"/>
      <c r="E25" s="3"/>
      <c r="F25" s="3"/>
      <c r="G25" s="3"/>
      <c r="H25" s="3"/>
    </row>
    <row r="26" spans="1:8" hidden="1">
      <c r="A26" s="3"/>
    </row>
    <row r="27" spans="1:8" hidden="1">
      <c r="A27" s="3"/>
    </row>
    <row r="28" spans="1:8" hidden="1">
      <c r="A28" s="3"/>
    </row>
  </sheetData>
  <sheetProtection sheet="1" objects="1" scenarios="1"/>
  <mergeCells count="7">
    <mergeCell ref="B16:D16"/>
    <mergeCell ref="B2:D2"/>
    <mergeCell ref="B3:D3"/>
    <mergeCell ref="B4:D4"/>
    <mergeCell ref="B12:D12"/>
    <mergeCell ref="B10:D10"/>
    <mergeCell ref="B14:D14"/>
  </mergeCells>
  <hyperlinks>
    <hyperlink ref="C8" r:id="rId1" xr:uid="{60F8126B-D46E-4ABD-986C-B44783A3E7CD}"/>
    <hyperlink ref="C6" r:id="rId2" xr:uid="{300DED1D-4F06-434C-AD94-7F2F434D14E3}"/>
  </hyperlinks>
  <pageMargins left="0.7" right="0.7" top="0.75" bottom="0.75" header="0.3" footer="0.3"/>
  <pageSetup scale="82"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K74"/>
  <sheetViews>
    <sheetView showGridLines="0" topLeftCell="A3" zoomScaleNormal="100" workbookViewId="0">
      <selection activeCell="H64" sqref="H64"/>
    </sheetView>
  </sheetViews>
  <sheetFormatPr defaultColWidth="0" defaultRowHeight="15.5" zeroHeight="1"/>
  <cols>
    <col min="1" max="1" width="1.33203125" style="1" customWidth="1"/>
    <col min="2" max="2" width="1.58203125" style="1" customWidth="1"/>
    <col min="3" max="3" width="30.83203125" style="1" customWidth="1"/>
    <col min="4" max="4" width="12.58203125" style="1" customWidth="1"/>
    <col min="5" max="5" width="11.58203125" style="1" customWidth="1"/>
    <col min="6" max="6" width="14.75" style="1" customWidth="1"/>
    <col min="7" max="7" width="16.58203125" style="1" customWidth="1"/>
    <col min="8" max="8" width="14.83203125" style="1" customWidth="1"/>
    <col min="9" max="9" width="3.08203125" style="1" customWidth="1"/>
    <col min="10" max="10" width="9" style="1" hidden="1" customWidth="1"/>
    <col min="11" max="11" width="10" style="1" hidden="1" customWidth="1"/>
    <col min="12" max="16384" width="9" style="1" hidden="1"/>
  </cols>
  <sheetData>
    <row r="1" spans="1:9" ht="21.75" customHeight="1">
      <c r="A1" s="53"/>
      <c r="B1" s="142" t="s">
        <v>82</v>
      </c>
      <c r="C1" s="143"/>
      <c r="D1" s="143"/>
      <c r="E1" s="143"/>
      <c r="F1" s="143"/>
      <c r="G1" s="144"/>
      <c r="H1" s="80"/>
      <c r="I1" s="53"/>
    </row>
    <row r="2" spans="1:9" ht="16" customHeight="1">
      <c r="A2" s="81"/>
      <c r="B2" s="82" t="s">
        <v>11</v>
      </c>
      <c r="C2" s="82"/>
      <c r="D2" s="82" t="s">
        <v>3</v>
      </c>
      <c r="E2" s="83" t="s">
        <v>4</v>
      </c>
      <c r="F2" s="83" t="s">
        <v>34</v>
      </c>
      <c r="G2" s="83" t="s">
        <v>35</v>
      </c>
      <c r="H2" s="84"/>
      <c r="I2" s="53"/>
    </row>
    <row r="3" spans="1:9" ht="16" customHeight="1">
      <c r="A3" s="81"/>
      <c r="B3" s="81" t="s">
        <v>81</v>
      </c>
      <c r="C3" s="81"/>
      <c r="D3" s="114" t="s">
        <v>110</v>
      </c>
      <c r="E3" s="86">
        <v>1800</v>
      </c>
      <c r="F3" s="87">
        <v>2.77</v>
      </c>
      <c r="G3" s="88">
        <f>E3*F3</f>
        <v>4986</v>
      </c>
      <c r="H3" s="81"/>
      <c r="I3" s="53"/>
    </row>
    <row r="4" spans="1:9" ht="16" customHeight="1">
      <c r="A4" s="81"/>
      <c r="B4" s="81"/>
      <c r="C4" s="89" t="s">
        <v>12</v>
      </c>
      <c r="D4" s="53"/>
      <c r="E4" s="81"/>
      <c r="F4" s="81"/>
      <c r="G4" s="90">
        <f>G3</f>
        <v>4986</v>
      </c>
      <c r="H4" s="81"/>
      <c r="I4" s="53"/>
    </row>
    <row r="5" spans="1:9" ht="16" customHeight="1">
      <c r="A5" s="81"/>
      <c r="B5" s="91" t="s">
        <v>13</v>
      </c>
      <c r="C5" s="91"/>
      <c r="D5" s="82" t="s">
        <v>3</v>
      </c>
      <c r="E5" s="83" t="s">
        <v>4</v>
      </c>
      <c r="F5" s="83" t="s">
        <v>34</v>
      </c>
      <c r="G5" s="83" t="s">
        <v>35</v>
      </c>
      <c r="H5" s="84"/>
      <c r="I5" s="53"/>
    </row>
    <row r="6" spans="1:9" ht="16" customHeight="1">
      <c r="A6" s="81"/>
      <c r="B6" s="81" t="s">
        <v>83</v>
      </c>
      <c r="C6" s="81"/>
      <c r="D6" s="85" t="s">
        <v>7</v>
      </c>
      <c r="E6" s="86">
        <v>12.5</v>
      </c>
      <c r="F6" s="87">
        <v>12.57</v>
      </c>
      <c r="G6" s="90">
        <f>E6*F6</f>
        <v>157.125</v>
      </c>
      <c r="H6" s="81"/>
      <c r="I6" s="53"/>
    </row>
    <row r="7" spans="1:9" ht="16" customHeight="1">
      <c r="A7" s="81"/>
      <c r="B7" s="81" t="s">
        <v>36</v>
      </c>
      <c r="C7" s="81"/>
      <c r="D7" s="85"/>
      <c r="E7" s="92"/>
      <c r="F7" s="93"/>
      <c r="G7" s="90"/>
      <c r="H7" s="81"/>
      <c r="I7" s="53"/>
    </row>
    <row r="8" spans="1:9" ht="16" customHeight="1">
      <c r="A8" s="81"/>
      <c r="B8" s="81"/>
      <c r="C8" s="81" t="s">
        <v>84</v>
      </c>
      <c r="D8" s="85" t="s">
        <v>7</v>
      </c>
      <c r="E8" s="86">
        <v>60</v>
      </c>
      <c r="F8" s="87">
        <v>0.45</v>
      </c>
      <c r="G8" s="90">
        <f t="shared" ref="G8:G19" si="0">E8*F8</f>
        <v>27</v>
      </c>
      <c r="H8" s="81"/>
      <c r="I8" s="53"/>
    </row>
    <row r="9" spans="1:9" ht="16" customHeight="1">
      <c r="A9" s="81"/>
      <c r="B9" s="81"/>
      <c r="C9" s="81" t="s">
        <v>87</v>
      </c>
      <c r="D9" s="85" t="s">
        <v>7</v>
      </c>
      <c r="E9" s="86">
        <v>70</v>
      </c>
      <c r="F9" s="87">
        <v>0.45</v>
      </c>
      <c r="G9" s="90">
        <f t="shared" si="0"/>
        <v>31.5</v>
      </c>
      <c r="H9" s="81"/>
      <c r="I9" s="53"/>
    </row>
    <row r="10" spans="1:9" ht="16" customHeight="1">
      <c r="A10" s="81"/>
      <c r="B10" s="81"/>
      <c r="C10" s="81" t="s">
        <v>85</v>
      </c>
      <c r="D10" s="85" t="s">
        <v>7</v>
      </c>
      <c r="E10" s="86">
        <v>90</v>
      </c>
      <c r="F10" s="87">
        <v>0.55000000000000004</v>
      </c>
      <c r="G10" s="90">
        <f t="shared" si="0"/>
        <v>49.500000000000007</v>
      </c>
      <c r="H10" s="81"/>
      <c r="I10" s="53"/>
    </row>
    <row r="11" spans="1:9" ht="16" customHeight="1">
      <c r="A11" s="81"/>
      <c r="B11" s="81"/>
      <c r="C11" s="81" t="s">
        <v>86</v>
      </c>
      <c r="D11" s="85" t="s">
        <v>7</v>
      </c>
      <c r="E11" s="86">
        <v>125</v>
      </c>
      <c r="F11" s="87">
        <v>0.38</v>
      </c>
      <c r="G11" s="90">
        <f t="shared" si="0"/>
        <v>47.5</v>
      </c>
      <c r="H11" s="81"/>
      <c r="I11" s="53"/>
    </row>
    <row r="12" spans="1:9" ht="16" customHeight="1">
      <c r="A12" s="81"/>
      <c r="B12" s="81"/>
      <c r="C12" s="81" t="s">
        <v>38</v>
      </c>
      <c r="D12" s="85" t="s">
        <v>6</v>
      </c>
      <c r="E12" s="86">
        <v>0.5</v>
      </c>
      <c r="F12" s="87">
        <v>30</v>
      </c>
      <c r="G12" s="90">
        <f t="shared" si="0"/>
        <v>15</v>
      </c>
      <c r="H12" s="81"/>
      <c r="I12" s="53"/>
    </row>
    <row r="13" spans="1:9" ht="16" customHeight="1">
      <c r="A13" s="81"/>
      <c r="B13" s="113" t="s">
        <v>89</v>
      </c>
      <c r="C13" s="113"/>
      <c r="D13" s="114" t="s">
        <v>88</v>
      </c>
      <c r="E13" s="86">
        <v>4</v>
      </c>
      <c r="F13" s="87">
        <v>6.75</v>
      </c>
      <c r="G13" s="90">
        <f t="shared" si="0"/>
        <v>27</v>
      </c>
      <c r="H13" s="81"/>
      <c r="I13" s="53"/>
    </row>
    <row r="14" spans="1:9" ht="16" customHeight="1">
      <c r="A14" s="81"/>
      <c r="B14" s="81" t="s">
        <v>39</v>
      </c>
      <c r="C14" s="81"/>
      <c r="D14" s="115"/>
      <c r="E14" s="109"/>
      <c r="F14" s="110"/>
      <c r="G14" s="90"/>
      <c r="H14" s="81"/>
      <c r="I14" s="53"/>
    </row>
    <row r="15" spans="1:9" ht="16" customHeight="1">
      <c r="A15" s="81"/>
      <c r="B15" s="81"/>
      <c r="C15" s="113" t="s">
        <v>97</v>
      </c>
      <c r="D15" s="114" t="s">
        <v>101</v>
      </c>
      <c r="E15" s="86">
        <v>0.2</v>
      </c>
      <c r="F15" s="87">
        <v>0.67</v>
      </c>
      <c r="G15" s="90">
        <f t="shared" si="0"/>
        <v>0.13400000000000001</v>
      </c>
      <c r="H15" s="81"/>
      <c r="I15" s="53"/>
    </row>
    <row r="16" spans="1:9" ht="16" customHeight="1">
      <c r="A16" s="81"/>
      <c r="B16" s="81"/>
      <c r="C16" s="113" t="s">
        <v>98</v>
      </c>
      <c r="D16" s="114" t="s">
        <v>101</v>
      </c>
      <c r="E16" s="86">
        <v>12.8</v>
      </c>
      <c r="F16" s="87">
        <v>0.22</v>
      </c>
      <c r="G16" s="90">
        <f t="shared" si="0"/>
        <v>2.8160000000000003</v>
      </c>
      <c r="H16" s="81"/>
      <c r="I16" s="53"/>
    </row>
    <row r="17" spans="1:11" ht="16" customHeight="1">
      <c r="A17" s="81"/>
      <c r="B17" s="81"/>
      <c r="C17" s="113" t="s">
        <v>99</v>
      </c>
      <c r="D17" s="114" t="s">
        <v>101</v>
      </c>
      <c r="E17" s="86">
        <v>12.8</v>
      </c>
      <c r="F17" s="87">
        <v>0.52</v>
      </c>
      <c r="G17" s="90">
        <f t="shared" si="0"/>
        <v>6.6560000000000006</v>
      </c>
      <c r="H17" s="81"/>
      <c r="I17" s="53"/>
    </row>
    <row r="18" spans="1:11" ht="16" customHeight="1">
      <c r="A18" s="81"/>
      <c r="B18" s="81"/>
      <c r="C18" s="113" t="s">
        <v>100</v>
      </c>
      <c r="D18" s="114" t="s">
        <v>101</v>
      </c>
      <c r="E18" s="86">
        <v>30</v>
      </c>
      <c r="F18" s="87">
        <v>6.41</v>
      </c>
      <c r="G18" s="90">
        <f t="shared" si="0"/>
        <v>192.3</v>
      </c>
      <c r="H18" s="81"/>
      <c r="I18" s="53"/>
    </row>
    <row r="19" spans="1:11" ht="16" customHeight="1">
      <c r="A19" s="81"/>
      <c r="B19" s="81" t="s">
        <v>78</v>
      </c>
      <c r="C19" s="81"/>
      <c r="D19" s="114" t="s">
        <v>90</v>
      </c>
      <c r="E19" s="86">
        <v>360</v>
      </c>
      <c r="F19" s="87">
        <v>1.83</v>
      </c>
      <c r="G19" s="90">
        <f t="shared" si="0"/>
        <v>658.80000000000007</v>
      </c>
      <c r="H19" s="81"/>
      <c r="I19" s="53"/>
    </row>
    <row r="20" spans="1:11" ht="16" customHeight="1">
      <c r="A20" s="81"/>
      <c r="B20" s="81" t="s">
        <v>37</v>
      </c>
      <c r="C20" s="81"/>
      <c r="D20" s="85"/>
      <c r="E20" s="92"/>
      <c r="F20" s="81"/>
      <c r="G20" s="90"/>
      <c r="H20" s="81"/>
      <c r="I20" s="53"/>
      <c r="J20" s="2"/>
      <c r="K20" s="2"/>
    </row>
    <row r="21" spans="1:11" ht="16" customHeight="1">
      <c r="A21" s="81"/>
      <c r="B21" s="81"/>
      <c r="C21" s="95" t="s">
        <v>69</v>
      </c>
      <c r="D21" s="85" t="s">
        <v>41</v>
      </c>
      <c r="E21" s="119">
        <f>ROUNDUP(F57,0)</f>
        <v>3</v>
      </c>
      <c r="F21" s="87">
        <v>18</v>
      </c>
      <c r="G21" s="90">
        <f>E21*F21</f>
        <v>54</v>
      </c>
      <c r="H21" s="81"/>
      <c r="I21" s="53"/>
      <c r="J21" s="2"/>
      <c r="K21" s="2"/>
    </row>
    <row r="22" spans="1:11" ht="16" customHeight="1">
      <c r="A22" s="81"/>
      <c r="B22" s="81"/>
      <c r="C22" s="95" t="s">
        <v>40</v>
      </c>
      <c r="D22" s="85" t="s">
        <v>41</v>
      </c>
      <c r="E22" s="118">
        <v>2</v>
      </c>
      <c r="F22" s="87">
        <v>18</v>
      </c>
      <c r="G22" s="90">
        <f t="shared" ref="G22:G23" si="1">E22*F22</f>
        <v>36</v>
      </c>
      <c r="H22" s="81"/>
      <c r="I22" s="53"/>
      <c r="J22" s="2"/>
      <c r="K22" s="2"/>
    </row>
    <row r="23" spans="1:11" ht="16" customHeight="1">
      <c r="A23" s="81"/>
      <c r="B23" s="81"/>
      <c r="C23" s="95" t="s">
        <v>103</v>
      </c>
      <c r="D23" s="85" t="s">
        <v>41</v>
      </c>
      <c r="E23" s="118">
        <v>40</v>
      </c>
      <c r="F23" s="87">
        <v>18</v>
      </c>
      <c r="G23" s="90">
        <f t="shared" si="1"/>
        <v>720</v>
      </c>
      <c r="H23" s="81"/>
      <c r="I23" s="53"/>
      <c r="J23" s="2"/>
      <c r="K23" s="2"/>
    </row>
    <row r="24" spans="1:11" ht="16" customHeight="1">
      <c r="A24" s="81"/>
      <c r="B24" s="53"/>
      <c r="C24" s="81" t="s">
        <v>104</v>
      </c>
      <c r="D24" s="85" t="s">
        <v>41</v>
      </c>
      <c r="E24" s="86">
        <v>17</v>
      </c>
      <c r="F24" s="87">
        <v>18</v>
      </c>
      <c r="G24" s="90">
        <f>E24*F24</f>
        <v>306</v>
      </c>
      <c r="H24" s="81"/>
      <c r="I24" s="53"/>
      <c r="J24" s="2"/>
      <c r="K24" s="2"/>
    </row>
    <row r="25" spans="1:11" ht="16" customHeight="1">
      <c r="A25" s="81"/>
      <c r="B25" s="53"/>
      <c r="C25" s="81" t="s">
        <v>105</v>
      </c>
      <c r="D25" s="85" t="s">
        <v>41</v>
      </c>
      <c r="E25" s="86">
        <v>5</v>
      </c>
      <c r="F25" s="87">
        <v>18</v>
      </c>
      <c r="G25" s="90">
        <f>E25*F25</f>
        <v>90</v>
      </c>
      <c r="H25" s="81"/>
      <c r="I25" s="53"/>
      <c r="J25" s="2"/>
      <c r="K25" s="2"/>
    </row>
    <row r="26" spans="1:11" ht="16" customHeight="1">
      <c r="A26" s="81"/>
      <c r="B26" s="112" t="s">
        <v>42</v>
      </c>
      <c r="C26" s="112"/>
      <c r="D26" s="85" t="s">
        <v>5</v>
      </c>
      <c r="E26" s="92"/>
      <c r="F26" s="94"/>
      <c r="G26" s="90">
        <f>G57</f>
        <v>84.62</v>
      </c>
      <c r="H26" s="81"/>
      <c r="I26" s="53"/>
      <c r="J26" s="2"/>
      <c r="K26" s="2"/>
    </row>
    <row r="27" spans="1:11" ht="16" customHeight="1">
      <c r="A27" s="81"/>
      <c r="B27" s="145" t="s">
        <v>106</v>
      </c>
      <c r="C27" s="145"/>
      <c r="D27" s="85" t="s">
        <v>41</v>
      </c>
      <c r="E27" s="86">
        <v>8</v>
      </c>
      <c r="F27" s="87">
        <v>4.8899999999999997</v>
      </c>
      <c r="G27" s="123">
        <f>E27*F27</f>
        <v>39.119999999999997</v>
      </c>
      <c r="H27" s="81"/>
      <c r="I27" s="53"/>
      <c r="J27" s="2"/>
      <c r="K27" s="2"/>
    </row>
    <row r="28" spans="1:11" ht="16" customHeight="1">
      <c r="A28" s="81"/>
      <c r="B28" s="112" t="s">
        <v>107</v>
      </c>
      <c r="C28" s="112"/>
      <c r="D28" s="85" t="s">
        <v>5</v>
      </c>
      <c r="E28" s="86">
        <v>1</v>
      </c>
      <c r="F28" s="87">
        <v>10.5</v>
      </c>
      <c r="G28" s="123">
        <f>E28*F28</f>
        <v>10.5</v>
      </c>
      <c r="H28" s="81"/>
      <c r="I28" s="53"/>
      <c r="J28" s="2"/>
      <c r="K28" s="2"/>
    </row>
    <row r="29" spans="1:11" ht="16" customHeight="1">
      <c r="A29" s="81"/>
      <c r="B29" s="95" t="s">
        <v>79</v>
      </c>
      <c r="C29" s="81"/>
      <c r="D29" s="96" t="s">
        <v>29</v>
      </c>
      <c r="E29" s="97">
        <f>G4</f>
        <v>4986</v>
      </c>
      <c r="F29" s="98">
        <v>0.1</v>
      </c>
      <c r="G29" s="90">
        <f>E29*F29</f>
        <v>498.6</v>
      </c>
      <c r="H29" s="81"/>
      <c r="I29" s="53"/>
    </row>
    <row r="30" spans="1:11" ht="16" customHeight="1">
      <c r="A30" s="53"/>
      <c r="B30" s="95" t="s">
        <v>30</v>
      </c>
      <c r="C30" s="100"/>
      <c r="D30" s="85" t="s">
        <v>8</v>
      </c>
      <c r="E30" s="86">
        <v>6</v>
      </c>
      <c r="F30" s="116">
        <v>7.7499999999999999E-2</v>
      </c>
      <c r="G30" s="90">
        <f>(SUM(G6:G29))*F30*(E30/12)</f>
        <v>118.34912625</v>
      </c>
      <c r="H30" s="81"/>
      <c r="I30" s="53"/>
    </row>
    <row r="31" spans="1:11" ht="16" customHeight="1">
      <c r="A31" s="53"/>
      <c r="B31" s="95" t="s">
        <v>102</v>
      </c>
      <c r="C31" s="100"/>
      <c r="D31" s="85" t="s">
        <v>5</v>
      </c>
      <c r="E31" s="109"/>
      <c r="F31" s="117"/>
      <c r="G31" s="122">
        <v>12.56</v>
      </c>
      <c r="H31" s="81"/>
      <c r="I31" s="53"/>
    </row>
    <row r="32" spans="1:11" ht="16" customHeight="1">
      <c r="A32" s="53"/>
      <c r="B32" s="53"/>
      <c r="C32" s="89" t="s">
        <v>14</v>
      </c>
      <c r="D32" s="85"/>
      <c r="E32" s="101"/>
      <c r="F32" s="81"/>
      <c r="G32" s="90">
        <f>SUM(G6:G30)</f>
        <v>3172.52012625</v>
      </c>
      <c r="H32" s="90"/>
      <c r="I32" s="53"/>
    </row>
    <row r="33" spans="1:9" ht="16" customHeight="1">
      <c r="A33" s="53"/>
      <c r="B33" s="91" t="s">
        <v>15</v>
      </c>
      <c r="C33" s="91"/>
      <c r="D33" s="102" t="s">
        <v>3</v>
      </c>
      <c r="E33" s="103"/>
      <c r="F33" s="103"/>
      <c r="G33" s="103" t="s">
        <v>62</v>
      </c>
      <c r="H33" s="84"/>
      <c r="I33" s="53"/>
    </row>
    <row r="34" spans="1:9" ht="16" customHeight="1">
      <c r="A34" s="53"/>
      <c r="B34" s="81" t="s">
        <v>43</v>
      </c>
      <c r="C34" s="81"/>
      <c r="D34" s="85" t="s">
        <v>5</v>
      </c>
      <c r="E34" s="81"/>
      <c r="F34" s="81"/>
      <c r="G34" s="99">
        <v>185</v>
      </c>
      <c r="H34" s="81"/>
      <c r="I34" s="53"/>
    </row>
    <row r="35" spans="1:9" ht="16" customHeight="1">
      <c r="A35" s="53"/>
      <c r="B35" s="81" t="s">
        <v>70</v>
      </c>
      <c r="C35" s="81"/>
      <c r="D35" s="85" t="s">
        <v>5</v>
      </c>
      <c r="E35" s="81"/>
      <c r="F35" s="81"/>
      <c r="G35" s="90">
        <f>H57</f>
        <v>41.39</v>
      </c>
      <c r="H35" s="81"/>
      <c r="I35" s="53"/>
    </row>
    <row r="36" spans="1:9" ht="16" customHeight="1">
      <c r="A36" s="53"/>
      <c r="B36" s="81" t="s">
        <v>71</v>
      </c>
      <c r="C36" s="81"/>
      <c r="D36" s="85" t="s">
        <v>5</v>
      </c>
      <c r="E36" s="81"/>
      <c r="F36" s="81"/>
      <c r="G36" s="88">
        <f>(D64-(D64*F64))/E64+((D64+(D64*F64))/2*H64)</f>
        <v>135.6875</v>
      </c>
      <c r="H36" s="81"/>
      <c r="I36" s="53"/>
    </row>
    <row r="37" spans="1:9" ht="16" customHeight="1">
      <c r="A37" s="53"/>
      <c r="B37" s="53"/>
      <c r="C37" s="89" t="s">
        <v>16</v>
      </c>
      <c r="D37" s="53"/>
      <c r="E37" s="81"/>
      <c r="F37" s="81"/>
      <c r="G37" s="90">
        <f>SUM(G34:G36)</f>
        <v>362.07749999999999</v>
      </c>
      <c r="H37" s="81"/>
      <c r="I37" s="53"/>
    </row>
    <row r="38" spans="1:9" ht="16" customHeight="1">
      <c r="A38" s="53"/>
      <c r="B38" s="55"/>
      <c r="C38" s="89" t="s">
        <v>9</v>
      </c>
      <c r="D38" s="55"/>
      <c r="E38" s="81"/>
      <c r="F38" s="81"/>
      <c r="G38" s="90">
        <f>G32+G37</f>
        <v>3534.5976262499998</v>
      </c>
      <c r="H38" s="90"/>
      <c r="I38" s="53"/>
    </row>
    <row r="39" spans="1:9" ht="16" customHeight="1">
      <c r="A39" s="53"/>
      <c r="B39" s="121" t="s">
        <v>17</v>
      </c>
      <c r="C39" s="121"/>
      <c r="D39" s="121"/>
      <c r="E39" s="104"/>
      <c r="F39" s="104"/>
      <c r="G39" s="105">
        <f>G4-G32</f>
        <v>1813.47987375</v>
      </c>
      <c r="H39" s="90"/>
      <c r="I39" s="53"/>
    </row>
    <row r="40" spans="1:9" ht="16" customHeight="1">
      <c r="A40" s="53"/>
      <c r="B40" s="162" t="s">
        <v>117</v>
      </c>
      <c r="C40" s="162"/>
      <c r="D40" s="162"/>
      <c r="E40" s="163"/>
      <c r="F40" s="163"/>
      <c r="G40" s="164">
        <f>G4-(G32-(SUM(G21:G25)+G34))</f>
        <v>3204.47987375</v>
      </c>
      <c r="H40" s="90"/>
      <c r="I40" s="53"/>
    </row>
    <row r="41" spans="1:9" ht="16" customHeight="1" thickBot="1">
      <c r="A41" s="53"/>
      <c r="B41" s="146" t="s">
        <v>10</v>
      </c>
      <c r="C41" s="146"/>
      <c r="D41" s="146"/>
      <c r="E41" s="106"/>
      <c r="F41" s="106"/>
      <c r="G41" s="107">
        <f>G4-G38</f>
        <v>1451.4023737500002</v>
      </c>
      <c r="H41" s="90"/>
      <c r="I41" s="53"/>
    </row>
    <row r="42" spans="1:9" ht="16" thickTop="1">
      <c r="A42" s="53"/>
      <c r="B42" s="141" t="s">
        <v>72</v>
      </c>
      <c r="C42" s="141"/>
      <c r="D42" s="141"/>
      <c r="E42" s="141"/>
      <c r="F42" s="141"/>
      <c r="G42" s="141"/>
      <c r="H42" s="108"/>
      <c r="I42" s="53"/>
    </row>
    <row r="43" spans="1:9" ht="16" customHeight="1">
      <c r="A43" s="53"/>
      <c r="B43" s="140" t="s">
        <v>73</v>
      </c>
      <c r="C43" s="140"/>
      <c r="D43" s="140"/>
      <c r="E43" s="140"/>
      <c r="F43" s="140"/>
      <c r="G43" s="140"/>
      <c r="H43" s="53"/>
      <c r="I43" s="53"/>
    </row>
    <row r="44" spans="1:9" ht="16" customHeight="1">
      <c r="A44" s="53"/>
      <c r="B44" s="53"/>
      <c r="C44" s="54"/>
      <c r="D44" s="53"/>
      <c r="E44" s="53"/>
      <c r="F44" s="53"/>
      <c r="G44" s="53"/>
      <c r="H44" s="53"/>
      <c r="I44" s="53"/>
    </row>
    <row r="45" spans="1:9" ht="16" customHeight="1">
      <c r="A45" s="53"/>
      <c r="B45" s="125" t="s">
        <v>115</v>
      </c>
      <c r="C45" s="55"/>
      <c r="D45" s="55"/>
      <c r="E45" s="55"/>
      <c r="F45" s="56"/>
      <c r="G45" s="56"/>
      <c r="H45" s="55"/>
      <c r="I45" s="53"/>
    </row>
    <row r="46" spans="1:9" ht="16" customHeight="1">
      <c r="A46" s="53"/>
      <c r="B46" s="53"/>
      <c r="C46" s="53" t="s">
        <v>44</v>
      </c>
      <c r="D46" s="53" t="s">
        <v>54</v>
      </c>
      <c r="E46" s="57" t="s">
        <v>45</v>
      </c>
      <c r="F46" s="58" t="s">
        <v>37</v>
      </c>
      <c r="G46" s="58" t="s">
        <v>74</v>
      </c>
      <c r="H46" s="57" t="s">
        <v>75</v>
      </c>
      <c r="I46" s="53"/>
    </row>
    <row r="47" spans="1:9" ht="16" customHeight="1">
      <c r="A47" s="53"/>
      <c r="B47" s="55"/>
      <c r="C47" s="55"/>
      <c r="D47" s="55"/>
      <c r="E47" s="55"/>
      <c r="F47" s="59" t="s">
        <v>60</v>
      </c>
      <c r="G47" s="59" t="s">
        <v>46</v>
      </c>
      <c r="H47" s="60" t="s">
        <v>46</v>
      </c>
      <c r="I47" s="53"/>
    </row>
    <row r="48" spans="1:9" ht="16" customHeight="1">
      <c r="A48" s="53"/>
      <c r="B48" s="53"/>
      <c r="C48" s="61" t="s">
        <v>65</v>
      </c>
      <c r="D48" s="61" t="s">
        <v>47</v>
      </c>
      <c r="E48" s="61">
        <v>1</v>
      </c>
      <c r="F48" s="111">
        <v>0.22</v>
      </c>
      <c r="G48" s="62">
        <v>6.12</v>
      </c>
      <c r="H48" s="63">
        <v>2.76</v>
      </c>
      <c r="I48" s="53"/>
    </row>
    <row r="49" spans="1:9" ht="16" customHeight="1">
      <c r="A49" s="53"/>
      <c r="B49" s="53"/>
      <c r="C49" s="61" t="s">
        <v>48</v>
      </c>
      <c r="D49" s="61" t="s">
        <v>47</v>
      </c>
      <c r="E49" s="61">
        <v>2</v>
      </c>
      <c r="F49" s="64">
        <v>0.19800000000000001</v>
      </c>
      <c r="G49" s="65">
        <v>12.02</v>
      </c>
      <c r="H49" s="65">
        <v>3.68</v>
      </c>
      <c r="I49" s="53"/>
    </row>
    <row r="50" spans="1:9" ht="16" customHeight="1">
      <c r="A50" s="53"/>
      <c r="B50" s="53"/>
      <c r="C50" s="61" t="s">
        <v>93</v>
      </c>
      <c r="D50" s="61" t="s">
        <v>47</v>
      </c>
      <c r="E50" s="61">
        <v>1</v>
      </c>
      <c r="F50" s="61">
        <v>0.14000000000000001</v>
      </c>
      <c r="G50" s="66">
        <v>3.68</v>
      </c>
      <c r="H50" s="66">
        <v>1.69</v>
      </c>
      <c r="I50" s="53"/>
    </row>
    <row r="51" spans="1:9" ht="16" customHeight="1">
      <c r="A51" s="53"/>
      <c r="B51" s="53"/>
      <c r="C51" s="61" t="s">
        <v>92</v>
      </c>
      <c r="D51" s="61" t="s">
        <v>47</v>
      </c>
      <c r="E51" s="61">
        <v>1</v>
      </c>
      <c r="F51" s="61">
        <v>0.19</v>
      </c>
      <c r="G51" s="66">
        <v>5.41</v>
      </c>
      <c r="H51" s="66">
        <v>2.58</v>
      </c>
      <c r="I51" s="53"/>
    </row>
    <row r="52" spans="1:9" ht="16" customHeight="1">
      <c r="A52" s="53"/>
      <c r="B52" s="53"/>
      <c r="C52" s="61" t="s">
        <v>91</v>
      </c>
      <c r="D52" s="61" t="s">
        <v>47</v>
      </c>
      <c r="E52" s="61">
        <v>1</v>
      </c>
      <c r="F52" s="67">
        <v>0.19</v>
      </c>
      <c r="G52" s="62">
        <v>5.41</v>
      </c>
      <c r="H52" s="65">
        <v>2.58</v>
      </c>
      <c r="I52" s="53"/>
    </row>
    <row r="53" spans="1:9" ht="16" customHeight="1">
      <c r="A53" s="53"/>
      <c r="B53" s="53"/>
      <c r="C53" s="61" t="s">
        <v>94</v>
      </c>
      <c r="D53" s="61" t="s">
        <v>47</v>
      </c>
      <c r="E53" s="61">
        <v>1</v>
      </c>
      <c r="F53" s="64">
        <v>0.19</v>
      </c>
      <c r="G53" s="65">
        <v>5.35</v>
      </c>
      <c r="H53" s="65">
        <v>2.5299999999999998</v>
      </c>
      <c r="I53" s="53"/>
    </row>
    <row r="54" spans="1:9" ht="16" customHeight="1">
      <c r="A54" s="53"/>
      <c r="B54" s="53"/>
      <c r="C54" s="61" t="s">
        <v>66</v>
      </c>
      <c r="D54" s="61" t="s">
        <v>47</v>
      </c>
      <c r="E54" s="61">
        <v>2</v>
      </c>
      <c r="F54" s="64">
        <v>0.19</v>
      </c>
      <c r="G54" s="65">
        <v>10.31</v>
      </c>
      <c r="H54" s="65">
        <v>6.81</v>
      </c>
      <c r="I54" s="53"/>
    </row>
    <row r="55" spans="1:9" ht="16" customHeight="1">
      <c r="A55" s="53"/>
      <c r="B55" s="53"/>
      <c r="C55" s="61" t="s">
        <v>95</v>
      </c>
      <c r="D55" s="61" t="s">
        <v>96</v>
      </c>
      <c r="E55" s="61">
        <v>12</v>
      </c>
      <c r="F55" s="64">
        <v>0.02</v>
      </c>
      <c r="G55" s="65">
        <v>1.01</v>
      </c>
      <c r="H55" s="65">
        <v>0.63</v>
      </c>
      <c r="I55" s="53"/>
    </row>
    <row r="56" spans="1:9" ht="16" customHeight="1">
      <c r="A56" s="53"/>
      <c r="B56" s="55"/>
      <c r="C56" s="68" t="s">
        <v>67</v>
      </c>
      <c r="D56" s="68" t="s">
        <v>47</v>
      </c>
      <c r="E56" s="68">
        <v>1</v>
      </c>
      <c r="F56" s="69">
        <v>0.09</v>
      </c>
      <c r="G56" s="70">
        <v>1.87</v>
      </c>
      <c r="H56" s="70">
        <v>0.71</v>
      </c>
      <c r="I56" s="53"/>
    </row>
    <row r="57" spans="1:9" ht="16" customHeight="1">
      <c r="A57" s="53"/>
      <c r="B57" s="53"/>
      <c r="C57" s="53"/>
      <c r="D57" s="53"/>
      <c r="E57" s="57" t="s">
        <v>58</v>
      </c>
      <c r="F57" s="71">
        <f>SUMPRODUCT($E$48:$E$56,F48:F56)</f>
        <v>2.036</v>
      </c>
      <c r="G57" s="72">
        <f>SUMPRODUCT($E$48:$E$56,G48:G56)</f>
        <v>84.62</v>
      </c>
      <c r="H57" s="72">
        <f>SUMPRODUCT($E$48:$E$56,H48:H56)</f>
        <v>41.39</v>
      </c>
      <c r="I57" s="53"/>
    </row>
    <row r="58" spans="1:9" ht="16" customHeight="1">
      <c r="A58" s="53"/>
      <c r="B58" s="53"/>
      <c r="C58" s="73" t="s">
        <v>76</v>
      </c>
      <c r="D58" s="53"/>
      <c r="E58" s="53"/>
      <c r="F58" s="71"/>
      <c r="G58" s="72"/>
      <c r="H58" s="72"/>
      <c r="I58" s="53"/>
    </row>
    <row r="59" spans="1:9" ht="16" customHeight="1">
      <c r="A59" s="53"/>
      <c r="B59" s="53"/>
      <c r="C59" s="73" t="s">
        <v>77</v>
      </c>
      <c r="D59" s="53"/>
      <c r="E59" s="53"/>
      <c r="F59" s="71"/>
      <c r="G59" s="72"/>
      <c r="H59" s="72"/>
      <c r="I59" s="53"/>
    </row>
    <row r="60" spans="1:9" ht="16" customHeight="1">
      <c r="A60" s="53"/>
      <c r="B60" s="53"/>
      <c r="C60" s="53"/>
      <c r="D60" s="53"/>
      <c r="E60" s="53"/>
      <c r="F60" s="53"/>
      <c r="G60" s="53"/>
      <c r="H60" s="53"/>
      <c r="I60" s="53"/>
    </row>
    <row r="61" spans="1:9" ht="16" customHeight="1">
      <c r="A61" s="53"/>
      <c r="B61" s="55" t="s">
        <v>63</v>
      </c>
      <c r="C61" s="55"/>
      <c r="D61" s="53"/>
      <c r="E61" s="53"/>
      <c r="F61" s="53"/>
      <c r="G61" s="53"/>
      <c r="H61" s="53"/>
      <c r="I61" s="53"/>
    </row>
    <row r="62" spans="1:9" ht="16" customHeight="1">
      <c r="A62" s="53"/>
      <c r="B62" s="53"/>
      <c r="C62" s="53" t="s">
        <v>44</v>
      </c>
      <c r="D62" s="74" t="s">
        <v>55</v>
      </c>
      <c r="E62" s="75" t="s">
        <v>57</v>
      </c>
      <c r="F62" s="75" t="s">
        <v>56</v>
      </c>
      <c r="G62" s="75" t="s">
        <v>59</v>
      </c>
      <c r="H62" s="75" t="s">
        <v>49</v>
      </c>
      <c r="I62" s="53"/>
    </row>
    <row r="63" spans="1:9" ht="16" customHeight="1">
      <c r="A63" s="53"/>
      <c r="B63" s="55"/>
      <c r="C63" s="55"/>
      <c r="D63" s="60" t="s">
        <v>50</v>
      </c>
      <c r="E63" s="60" t="s">
        <v>51</v>
      </c>
      <c r="F63" s="60" t="s">
        <v>52</v>
      </c>
      <c r="G63" s="60" t="s">
        <v>8</v>
      </c>
      <c r="H63" s="60" t="s">
        <v>8</v>
      </c>
      <c r="I63" s="53"/>
    </row>
    <row r="64" spans="1:9" ht="16" customHeight="1">
      <c r="A64" s="53"/>
      <c r="B64" s="76"/>
      <c r="C64" s="77" t="s">
        <v>53</v>
      </c>
      <c r="D64" s="78">
        <v>1000</v>
      </c>
      <c r="E64" s="77">
        <v>10</v>
      </c>
      <c r="F64" s="79">
        <v>0.05</v>
      </c>
      <c r="G64" s="79">
        <v>0.02</v>
      </c>
      <c r="H64" s="79">
        <v>7.7499999999999999E-2</v>
      </c>
      <c r="I64" s="53"/>
    </row>
    <row r="65" spans="1:9" ht="16" customHeight="1">
      <c r="A65" s="53"/>
      <c r="B65" s="53"/>
      <c r="C65" s="53"/>
      <c r="D65" s="53"/>
      <c r="E65" s="53"/>
      <c r="F65" s="53"/>
      <c r="G65" s="53"/>
      <c r="H65" s="53"/>
      <c r="I65" s="53"/>
    </row>
    <row r="66" spans="1:9" hidden="1">
      <c r="A66" s="53"/>
      <c r="B66" s="53"/>
      <c r="C66" s="53"/>
      <c r="D66" s="53"/>
      <c r="E66" s="53"/>
      <c r="F66" s="53"/>
      <c r="G66" s="53"/>
      <c r="H66" s="53"/>
      <c r="I66" s="53"/>
    </row>
    <row r="67" spans="1:9" hidden="1">
      <c r="A67" s="53"/>
      <c r="B67" s="53"/>
      <c r="C67" s="53"/>
      <c r="D67" s="53"/>
      <c r="E67" s="53"/>
      <c r="F67" s="53"/>
      <c r="G67" s="53"/>
      <c r="H67" s="53"/>
      <c r="I67" s="53"/>
    </row>
    <row r="68" spans="1:9" hidden="1">
      <c r="A68" s="53"/>
      <c r="B68" s="53"/>
      <c r="C68" s="53"/>
      <c r="D68" s="53"/>
      <c r="E68" s="53"/>
      <c r="F68" s="53"/>
      <c r="G68" s="53"/>
      <c r="H68" s="53"/>
      <c r="I68" s="53"/>
    </row>
    <row r="69" spans="1:9" hidden="1">
      <c r="A69" s="53"/>
      <c r="B69" s="53"/>
      <c r="C69" s="53"/>
      <c r="D69" s="53"/>
      <c r="E69" s="53"/>
      <c r="F69" s="53"/>
      <c r="G69" s="53"/>
      <c r="H69" s="53"/>
      <c r="I69" s="53"/>
    </row>
    <row r="70" spans="1:9" hidden="1">
      <c r="A70" s="53"/>
      <c r="B70" s="53"/>
      <c r="C70" s="53"/>
      <c r="D70" s="53"/>
      <c r="E70" s="53"/>
      <c r="F70" s="53"/>
      <c r="G70" s="53"/>
      <c r="H70" s="53"/>
      <c r="I70" s="53"/>
    </row>
    <row r="71" spans="1:9" hidden="1">
      <c r="A71" s="53"/>
      <c r="B71" s="53"/>
      <c r="C71" s="53"/>
      <c r="D71" s="53"/>
      <c r="E71" s="53"/>
      <c r="F71" s="53"/>
      <c r="G71" s="53"/>
      <c r="H71" s="53"/>
      <c r="I71" s="53"/>
    </row>
    <row r="72" spans="1:9" hidden="1">
      <c r="A72" s="53"/>
      <c r="B72" s="53"/>
      <c r="C72" s="53"/>
      <c r="D72" s="53"/>
      <c r="E72" s="53"/>
      <c r="F72" s="53"/>
      <c r="G72" s="53"/>
      <c r="H72" s="53"/>
      <c r="I72" s="53"/>
    </row>
    <row r="73" spans="1:9" hidden="1">
      <c r="A73" s="53"/>
      <c r="B73" s="53"/>
      <c r="C73" s="53"/>
      <c r="D73" s="53"/>
      <c r="E73" s="53"/>
      <c r="F73" s="53"/>
      <c r="G73" s="53"/>
      <c r="H73" s="53"/>
      <c r="I73" s="53"/>
    </row>
    <row r="74" spans="1:9" hidden="1">
      <c r="A74" s="53"/>
      <c r="B74" s="53"/>
      <c r="C74" s="53"/>
      <c r="D74" s="53"/>
      <c r="E74" s="53"/>
      <c r="F74" s="53"/>
      <c r="G74" s="53"/>
      <c r="H74" s="53"/>
      <c r="I74" s="53"/>
    </row>
  </sheetData>
  <sheetProtection sheet="1" objects="1" scenarios="1"/>
  <protectedRanges>
    <protectedRange sqref="G31" name="Misc."/>
    <protectedRange sqref="F30:F31" name="interest rate"/>
    <protectedRange sqref="C64:H64" name="Range16"/>
    <protectedRange sqref="C48:H56" name="Range15"/>
    <protectedRange sqref="G34" name="land"/>
    <protectedRange sqref="E30:E31" name="interest on operating capital"/>
    <protectedRange sqref="E3:F3" name="Range3"/>
    <protectedRange sqref="E6:F6" name="Range4"/>
    <protectedRange sqref="E8:F12" name="Range5"/>
    <protectedRange sqref="F21:F23" name="Range10"/>
    <protectedRange sqref="E24:F25" name="Range11"/>
    <protectedRange sqref="E27:F28" name="Range12"/>
    <protectedRange sqref="F29" name="Marketing"/>
    <protectedRange sqref="B13 C15:C18" name="Chemical Range"/>
    <protectedRange sqref="D3 D13 D15:D19 C13 C15:C18" name="Units"/>
  </protectedRanges>
  <mergeCells count="5">
    <mergeCell ref="B43:G43"/>
    <mergeCell ref="B42:G42"/>
    <mergeCell ref="B1:G1"/>
    <mergeCell ref="B27:C27"/>
    <mergeCell ref="B41:D41"/>
  </mergeCells>
  <conditionalFormatting sqref="E2">
    <cfRule type="expression" dxfId="3" priority="2">
      <formula>#REF!="no"</formula>
    </cfRule>
  </conditionalFormatting>
  <conditionalFormatting sqref="E5">
    <cfRule type="expression" dxfId="2" priority="1">
      <formula>#REF!="no"</formula>
    </cfRule>
  </conditionalFormatting>
  <hyperlinks>
    <hyperlink ref="B43:G43" r:id="rId1" display="Access online at muext.us/MissouriAgBudgets. " xr:uid="{B5FABBEC-3CA2-4F86-911E-45FB42CC7429}"/>
  </hyperlinks>
  <pageMargins left="0.7" right="0.7" top="0.75" bottom="0.75" header="0.3" footer="0.3"/>
  <pageSetup scale="96" orientation="portrait" r:id="rId2"/>
  <ignoredErrors>
    <ignoredError sqref="E29" unlockedFormula="1"/>
    <ignoredError sqref="G2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tabSelected="1" workbookViewId="0">
      <selection activeCell="D9" sqref="D9"/>
    </sheetView>
  </sheetViews>
  <sheetFormatPr defaultColWidth="0" defaultRowHeight="14.5" zeroHeight="1"/>
  <cols>
    <col min="1" max="1" width="3.08203125" customWidth="1"/>
    <col min="2" max="2" width="8.58203125" customWidth="1"/>
    <col min="3" max="3" width="10.08203125" customWidth="1"/>
    <col min="4" max="4" width="10.33203125" customWidth="1"/>
    <col min="5" max="5" width="11.83203125" customWidth="1"/>
    <col min="6" max="6" width="9.75" bestFit="1" customWidth="1"/>
    <col min="7" max="7" width="9.08203125" bestFit="1" customWidth="1"/>
    <col min="8" max="8" width="9.83203125" customWidth="1"/>
    <col min="9" max="9" width="11" customWidth="1"/>
    <col min="10" max="10" width="10" bestFit="1" customWidth="1"/>
    <col min="11" max="11" width="10.08203125" customWidth="1"/>
    <col min="12" max="12" width="3.08203125" customWidth="1"/>
    <col min="13" max="16384" width="8.58203125" hidden="1"/>
  </cols>
  <sheetData>
    <row r="1" spans="1:12" ht="16">
      <c r="A1" s="5"/>
      <c r="B1" s="147" t="s">
        <v>108</v>
      </c>
      <c r="C1" s="147"/>
      <c r="D1" s="147"/>
      <c r="E1" s="147"/>
      <c r="F1" s="147"/>
      <c r="G1" s="147"/>
      <c r="H1" s="147"/>
      <c r="I1" s="147"/>
      <c r="J1" s="147"/>
      <c r="K1" s="147"/>
      <c r="L1" s="5"/>
    </row>
    <row r="2" spans="1:12" ht="34" customHeight="1">
      <c r="A2" s="5"/>
      <c r="B2" s="154" t="s">
        <v>116</v>
      </c>
      <c r="C2" s="154"/>
      <c r="D2" s="154"/>
      <c r="E2" s="154"/>
      <c r="F2" s="154"/>
      <c r="G2" s="154"/>
      <c r="H2" s="154"/>
      <c r="I2" s="154"/>
      <c r="J2" s="154"/>
      <c r="K2" s="154"/>
      <c r="L2" s="5"/>
    </row>
    <row r="3" spans="1:12" ht="16.5" customHeight="1">
      <c r="A3" s="5"/>
      <c r="B3" s="156" t="str">
        <f>Budget!D3</f>
        <v>dozen ears</v>
      </c>
      <c r="C3" s="23"/>
      <c r="D3" s="33"/>
      <c r="E3" s="158" t="s">
        <v>111</v>
      </c>
      <c r="F3" s="159"/>
      <c r="G3" s="159"/>
      <c r="H3" s="159"/>
      <c r="I3" s="160" t="str">
        <f>Budget!D3</f>
        <v>dozen ears</v>
      </c>
      <c r="J3" s="160"/>
      <c r="K3" s="161"/>
      <c r="L3" s="5"/>
    </row>
    <row r="4" spans="1:12" ht="16.5" customHeight="1">
      <c r="A4" s="5"/>
      <c r="B4" s="157"/>
      <c r="C4" s="24"/>
      <c r="D4" s="34"/>
      <c r="E4" s="25" t="s">
        <v>28</v>
      </c>
      <c r="F4" s="25" t="s">
        <v>27</v>
      </c>
      <c r="G4" s="25" t="s">
        <v>23</v>
      </c>
      <c r="H4" s="25" t="s">
        <v>21</v>
      </c>
      <c r="I4" s="25" t="s">
        <v>19</v>
      </c>
      <c r="J4" s="25" t="s">
        <v>25</v>
      </c>
      <c r="K4" s="26" t="s">
        <v>26</v>
      </c>
      <c r="L4" s="5"/>
    </row>
    <row r="5" spans="1:12" ht="16.5" customHeight="1">
      <c r="A5" s="5"/>
      <c r="B5" s="157"/>
      <c r="C5" s="35"/>
      <c r="D5" s="12"/>
      <c r="E5" s="13">
        <f>H5*70%</f>
        <v>1260</v>
      </c>
      <c r="F5" s="13">
        <f>H5*80%</f>
        <v>1440</v>
      </c>
      <c r="G5" s="13">
        <f>H5*90%</f>
        <v>1620</v>
      </c>
      <c r="H5" s="126">
        <f>Budget!E3</f>
        <v>1800</v>
      </c>
      <c r="I5" s="13">
        <f>H5*110%</f>
        <v>1980.0000000000002</v>
      </c>
      <c r="J5" s="13">
        <f>H5*120%</f>
        <v>2160</v>
      </c>
      <c r="K5" s="28">
        <f>H5*130%</f>
        <v>2340</v>
      </c>
      <c r="L5" s="5"/>
    </row>
    <row r="6" spans="1:12" ht="16.5" customHeight="1">
      <c r="A6" s="5"/>
      <c r="B6" s="157"/>
      <c r="C6" s="29" t="s">
        <v>24</v>
      </c>
      <c r="D6" s="20">
        <f>D9*85%</f>
        <v>2.3544999999999998</v>
      </c>
      <c r="E6" s="36">
        <f>(D6*$E$5)-Budget!$G$38</f>
        <v>-567.92762625000023</v>
      </c>
      <c r="F6" s="37">
        <f>(D6*$F$5)-Budget!$G$38</f>
        <v>-144.11762625000028</v>
      </c>
      <c r="G6" s="37">
        <f>(D6*$G$5)-Budget!$G$38</f>
        <v>279.69237374999966</v>
      </c>
      <c r="H6" s="37">
        <f>(D6*$H$5)-Budget!$G$38</f>
        <v>703.50237374999961</v>
      </c>
      <c r="I6" s="37">
        <f>(D6*$I$5)-Budget!$G$38</f>
        <v>1127.31237375</v>
      </c>
      <c r="J6" s="37">
        <f>(D6*$J$5)-Budget!$G$38</f>
        <v>1551.1223737499995</v>
      </c>
      <c r="K6" s="38">
        <f>(D6*$K$5)-Budget!$G$38</f>
        <v>1974.9323737499999</v>
      </c>
      <c r="L6" s="5"/>
    </row>
    <row r="7" spans="1:12" ht="16.5" customHeight="1">
      <c r="A7" s="5"/>
      <c r="B7" s="157"/>
      <c r="C7" s="29" t="s">
        <v>23</v>
      </c>
      <c r="D7" s="20">
        <f>D9*90%</f>
        <v>2.4929999999999999</v>
      </c>
      <c r="E7" s="39">
        <f>(D7*$E$5)-Budget!$G$38</f>
        <v>-393.41762625000001</v>
      </c>
      <c r="F7" s="40">
        <f>(D7*$F$5)-Budget!$G$38</f>
        <v>55.32237374999977</v>
      </c>
      <c r="G7" s="40">
        <f>(D7*$G$5)-Budget!$G$38</f>
        <v>504.06237375000001</v>
      </c>
      <c r="H7" s="40">
        <f>(D7*$H$5)-Budget!$G$38</f>
        <v>952.80237374999979</v>
      </c>
      <c r="I7" s="40">
        <f>(D7*$I$5)-Budget!$G$38</f>
        <v>1401.5423737500005</v>
      </c>
      <c r="J7" s="40">
        <f>(D7*$J$5)-Budget!$G$38</f>
        <v>1850.2823737500003</v>
      </c>
      <c r="K7" s="41">
        <f>(D7*$K$5)-Budget!$G$38</f>
        <v>2299.02237375</v>
      </c>
      <c r="L7" s="5"/>
    </row>
    <row r="8" spans="1:12" ht="16.5" customHeight="1" thickBot="1">
      <c r="A8" s="5"/>
      <c r="B8" s="155" t="s">
        <v>112</v>
      </c>
      <c r="C8" s="30" t="s">
        <v>22</v>
      </c>
      <c r="D8" s="20">
        <f>D9*0.95</f>
        <v>2.6315</v>
      </c>
      <c r="E8" s="39">
        <f>(D8*$E$5)-Budget!$G$38</f>
        <v>-218.90762624999979</v>
      </c>
      <c r="F8" s="40">
        <f>(D8*$F$5)-Budget!$G$38</f>
        <v>254.76237375000028</v>
      </c>
      <c r="G8" s="40">
        <f>(D8*$G$5)-Budget!$G$38</f>
        <v>728.4323737499999</v>
      </c>
      <c r="H8" s="40">
        <f>(D8*$H$5)-Budget!$G$38</f>
        <v>1202.10237375</v>
      </c>
      <c r="I8" s="40">
        <f>(D8*$I$5)-Budget!$G$38</f>
        <v>1675.772373750001</v>
      </c>
      <c r="J8" s="40">
        <f>(D8*$J$5)-Budget!$G$38</f>
        <v>2149.4423737500001</v>
      </c>
      <c r="K8" s="41">
        <f>(D8*$K$5)-Budget!$G$38</f>
        <v>2623.1123737500002</v>
      </c>
      <c r="L8" s="5"/>
    </row>
    <row r="9" spans="1:12" ht="16.5" customHeight="1" thickBot="1">
      <c r="A9" s="5"/>
      <c r="B9" s="155"/>
      <c r="C9" s="29" t="s">
        <v>21</v>
      </c>
      <c r="D9" s="127">
        <f>Budget!F3</f>
        <v>2.77</v>
      </c>
      <c r="E9" s="39">
        <f>(D9*$E$5)-Budget!$G$38</f>
        <v>-44.39762625000003</v>
      </c>
      <c r="F9" s="40">
        <f>(D9*$F$5)-Budget!$G$38</f>
        <v>454.20237375000033</v>
      </c>
      <c r="G9" s="40">
        <f>(D9*$G$5)-Budget!$G$38</f>
        <v>952.80237374999979</v>
      </c>
      <c r="H9" s="42">
        <f>(D9*$H$5)-Budget!$G$38</f>
        <v>1451.4023737500002</v>
      </c>
      <c r="I9" s="40">
        <f>(D9*$I$5)-Budget!$G$38</f>
        <v>1950.0023737500005</v>
      </c>
      <c r="J9" s="40">
        <f>(D9*$J$5)-Budget!$G$38</f>
        <v>2448.60237375</v>
      </c>
      <c r="K9" s="41">
        <f>(D9*$K$5)-Budget!$G$38</f>
        <v>2947.2023737500003</v>
      </c>
      <c r="L9" s="5"/>
    </row>
    <row r="10" spans="1:12" ht="16.5" customHeight="1">
      <c r="A10" s="5"/>
      <c r="B10" s="155"/>
      <c r="C10" s="29" t="s">
        <v>20</v>
      </c>
      <c r="D10" s="20">
        <f>D9*105%</f>
        <v>2.9085000000000001</v>
      </c>
      <c r="E10" s="39">
        <f>(D10*$E$5)-Budget!$G$38</f>
        <v>130.11237375000019</v>
      </c>
      <c r="F10" s="40">
        <f>(D10*$F$5)-Budget!$G$38</f>
        <v>653.64237374999993</v>
      </c>
      <c r="G10" s="40">
        <f>(D10*$G$5)-Budget!$G$38</f>
        <v>1177.1723737500006</v>
      </c>
      <c r="H10" s="40">
        <f>(D10*$H$5)-Budget!$G$38</f>
        <v>1700.7023737500003</v>
      </c>
      <c r="I10" s="40">
        <f>(D10*$I$5)-Budget!$G$38</f>
        <v>2224.232373750001</v>
      </c>
      <c r="J10" s="40">
        <f>(D10*$J$5)-Budget!$G$38</f>
        <v>2747.7623737500007</v>
      </c>
      <c r="K10" s="41">
        <f>(D10*$K$5)-Budget!$G$38</f>
        <v>3271.2923737500005</v>
      </c>
      <c r="L10" s="5"/>
    </row>
    <row r="11" spans="1:12" ht="16.5" customHeight="1">
      <c r="A11" s="5"/>
      <c r="B11" s="155"/>
      <c r="C11" s="29" t="s">
        <v>19</v>
      </c>
      <c r="D11" s="20">
        <f>D9*110%</f>
        <v>3.0470000000000002</v>
      </c>
      <c r="E11" s="39">
        <f>(D11*$E$5)-Budget!$G$38</f>
        <v>304.62237375000041</v>
      </c>
      <c r="F11" s="40">
        <f>(D11*$F$5)-Budget!$G$38</f>
        <v>853.08237375000044</v>
      </c>
      <c r="G11" s="40">
        <f>(D11*$G$5)-Budget!$G$38</f>
        <v>1401.5423737500005</v>
      </c>
      <c r="H11" s="40">
        <f>(D11*$H$5)-Budget!$G$38</f>
        <v>1950.0023737500005</v>
      </c>
      <c r="I11" s="40">
        <f>(D11*$I$5)-Budget!$G$38</f>
        <v>2498.4623737500015</v>
      </c>
      <c r="J11" s="40">
        <f>(D11*$J$5)-Budget!$G$38</f>
        <v>3046.9223737500006</v>
      </c>
      <c r="K11" s="41">
        <f>(D11*$K$5)-Budget!$G$38</f>
        <v>3595.3823737500006</v>
      </c>
      <c r="L11" s="5"/>
    </row>
    <row r="12" spans="1:12" ht="16.5" customHeight="1">
      <c r="A12" s="5"/>
      <c r="B12" s="120"/>
      <c r="C12" s="31" t="s">
        <v>18</v>
      </c>
      <c r="D12" s="32">
        <f>D9*115%</f>
        <v>3.1854999999999998</v>
      </c>
      <c r="E12" s="43">
        <f>(D12*$E$5)-Budget!$G$38</f>
        <v>479.13237374999972</v>
      </c>
      <c r="F12" s="44">
        <f>(D12*$F$5)-Budget!$G$38</f>
        <v>1052.52237375</v>
      </c>
      <c r="G12" s="44">
        <f>(D12*$G$5)-Budget!$G$38</f>
        <v>1625.9123737499995</v>
      </c>
      <c r="H12" s="44">
        <f>(D12*$H$5)-Budget!$G$38</f>
        <v>2199.3023737499998</v>
      </c>
      <c r="I12" s="44">
        <f>(D12*$I$5)-Budget!$G$38</f>
        <v>2772.6923737500001</v>
      </c>
      <c r="J12" s="44">
        <f>(D12*$J$5)-Budget!$G$38</f>
        <v>3346.0823737499995</v>
      </c>
      <c r="K12" s="45">
        <f>(D12*$K$5)-Budget!$G$38</f>
        <v>3919.4723737499999</v>
      </c>
      <c r="L12" s="5"/>
    </row>
    <row r="13" spans="1:12" s="5" customFormat="1" ht="16.5" customHeight="1">
      <c r="B13" s="7"/>
      <c r="C13" s="7"/>
      <c r="D13" s="7"/>
      <c r="E13" s="7"/>
      <c r="F13" s="7"/>
      <c r="G13" s="7"/>
      <c r="H13" s="7"/>
      <c r="I13" s="7"/>
      <c r="J13" s="7"/>
      <c r="K13" s="7"/>
    </row>
    <row r="14" spans="1:12" s="5" customFormat="1" ht="16.5" customHeight="1">
      <c r="B14" s="147" t="s">
        <v>109</v>
      </c>
      <c r="C14" s="147"/>
      <c r="D14" s="147"/>
      <c r="E14" s="147"/>
      <c r="F14" s="147"/>
      <c r="G14" s="147"/>
      <c r="H14" s="147"/>
      <c r="I14" s="147"/>
      <c r="J14" s="147"/>
      <c r="K14" s="147"/>
    </row>
    <row r="15" spans="1:12" s="5" customFormat="1" ht="16">
      <c r="B15" s="154" t="s">
        <v>64</v>
      </c>
      <c r="C15" s="154"/>
      <c r="D15" s="154"/>
      <c r="E15" s="154"/>
      <c r="F15" s="154"/>
      <c r="G15" s="154"/>
      <c r="H15" s="154"/>
      <c r="I15" s="154"/>
      <c r="J15" s="154"/>
      <c r="K15" s="154"/>
    </row>
    <row r="16" spans="1:12" ht="16.5" customHeight="1">
      <c r="A16" s="5"/>
      <c r="B16" s="22"/>
      <c r="C16" s="48"/>
      <c r="D16" s="48"/>
      <c r="E16" s="149" t="s">
        <v>2</v>
      </c>
      <c r="F16" s="150"/>
      <c r="G16" s="150"/>
      <c r="H16" s="150"/>
      <c r="I16" s="150"/>
      <c r="J16" s="150"/>
      <c r="K16" s="151"/>
      <c r="L16" s="5"/>
    </row>
    <row r="17" spans="1:12" ht="16.5" customHeight="1">
      <c r="A17" s="5"/>
      <c r="B17" s="27"/>
      <c r="C17" s="11"/>
      <c r="D17" s="14"/>
      <c r="E17" s="46" t="s">
        <v>24</v>
      </c>
      <c r="F17" s="15" t="s">
        <v>23</v>
      </c>
      <c r="G17" s="15" t="s">
        <v>22</v>
      </c>
      <c r="H17" s="15" t="s">
        <v>21</v>
      </c>
      <c r="I17" s="15" t="s">
        <v>20</v>
      </c>
      <c r="J17" s="15" t="s">
        <v>19</v>
      </c>
      <c r="K17" s="47" t="s">
        <v>18</v>
      </c>
      <c r="L17" s="5"/>
    </row>
    <row r="18" spans="1:12" ht="16.5" customHeight="1">
      <c r="A18" s="5"/>
      <c r="B18" s="152" t="s">
        <v>13</v>
      </c>
      <c r="C18" s="16"/>
      <c r="D18" s="17" t="s">
        <v>24</v>
      </c>
      <c r="E18" s="36">
        <f>(Budget!G4*0.85)-(Budget!G32*0.85)-Budget!G37</f>
        <v>1179.3803926874998</v>
      </c>
      <c r="F18" s="37">
        <f>(Budget!G4*0.9)-(Budget!G32*0.85)-Budget!G37</f>
        <v>1428.6803926875009</v>
      </c>
      <c r="G18" s="37">
        <f>(Budget!G4*0.95)-(Budget!G32*0.85)-Budget!G37</f>
        <v>1677.9803926875002</v>
      </c>
      <c r="H18" s="37">
        <f>Budget!G4-(Budget!G32*0.85)-Budget!G37</f>
        <v>1927.2803926875004</v>
      </c>
      <c r="I18" s="37">
        <f>(Budget!G4*1.05)-(Budget!G32*0.85)-Budget!G37</f>
        <v>2176.5803926875005</v>
      </c>
      <c r="J18" s="37">
        <f>(Budget!G4*1.1)-(Budget!G32*0.85)-Budget!G37</f>
        <v>2425.8803926875007</v>
      </c>
      <c r="K18" s="38">
        <f>(Budget!G4*1.15)-(Budget!G32*0.85)-Budget!G37</f>
        <v>2675.1803926875</v>
      </c>
      <c r="L18" s="5"/>
    </row>
    <row r="19" spans="1:12" ht="16.5" customHeight="1">
      <c r="A19" s="5"/>
      <c r="B19" s="152"/>
      <c r="C19" s="16"/>
      <c r="D19" s="17" t="s">
        <v>23</v>
      </c>
      <c r="E19" s="39">
        <f>(Budget!G4*0.85)-(Budget!G32*0.9)-Budget!G37</f>
        <v>1020.7543863749996</v>
      </c>
      <c r="F19" s="40">
        <f>(Budget!G4*0.9)-(Budget!G32*0.9)-Budget!G37</f>
        <v>1270.0543863750008</v>
      </c>
      <c r="G19" s="40">
        <f>(Budget!G4*0.95)-(Budget!G32*0.9)-Budget!G37</f>
        <v>1519.3543863750001</v>
      </c>
      <c r="H19" s="40">
        <f>Budget!G4-(Budget!G32*0.9)-Budget!G37</f>
        <v>1768.6543863750003</v>
      </c>
      <c r="I19" s="40">
        <f>(Budget!G4*1.05)-(Budget!G32*0.9)-Budget!G37</f>
        <v>2017.9543863750005</v>
      </c>
      <c r="J19" s="40">
        <f>(Budget!G4*1.1)-(Budget!G32*0.9)-Budget!G37</f>
        <v>2267.2543863750006</v>
      </c>
      <c r="K19" s="41">
        <f>(Budget!G4*1.15)-(Budget!G32*0.9)-Budget!G37</f>
        <v>2516.5543863749999</v>
      </c>
      <c r="L19" s="5"/>
    </row>
    <row r="20" spans="1:12" ht="16.5" customHeight="1" thickBot="1">
      <c r="A20" s="5"/>
      <c r="B20" s="152"/>
      <c r="C20" s="16"/>
      <c r="D20" s="17" t="s">
        <v>22</v>
      </c>
      <c r="E20" s="39">
        <f>(Budget!G4*0.85)-(Budget!G32*0.95)-Budget!G37</f>
        <v>862.12838006249956</v>
      </c>
      <c r="F20" s="40">
        <f>(Budget!G4*0.9)-(Budget!G32*0.95)-Budget!G37</f>
        <v>1111.4283800625008</v>
      </c>
      <c r="G20" s="40">
        <f>(Budget!G4*0.95)-(Budget!G32*0.95)-Budget!G37</f>
        <v>1360.7283800625</v>
      </c>
      <c r="H20" s="40">
        <f>Budget!G4-(Budget!G32*0.95)-Budget!G37</f>
        <v>1610.0283800625002</v>
      </c>
      <c r="I20" s="40">
        <f>(Budget!G4*1.05)-(Budget!G32*0.95)-Budget!G37</f>
        <v>1859.3283800625004</v>
      </c>
      <c r="J20" s="40">
        <f>(Budget!G4*1.1)-(Budget!G32*0.95)-Budget!G37</f>
        <v>2108.6283800625006</v>
      </c>
      <c r="K20" s="41">
        <f>(Budget!G4*1.15)-(Budget!G32*0.95)-Budget!G37</f>
        <v>2357.9283800624999</v>
      </c>
      <c r="L20" s="5"/>
    </row>
    <row r="21" spans="1:12" ht="16.5" customHeight="1" thickBot="1">
      <c r="A21" s="5"/>
      <c r="B21" s="152"/>
      <c r="C21" s="16"/>
      <c r="D21" s="17" t="s">
        <v>21</v>
      </c>
      <c r="E21" s="39">
        <f>(Budget!G4*0.85)-Budget!G32-Budget!GG37</f>
        <v>1065.5798737499995</v>
      </c>
      <c r="F21" s="40">
        <f>(Budget!G4*0.9)-(Budget!G32)-Budget!G37</f>
        <v>952.80237375000058</v>
      </c>
      <c r="G21" s="40">
        <f>(Budget!G4*0.95)-(Budget!G32)-Budget!G37</f>
        <v>1202.10237375</v>
      </c>
      <c r="H21" s="42">
        <f>Budget!G4-(Budget!G32)-Budget!G37</f>
        <v>1451.4023737500002</v>
      </c>
      <c r="I21" s="40">
        <f>(Budget!G4*1.05)-(Budget!G32)-Budget!G37</f>
        <v>1700.7023737500003</v>
      </c>
      <c r="J21" s="40">
        <f>(Budget!G4*1.1)-(Budget!G32)-Budget!G37</f>
        <v>1950.0023737500005</v>
      </c>
      <c r="K21" s="41">
        <f>(Budget!G4*1.15)-(Budget!G32)-Budget!G37</f>
        <v>2199.3023737499998</v>
      </c>
      <c r="L21" s="5"/>
    </row>
    <row r="22" spans="1:12" ht="16.5" customHeight="1">
      <c r="A22" s="5"/>
      <c r="B22" s="152"/>
      <c r="C22" s="16"/>
      <c r="D22" s="17" t="s">
        <v>20</v>
      </c>
      <c r="E22" s="39">
        <f>(Budget!G4*0.85)-(Budget!G32*1.05)-Budget!G37</f>
        <v>544.87636743749943</v>
      </c>
      <c r="F22" s="40">
        <f>(Budget!G4*0.9)-(Budget!G32*1.05)-Budget!G37</f>
        <v>794.17636743750052</v>
      </c>
      <c r="G22" s="40">
        <f>(Budget!G4*0.95)-(Budget!G32*1.05)-Budget!G37</f>
        <v>1043.4763674374999</v>
      </c>
      <c r="H22" s="40">
        <f>Budget!G4-(Budget!G32*1.05)-Budget!G37</f>
        <v>1292.7763674375001</v>
      </c>
      <c r="I22" s="40">
        <f>(Budget!G4*1.05)-(Budget!G32*1.05)-Budget!G37</f>
        <v>1542.0763674375003</v>
      </c>
      <c r="J22" s="40">
        <f>(Budget!G4*1.1)-(Budget!G32*1.05)-Budget!G37</f>
        <v>1791.3763674375004</v>
      </c>
      <c r="K22" s="41">
        <f>(Budget!G4*1.15)-(Budget!G32*1.05)-Budget!G37</f>
        <v>2040.6763674374997</v>
      </c>
      <c r="L22" s="5"/>
    </row>
    <row r="23" spans="1:12" ht="16.5" customHeight="1">
      <c r="A23" s="5"/>
      <c r="B23" s="152"/>
      <c r="C23" s="16"/>
      <c r="D23" s="17" t="s">
        <v>19</v>
      </c>
      <c r="E23" s="39">
        <f>(Budget!G4*0.85)-(Budget!G32*1.1)-Budget!G37</f>
        <v>386.25036112499936</v>
      </c>
      <c r="F23" s="40">
        <f>(Budget!G4*0.9)-(Budget!G32*1.1)-Budget!G37</f>
        <v>635.55036112500045</v>
      </c>
      <c r="G23" s="40">
        <f>(Budget!G4*0.95)-(Budget!G32*1.1)-Budget!G37</f>
        <v>884.85036112499972</v>
      </c>
      <c r="H23" s="40">
        <f>Budget!G4-(Budget!G32*1.1)-Budget!G37</f>
        <v>1134.150361125</v>
      </c>
      <c r="I23" s="40">
        <f>(Budget!G4*1.05)-(Budget!G32*1.1)-Budget!G37</f>
        <v>1383.4503611250002</v>
      </c>
      <c r="J23" s="40">
        <f>(Budget!G4*1.1)-(Budget!G32*1.1)-Budget!G37</f>
        <v>1632.7503611250004</v>
      </c>
      <c r="K23" s="41">
        <f>(Budget!G4*1.15)-(Budget!G32*1.1)-Budget!G37</f>
        <v>1882.0503611249997</v>
      </c>
      <c r="L23" s="5"/>
    </row>
    <row r="24" spans="1:12" ht="16.5" customHeight="1">
      <c r="A24" s="5"/>
      <c r="B24" s="153"/>
      <c r="C24" s="49"/>
      <c r="D24" s="50" t="s">
        <v>18</v>
      </c>
      <c r="E24" s="43">
        <f>(Budget!G4*0.85)-(Budget!G32*1.15)-Budget!G37</f>
        <v>227.62435481249975</v>
      </c>
      <c r="F24" s="44">
        <f>(Budget!G4*0.9)-(Budget!G32*1.15)-Budget!G37</f>
        <v>476.92435481250084</v>
      </c>
      <c r="G24" s="44">
        <f>(Budget!G4*0.95)-(Budget!G32*1.15)-Budget!G37</f>
        <v>726.22435481250011</v>
      </c>
      <c r="H24" s="44">
        <f>Budget!G4-(Budget!G32*1.15)-Budget!G37</f>
        <v>975.52435481250029</v>
      </c>
      <c r="I24" s="44">
        <f>(Budget!G4*1.05)-(Budget!G32*1.15)-Budget!G37</f>
        <v>1224.8243548125006</v>
      </c>
      <c r="J24" s="44">
        <f>(Budget!G4*1.1)-(Budget!G32*1.15)-Budget!G37</f>
        <v>1474.1243548125008</v>
      </c>
      <c r="K24" s="45">
        <f>(Budget!G4*1.15)-(Budget!G32*1.15)-Budget!G37</f>
        <v>1723.4243548125</v>
      </c>
      <c r="L24" s="5"/>
    </row>
    <row r="25" spans="1:12" ht="9" hidden="1" customHeight="1">
      <c r="A25" s="5"/>
      <c r="B25" s="8"/>
      <c r="C25" s="8"/>
      <c r="D25" s="8"/>
      <c r="E25" s="8"/>
      <c r="F25" s="8"/>
      <c r="G25" s="8"/>
      <c r="H25" s="8"/>
      <c r="I25" s="8"/>
      <c r="J25" s="8"/>
      <c r="K25" s="8"/>
    </row>
    <row r="26" spans="1:12" ht="14.5" hidden="1" customHeight="1">
      <c r="B26" s="5"/>
      <c r="C26" s="5"/>
      <c r="D26" s="5"/>
      <c r="E26" s="5"/>
      <c r="F26" s="5"/>
      <c r="G26" s="5"/>
      <c r="H26" s="5"/>
      <c r="I26" s="5"/>
      <c r="J26" s="5"/>
      <c r="K26" s="5"/>
    </row>
    <row r="28" spans="1:12" ht="32.15" hidden="1" customHeight="1"/>
    <row r="29" spans="1:12" ht="16" hidden="1">
      <c r="B29" s="148"/>
      <c r="C29" s="148"/>
      <c r="D29" s="148"/>
      <c r="E29" s="148"/>
      <c r="F29" s="148"/>
      <c r="G29" s="148"/>
      <c r="H29" s="148"/>
      <c r="I29" s="148"/>
      <c r="J29" s="148"/>
      <c r="K29" s="148"/>
    </row>
    <row r="30" spans="1:12" ht="16" hidden="1">
      <c r="B30" s="148"/>
      <c r="C30" s="148"/>
      <c r="D30" s="148"/>
      <c r="E30" s="148"/>
      <c r="F30" s="148"/>
      <c r="G30" s="148"/>
      <c r="H30" s="148"/>
      <c r="I30" s="148"/>
      <c r="J30" s="148"/>
      <c r="K30" s="148"/>
    </row>
    <row r="31" spans="1:12" ht="16" hidden="1">
      <c r="B31" s="9"/>
      <c r="C31" s="9"/>
      <c r="D31" s="9"/>
      <c r="E31" s="9"/>
      <c r="F31" s="9"/>
      <c r="G31" s="9"/>
      <c r="H31" s="9"/>
      <c r="I31" s="9"/>
      <c r="J31" s="9"/>
      <c r="K31" s="9"/>
    </row>
    <row r="32" spans="1:12" ht="16" hidden="1">
      <c r="G32" s="8"/>
      <c r="H32" s="8"/>
      <c r="I32" s="8"/>
      <c r="J32" s="8"/>
      <c r="K32" s="8"/>
    </row>
    <row r="33" spans="7:11" ht="16" hidden="1">
      <c r="G33" s="8"/>
      <c r="H33" s="8"/>
      <c r="I33" s="8"/>
      <c r="J33" s="8"/>
      <c r="K33" s="8"/>
    </row>
    <row r="34" spans="7:11" ht="16" hidden="1">
      <c r="G34" s="8"/>
      <c r="H34" s="8"/>
      <c r="I34" s="8"/>
      <c r="J34" s="8"/>
      <c r="K34" s="8"/>
    </row>
    <row r="35" spans="7:11" ht="16" hidden="1">
      <c r="G35" s="8"/>
      <c r="H35" s="8"/>
      <c r="I35" s="8"/>
      <c r="J35" s="8"/>
      <c r="K35" s="8"/>
    </row>
    <row r="36" spans="7:11" ht="16" hidden="1">
      <c r="G36" s="8"/>
      <c r="H36" s="8"/>
      <c r="I36" s="8"/>
      <c r="J36" s="8"/>
      <c r="K36" s="8"/>
    </row>
  </sheetData>
  <sheetProtection sheet="1" objects="1" scenarios="1"/>
  <mergeCells count="12">
    <mergeCell ref="B1:K1"/>
    <mergeCell ref="B14:K14"/>
    <mergeCell ref="B29:K29"/>
    <mergeCell ref="B30:K30"/>
    <mergeCell ref="E16:K16"/>
    <mergeCell ref="B18:B24"/>
    <mergeCell ref="B2:K2"/>
    <mergeCell ref="B15:K15"/>
    <mergeCell ref="B8:B11"/>
    <mergeCell ref="B3:B7"/>
    <mergeCell ref="E3:H3"/>
    <mergeCell ref="I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EDD0F42F-ABC9-42AD-BB5E-434C118564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Rahe, Mallory</cp:lastModifiedBy>
  <cp:revision/>
  <cp:lastPrinted>2025-09-26T18:58:38Z</cp:lastPrinted>
  <dcterms:created xsi:type="dcterms:W3CDTF">2020-07-30T17:48:44Z</dcterms:created>
  <dcterms:modified xsi:type="dcterms:W3CDTF">2025-10-13T20:50:33Z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