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mailmissouri-my.sharepoint.com/personal/knappv_umsystem_edu/Documents/Documents/ABP pubs/z-done/mx466_new_082025/Excel/"/>
    </mc:Choice>
  </mc:AlternateContent>
  <xr:revisionPtr revIDLastSave="1" documentId="8_{E76B246F-F9C8-4BC7-B21A-D00CF8118700}" xr6:coauthVersionLast="47" xr6:coauthVersionMax="47" xr10:uidLastSave="{9A27AEB8-7F06-4EF8-B599-7C083AB66F55}"/>
  <bookViews>
    <workbookView xWindow="32220" yWindow="300" windowWidth="22020" windowHeight="15030" tabRatio="634" xr2:uid="{00000000-000D-0000-FFFF-FFFF00000000}"/>
  </bookViews>
  <sheets>
    <sheet name="Introduction" sheetId="38" r:id="rId1"/>
    <sheet name="Summary" sheetId="37" r:id="rId2"/>
    <sheet name="Operating Inputs" sheetId="11" r:id="rId3"/>
    <sheet name="Capital Inputs" sheetId="14" r:id="rId4"/>
    <sheet name="1- Food - Salmon RAS" sheetId="33" r:id="rId5"/>
    <sheet name="2- Food- Trout RAS" sheetId="18" r:id="rId6"/>
    <sheet name="3- Stocking- Trout RAS" sheetId="25" r:id="rId7"/>
    <sheet name="4- Stocking- Walleye RA" sheetId="35" r:id="rId8"/>
    <sheet name="5- Food- Yellow Perch RAS" sheetId="31" r:id="rId9"/>
    <sheet name="6- Stocking- Yellow Perch RAS" sheetId="27" r:id="rId10"/>
    <sheet name="Walleye Utilities" sheetId="22" state="hidden" r:id="rId11"/>
    <sheet name="Trout Utilities" sheetId="20" state="hidden" r:id="rId12"/>
    <sheet name="Perch Utilities" sheetId="21" state="hidden" r:id="rId13"/>
    <sheet name="Salmon Utilities" sheetId="23" state="hidden" r:id="rId14"/>
  </sheets>
  <externalReferences>
    <externalReference r:id="rId15"/>
  </externalReferences>
  <definedNames>
    <definedName name="AZ">#REF!</definedName>
    <definedName name="BudgetActivities" localSheetId="0">#REF!</definedName>
    <definedName name="BudgetActivities">#REF!</definedName>
    <definedName name="CustomActivities">'[1]Activity list'!$W$4:$AA$14</definedName>
    <definedName name="CustomImps">[1]!Table4[Implement]</definedName>
    <definedName name="Grow_out_capacity">'Capital Inputs'!$L$16</definedName>
    <definedName name="solver_eng" localSheetId="12" hidden="1">1</definedName>
    <definedName name="solver_eng" localSheetId="13" hidden="1">1</definedName>
    <definedName name="solver_eng" localSheetId="11" hidden="1">1</definedName>
    <definedName name="solver_eng" localSheetId="10" hidden="1">1</definedName>
    <definedName name="solver_neg" localSheetId="12" hidden="1">1</definedName>
    <definedName name="solver_neg" localSheetId="13" hidden="1">1</definedName>
    <definedName name="solver_neg" localSheetId="11" hidden="1">1</definedName>
    <definedName name="solver_neg" localSheetId="10" hidden="1">1</definedName>
    <definedName name="solver_num" localSheetId="12" hidden="1">0</definedName>
    <definedName name="solver_num" localSheetId="13" hidden="1">0</definedName>
    <definedName name="solver_num" localSheetId="11" hidden="1">0</definedName>
    <definedName name="solver_num" localSheetId="10" hidden="1">0</definedName>
    <definedName name="solver_opt" localSheetId="12" hidden="1">'Perch Utilities'!$N$9</definedName>
    <definedName name="solver_opt" localSheetId="13" hidden="1">'Salmon Utilities'!$N$9</definedName>
    <definedName name="solver_opt" localSheetId="11" hidden="1">'Trout Utilities'!$N$9</definedName>
    <definedName name="solver_opt" localSheetId="10" hidden="1">'Walleye Utilities'!$N$9</definedName>
    <definedName name="solver_typ" localSheetId="12" hidden="1">1</definedName>
    <definedName name="solver_typ" localSheetId="13" hidden="1">1</definedName>
    <definedName name="solver_typ" localSheetId="11" hidden="1">1</definedName>
    <definedName name="solver_typ" localSheetId="10" hidden="1">1</definedName>
    <definedName name="solver_val" localSheetId="12" hidden="1">0</definedName>
    <definedName name="solver_val" localSheetId="13" hidden="1">0</definedName>
    <definedName name="solver_val" localSheetId="11" hidden="1">0</definedName>
    <definedName name="solver_val" localSheetId="10" hidden="1">0</definedName>
    <definedName name="solver_ver" localSheetId="12" hidden="1">3</definedName>
    <definedName name="solver_ver" localSheetId="13" hidden="1">3</definedName>
    <definedName name="solver_ver" localSheetId="11" hidden="1">3</definedName>
    <definedName name="solver_ver" localSheetId="10" hidden="1">3</definedName>
    <definedName name="ss">#REF!</definedName>
    <definedName name="ww">[1]!Table4[Implement]</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18" l="1"/>
  <c r="O59" i="25"/>
  <c r="P59" i="25"/>
  <c r="Q59" i="25"/>
  <c r="R59" i="25"/>
  <c r="S59" i="25"/>
  <c r="T59" i="25"/>
  <c r="N59" i="25"/>
  <c r="M59" i="25"/>
  <c r="Q20" i="14"/>
  <c r="L59" i="25" l="1"/>
  <c r="Q21" i="14"/>
  <c r="R21" i="14" s="1"/>
  <c r="Q22" i="14"/>
  <c r="R22" i="14" s="1"/>
  <c r="Q23" i="14"/>
  <c r="R23" i="14" s="1"/>
  <c r="R17" i="14"/>
  <c r="R35" i="14"/>
  <c r="R36" i="14"/>
  <c r="R37" i="14"/>
  <c r="R38" i="14"/>
  <c r="P8" i="14"/>
  <c r="P9" i="14"/>
  <c r="P10" i="14"/>
  <c r="P11" i="14"/>
  <c r="P12" i="14"/>
  <c r="P13" i="14"/>
  <c r="P14" i="14"/>
  <c r="P15" i="14"/>
  <c r="P16" i="14"/>
  <c r="P17" i="14"/>
  <c r="P18" i="14"/>
  <c r="P19" i="14"/>
  <c r="P7" i="14"/>
  <c r="P21" i="14"/>
  <c r="P22" i="14"/>
  <c r="P23" i="14"/>
  <c r="P24" i="14"/>
  <c r="P25" i="14"/>
  <c r="P26" i="14"/>
  <c r="P27" i="14"/>
  <c r="P28" i="14"/>
  <c r="P29" i="14"/>
  <c r="P30" i="14"/>
  <c r="P31" i="14"/>
  <c r="P32" i="14"/>
  <c r="P33" i="14"/>
  <c r="P34" i="14"/>
  <c r="P35" i="14"/>
  <c r="P36" i="14"/>
  <c r="P37" i="14"/>
  <c r="L62" i="25"/>
  <c r="M62" i="25"/>
  <c r="N62" i="25"/>
  <c r="P62" i="25"/>
  <c r="Q62" i="25"/>
  <c r="R62" i="25"/>
  <c r="S62" i="25"/>
  <c r="K62" i="25"/>
  <c r="K59" i="25"/>
  <c r="L61" i="25"/>
  <c r="M61" i="25"/>
  <c r="N61" i="25"/>
  <c r="P61" i="25"/>
  <c r="Q61" i="25"/>
  <c r="R61" i="25"/>
  <c r="S61" i="25"/>
  <c r="K61" i="25"/>
  <c r="K58" i="25"/>
  <c r="T37" i="35" l="1"/>
  <c r="S37" i="35"/>
  <c r="V36" i="35"/>
  <c r="U36" i="35"/>
  <c r="T36" i="35"/>
  <c r="S36" i="35"/>
  <c r="V35" i="35"/>
  <c r="U35" i="35"/>
  <c r="T35" i="35"/>
  <c r="S35" i="35"/>
  <c r="V34" i="35"/>
  <c r="U34" i="35"/>
  <c r="T34" i="35"/>
  <c r="S34" i="35"/>
  <c r="V33" i="35"/>
  <c r="U33" i="35"/>
  <c r="T33" i="35"/>
  <c r="S33" i="35"/>
  <c r="V32" i="35"/>
  <c r="U32" i="35"/>
  <c r="T32" i="35"/>
  <c r="S32" i="35"/>
  <c r="V31" i="35"/>
  <c r="U31" i="35"/>
  <c r="T31" i="35"/>
  <c r="S31" i="35"/>
  <c r="V30" i="35"/>
  <c r="U30" i="35"/>
  <c r="T30" i="35"/>
  <c r="S30" i="35"/>
  <c r="V29" i="35"/>
  <c r="U29" i="35"/>
  <c r="T29" i="35"/>
  <c r="S29" i="35"/>
  <c r="V28" i="35"/>
  <c r="U28" i="35"/>
  <c r="T28" i="35"/>
  <c r="S28" i="35"/>
  <c r="U43" i="25"/>
  <c r="T43" i="25"/>
  <c r="W42" i="25"/>
  <c r="V42" i="25"/>
  <c r="U42" i="25"/>
  <c r="T42" i="25"/>
  <c r="W41" i="25"/>
  <c r="V41" i="25"/>
  <c r="U41" i="25"/>
  <c r="T41" i="25"/>
  <c r="W40" i="25"/>
  <c r="V40" i="25"/>
  <c r="U40" i="25"/>
  <c r="T40" i="25"/>
  <c r="W39" i="25"/>
  <c r="V39" i="25"/>
  <c r="U39" i="25"/>
  <c r="T39" i="25"/>
  <c r="W38" i="25"/>
  <c r="V38" i="25"/>
  <c r="U38" i="25"/>
  <c r="T38" i="25"/>
  <c r="W37" i="25"/>
  <c r="V37" i="25"/>
  <c r="U37" i="25"/>
  <c r="T37" i="25"/>
  <c r="W36" i="25"/>
  <c r="V36" i="25"/>
  <c r="U36" i="25"/>
  <c r="T36" i="25"/>
  <c r="W35" i="25"/>
  <c r="V35" i="25"/>
  <c r="U35" i="25"/>
  <c r="T35" i="25"/>
  <c r="W34" i="25"/>
  <c r="V34" i="25"/>
  <c r="U34" i="25"/>
  <c r="T34" i="25"/>
  <c r="T42" i="18"/>
  <c r="S42" i="18"/>
  <c r="V41" i="18"/>
  <c r="U41" i="18"/>
  <c r="T41" i="18"/>
  <c r="S41" i="18"/>
  <c r="V40" i="18"/>
  <c r="U40" i="18"/>
  <c r="T40" i="18"/>
  <c r="S40" i="18"/>
  <c r="V39" i="18"/>
  <c r="U39" i="18"/>
  <c r="T39" i="18"/>
  <c r="S39" i="18"/>
  <c r="V38" i="18"/>
  <c r="U38" i="18"/>
  <c r="T38" i="18"/>
  <c r="S38" i="18"/>
  <c r="V37" i="18"/>
  <c r="U37" i="18"/>
  <c r="T37" i="18"/>
  <c r="S37" i="18"/>
  <c r="V36" i="18"/>
  <c r="U36" i="18"/>
  <c r="T36" i="18"/>
  <c r="S36" i="18"/>
  <c r="V35" i="18"/>
  <c r="U35" i="18"/>
  <c r="T35" i="18"/>
  <c r="S35" i="18"/>
  <c r="V34" i="18"/>
  <c r="U34" i="18"/>
  <c r="T34" i="18"/>
  <c r="S34" i="18"/>
  <c r="V33" i="18"/>
  <c r="U33" i="18"/>
  <c r="T33" i="18"/>
  <c r="S33" i="18"/>
  <c r="V31" i="33"/>
  <c r="W31" i="33"/>
  <c r="V32" i="33"/>
  <c r="W32" i="33"/>
  <c r="V33" i="33"/>
  <c r="W33" i="33"/>
  <c r="V34" i="33"/>
  <c r="W34" i="33"/>
  <c r="V35" i="33"/>
  <c r="W35" i="33"/>
  <c r="V36" i="33"/>
  <c r="W36" i="33"/>
  <c r="V37" i="33"/>
  <c r="W37" i="33"/>
  <c r="V38" i="33"/>
  <c r="W38" i="33"/>
  <c r="W30" i="33"/>
  <c r="V30" i="33"/>
  <c r="T31" i="33"/>
  <c r="U31" i="33"/>
  <c r="T32" i="33"/>
  <c r="U32" i="33"/>
  <c r="T33" i="33"/>
  <c r="U33" i="33"/>
  <c r="T34" i="33"/>
  <c r="U34" i="33"/>
  <c r="T35" i="33"/>
  <c r="U35" i="33"/>
  <c r="T36" i="33"/>
  <c r="U36" i="33"/>
  <c r="T37" i="33"/>
  <c r="U37" i="33"/>
  <c r="T38" i="33"/>
  <c r="U38" i="33"/>
  <c r="T39" i="33"/>
  <c r="U39" i="33"/>
  <c r="U30" i="33"/>
  <c r="T30" i="33"/>
  <c r="L17" i="27" l="1"/>
  <c r="L17" i="31" l="1"/>
  <c r="F7" i="37" s="1"/>
  <c r="E11" i="33"/>
  <c r="E13" i="18"/>
  <c r="E12" i="18"/>
  <c r="L15" i="33"/>
  <c r="F15" i="18"/>
  <c r="F8" i="37" l="1"/>
  <c r="E8" i="37"/>
  <c r="E7" i="37"/>
  <c r="E6" i="37"/>
  <c r="E5" i="37"/>
  <c r="E4" i="37"/>
  <c r="E3" i="37"/>
  <c r="Q8" i="37" l="1"/>
  <c r="Q7" i="37"/>
  <c r="S8" i="37"/>
  <c r="S7" i="37"/>
  <c r="F19" i="14"/>
  <c r="F18" i="14"/>
  <c r="O61" i="25" s="1"/>
  <c r="F17" i="14"/>
  <c r="T61" i="25" s="1"/>
  <c r="B37" i="11"/>
  <c r="C41" i="11" s="1"/>
  <c r="D41" i="11" s="1"/>
  <c r="B36" i="11"/>
  <c r="D37" i="11" s="1"/>
  <c r="L5" i="14"/>
  <c r="L14" i="14"/>
  <c r="F36" i="11" l="1"/>
  <c r="C35" i="11"/>
  <c r="B39" i="11"/>
  <c r="I17" i="14"/>
  <c r="T62" i="25"/>
  <c r="I19" i="14"/>
  <c r="I18" i="14"/>
  <c r="R7" i="37"/>
  <c r="R8" i="37"/>
  <c r="B40" i="11"/>
  <c r="N8" i="14"/>
  <c r="O62" i="25" l="1"/>
  <c r="D55" i="27"/>
  <c r="D53" i="31"/>
  <c r="B54" i="27"/>
  <c r="B52" i="31" s="1"/>
  <c r="B49" i="35" s="1"/>
  <c r="B48" i="33" s="1"/>
  <c r="B55" i="27"/>
  <c r="B53" i="31" s="1"/>
  <c r="B50" i="35" s="1"/>
  <c r="B49" i="33" s="1"/>
  <c r="B56" i="27"/>
  <c r="B54" i="31" s="1"/>
  <c r="B51" i="35" s="1"/>
  <c r="B50" i="33" s="1"/>
  <c r="B57" i="27"/>
  <c r="B55" i="31" s="1"/>
  <c r="B52" i="35" s="1"/>
  <c r="B51" i="33" s="1"/>
  <c r="B58" i="27"/>
  <c r="B56" i="31" s="1"/>
  <c r="B53" i="35" s="1"/>
  <c r="B52" i="33" s="1"/>
  <c r="B59" i="27"/>
  <c r="B57" i="31" s="1"/>
  <c r="B54" i="35" s="1"/>
  <c r="B53" i="33" s="1"/>
  <c r="B60" i="27"/>
  <c r="B58" i="31" s="1"/>
  <c r="B55" i="35" s="1"/>
  <c r="B54" i="33" s="1"/>
  <c r="B61" i="27"/>
  <c r="B59" i="31" s="1"/>
  <c r="B56" i="35" s="1"/>
  <c r="B55" i="33" s="1"/>
  <c r="B62" i="27"/>
  <c r="B60" i="31" s="1"/>
  <c r="B57" i="35" s="1"/>
  <c r="B56" i="33" s="1"/>
  <c r="B63" i="27"/>
  <c r="B61" i="31" s="1"/>
  <c r="B58" i="35" s="1"/>
  <c r="B57" i="33" s="1"/>
  <c r="B64" i="27"/>
  <c r="B62" i="31" s="1"/>
  <c r="B59" i="35" s="1"/>
  <c r="B58" i="33" s="1"/>
  <c r="B65" i="27"/>
  <c r="B63" i="31" s="1"/>
  <c r="B60" i="35" s="1"/>
  <c r="B59" i="33" s="1"/>
  <c r="B63" i="18"/>
  <c r="B66" i="27" s="1"/>
  <c r="B64" i="31" s="1"/>
  <c r="B61" i="35" s="1"/>
  <c r="C51" i="18"/>
  <c r="C54" i="27" s="1"/>
  <c r="C52" i="31" s="1"/>
  <c r="C49" i="35" s="1"/>
  <c r="C48" i="33" s="1"/>
  <c r="D51" i="18"/>
  <c r="D54" i="27" s="1"/>
  <c r="D52" i="31" s="1"/>
  <c r="D49" i="35" s="1"/>
  <c r="D48" i="33" s="1"/>
  <c r="E51" i="18"/>
  <c r="E54" i="27" s="1"/>
  <c r="E52" i="31" s="1"/>
  <c r="E49" i="35" s="1"/>
  <c r="E48" i="33" s="1"/>
  <c r="F51" i="18"/>
  <c r="F54" i="27" s="1"/>
  <c r="F52" i="31" s="1"/>
  <c r="F49" i="35" s="1"/>
  <c r="F48" i="33" s="1"/>
  <c r="B50" i="18"/>
  <c r="B53" i="27" s="1"/>
  <c r="B51" i="31" s="1"/>
  <c r="B48" i="35" s="1"/>
  <c r="B47" i="33" s="1"/>
  <c r="F28" i="25"/>
  <c r="N58" i="25"/>
  <c r="P58" i="25"/>
  <c r="R58" i="25"/>
  <c r="S58" i="25"/>
  <c r="E12" i="35"/>
  <c r="E13" i="31"/>
  <c r="E11" i="31"/>
  <c r="E13" i="27"/>
  <c r="E12" i="27"/>
  <c r="S4" i="37"/>
  <c r="F15" i="25"/>
  <c r="P60" i="25" l="1"/>
  <c r="P63" i="25" s="1"/>
  <c r="R60" i="25"/>
  <c r="R63" i="25" s="1"/>
  <c r="S60" i="25"/>
  <c r="S63" i="25" s="1"/>
  <c r="N60" i="25"/>
  <c r="N63" i="25" s="1"/>
  <c r="K60" i="25"/>
  <c r="K63" i="25" l="1"/>
  <c r="E11" i="18"/>
  <c r="E13" i="25"/>
  <c r="E11" i="35"/>
  <c r="E10" i="33"/>
  <c r="E12" i="31"/>
  <c r="F3" i="37"/>
  <c r="Q3" i="37" s="1"/>
  <c r="F13" i="33"/>
  <c r="S3" i="37"/>
  <c r="R3" i="37" l="1"/>
  <c r="F17" i="18"/>
  <c r="D6" i="14" l="1"/>
  <c r="L8" i="14" s="1"/>
  <c r="N9" i="14" s="1"/>
  <c r="L9" i="14"/>
  <c r="D8" i="14"/>
  <c r="D7" i="14"/>
  <c r="L23" i="31"/>
  <c r="C5" i="23"/>
  <c r="C4" i="20"/>
  <c r="L21" i="33"/>
  <c r="E28" i="35"/>
  <c r="G37" i="35" s="1"/>
  <c r="F27" i="35"/>
  <c r="F26" i="35"/>
  <c r="F25" i="35"/>
  <c r="L18" i="35"/>
  <c r="E21" i="35"/>
  <c r="F19" i="35"/>
  <c r="F17" i="35"/>
  <c r="F16" i="35"/>
  <c r="F14" i="35"/>
  <c r="E13" i="35"/>
  <c r="E6" i="35"/>
  <c r="E5" i="35"/>
  <c r="G5" i="35" s="1"/>
  <c r="G42" i="33"/>
  <c r="G41" i="33"/>
  <c r="G40" i="33"/>
  <c r="E27" i="33"/>
  <c r="F26" i="33"/>
  <c r="F25" i="33"/>
  <c r="F24" i="33"/>
  <c r="E20" i="33"/>
  <c r="F18" i="33"/>
  <c r="F16" i="33"/>
  <c r="F15" i="33"/>
  <c r="E12" i="33"/>
  <c r="E6" i="33"/>
  <c r="E5" i="33"/>
  <c r="G5" i="33" s="1"/>
  <c r="E5" i="31"/>
  <c r="G5" i="31" s="1"/>
  <c r="E29" i="31"/>
  <c r="G38" i="31" s="1"/>
  <c r="F28" i="31"/>
  <c r="F27" i="31"/>
  <c r="F26" i="31"/>
  <c r="E22" i="31"/>
  <c r="F20" i="31"/>
  <c r="F18" i="31"/>
  <c r="F17" i="31"/>
  <c r="F15" i="31"/>
  <c r="E14" i="31"/>
  <c r="E6" i="31"/>
  <c r="E14" i="27"/>
  <c r="E14" i="25"/>
  <c r="E5" i="25"/>
  <c r="L25" i="25"/>
  <c r="E12" i="25"/>
  <c r="E11" i="25"/>
  <c r="L12" i="35" l="1"/>
  <c r="S6" i="37"/>
  <c r="S5" i="37"/>
  <c r="G37" i="33"/>
  <c r="L10" i="14"/>
  <c r="L15" i="14"/>
  <c r="E5" i="18"/>
  <c r="E14" i="18"/>
  <c r="L22" i="18"/>
  <c r="L23" i="27"/>
  <c r="E29" i="27"/>
  <c r="G38" i="27" s="1"/>
  <c r="F28" i="27"/>
  <c r="F27" i="27"/>
  <c r="F26" i="27"/>
  <c r="E22" i="27"/>
  <c r="F20" i="27"/>
  <c r="F18" i="27"/>
  <c r="F17" i="27"/>
  <c r="F15" i="27"/>
  <c r="E11" i="27"/>
  <c r="E6" i="27"/>
  <c r="E5" i="27"/>
  <c r="G5" i="27" s="1"/>
  <c r="E29" i="25"/>
  <c r="F27" i="25"/>
  <c r="F26" i="25"/>
  <c r="E22" i="25"/>
  <c r="F20" i="25"/>
  <c r="F18" i="25"/>
  <c r="F17" i="25"/>
  <c r="E6" i="25"/>
  <c r="G5" i="25"/>
  <c r="F6" i="37" l="1"/>
  <c r="Q6" i="37" s="1"/>
  <c r="G38" i="25"/>
  <c r="C5" i="22"/>
  <c r="C5" i="21"/>
  <c r="C5" i="20"/>
  <c r="B22" i="23"/>
  <c r="Q21" i="23"/>
  <c r="Q25" i="23" s="1"/>
  <c r="P21" i="23"/>
  <c r="P25" i="23" s="1"/>
  <c r="O21" i="23"/>
  <c r="O25" i="23" s="1"/>
  <c r="N21" i="23"/>
  <c r="N25" i="23" s="1"/>
  <c r="M21" i="23"/>
  <c r="M25" i="23" s="1"/>
  <c r="L21" i="23"/>
  <c r="L25" i="23" s="1"/>
  <c r="K21" i="23"/>
  <c r="K25" i="23" s="1"/>
  <c r="J21" i="23"/>
  <c r="J25" i="23" s="1"/>
  <c r="I21" i="23"/>
  <c r="I25" i="23" s="1"/>
  <c r="H21" i="23"/>
  <c r="H25" i="23" s="1"/>
  <c r="G21" i="23"/>
  <c r="G25" i="23" s="1"/>
  <c r="F21" i="23"/>
  <c r="F25" i="23" s="1"/>
  <c r="C12" i="23"/>
  <c r="F9" i="23" s="1"/>
  <c r="F11" i="23"/>
  <c r="K9" i="23"/>
  <c r="K7" i="23"/>
  <c r="K6" i="23"/>
  <c r="C6" i="23"/>
  <c r="K4" i="23"/>
  <c r="G11" i="23" s="1"/>
  <c r="C4" i="23"/>
  <c r="K3" i="23"/>
  <c r="B22" i="22"/>
  <c r="Q21" i="22"/>
  <c r="P21" i="22"/>
  <c r="O21" i="22"/>
  <c r="N21" i="22"/>
  <c r="M21" i="22"/>
  <c r="L21" i="22"/>
  <c r="K21" i="22"/>
  <c r="J21" i="22"/>
  <c r="I21" i="22"/>
  <c r="H21" i="22"/>
  <c r="G21" i="22"/>
  <c r="F21" i="22"/>
  <c r="C12" i="22"/>
  <c r="F9" i="22" s="1"/>
  <c r="F11" i="22"/>
  <c r="K9" i="22"/>
  <c r="K7" i="22"/>
  <c r="K6" i="22"/>
  <c r="C6" i="22"/>
  <c r="K4" i="22"/>
  <c r="G11" i="22" s="1"/>
  <c r="C4" i="22"/>
  <c r="K3" i="22"/>
  <c r="B22" i="21"/>
  <c r="Q21" i="21"/>
  <c r="P21" i="21"/>
  <c r="O21" i="21"/>
  <c r="N21" i="21"/>
  <c r="M21" i="21"/>
  <c r="L21" i="21"/>
  <c r="K21" i="21"/>
  <c r="J21" i="21"/>
  <c r="I21" i="21"/>
  <c r="H21" i="21"/>
  <c r="G21" i="21"/>
  <c r="F21" i="21"/>
  <c r="C12" i="21"/>
  <c r="F9" i="21" s="1"/>
  <c r="F11" i="21"/>
  <c r="K9" i="21"/>
  <c r="K7" i="21"/>
  <c r="K6" i="21"/>
  <c r="C6" i="21"/>
  <c r="K4" i="21"/>
  <c r="G11" i="21" s="1"/>
  <c r="C4" i="21"/>
  <c r="K3" i="21"/>
  <c r="R6" i="37" l="1"/>
  <c r="F25" i="21"/>
  <c r="H25" i="21"/>
  <c r="I25" i="21"/>
  <c r="P25" i="21"/>
  <c r="G25" i="21"/>
  <c r="J25" i="21"/>
  <c r="K25" i="21"/>
  <c r="L25" i="21"/>
  <c r="M25" i="21"/>
  <c r="N25" i="21"/>
  <c r="O25" i="21"/>
  <c r="Q25" i="21"/>
  <c r="O25" i="22"/>
  <c r="H25" i="22"/>
  <c r="J25" i="22"/>
  <c r="P25" i="22"/>
  <c r="F25" i="22"/>
  <c r="I25" i="22"/>
  <c r="L25" i="22"/>
  <c r="N25" i="22"/>
  <c r="Q25" i="22"/>
  <c r="G25" i="22"/>
  <c r="K25" i="22"/>
  <c r="M25" i="22"/>
  <c r="F11" i="14"/>
  <c r="F12" i="14"/>
  <c r="F13" i="14"/>
  <c r="F14" i="14"/>
  <c r="F15" i="14"/>
  <c r="F16" i="14"/>
  <c r="F20" i="18"/>
  <c r="F27" i="18"/>
  <c r="F28" i="18"/>
  <c r="F26" i="18"/>
  <c r="I11" i="14" l="1"/>
  <c r="Q11" i="14"/>
  <c r="R11" i="14" s="1"/>
  <c r="I12" i="14"/>
  <c r="Q12" i="14" s="1"/>
  <c r="R12" i="14" s="1"/>
  <c r="I13" i="14"/>
  <c r="Q13" i="14" s="1"/>
  <c r="R13" i="14" s="1"/>
  <c r="I14" i="14"/>
  <c r="Q14" i="14" s="1"/>
  <c r="R14" i="14" s="1"/>
  <c r="I15" i="14"/>
  <c r="Q15" i="14" s="1"/>
  <c r="R15" i="14" s="1"/>
  <c r="I16" i="14"/>
  <c r="Q16" i="14" s="1"/>
  <c r="R16" i="14" s="1"/>
  <c r="E6" i="18" l="1"/>
  <c r="E29" i="18"/>
  <c r="E22" i="18"/>
  <c r="G38" i="18" l="1"/>
  <c r="F21" i="20"/>
  <c r="F25" i="20" s="1"/>
  <c r="G21" i="20"/>
  <c r="G25" i="20" s="1"/>
  <c r="H21" i="20"/>
  <c r="H25" i="20" s="1"/>
  <c r="I21" i="20"/>
  <c r="I25" i="20" s="1"/>
  <c r="J21" i="20"/>
  <c r="J25" i="20" s="1"/>
  <c r="K21" i="20"/>
  <c r="K25" i="20" s="1"/>
  <c r="L21" i="20"/>
  <c r="L25" i="20" s="1"/>
  <c r="M21" i="20"/>
  <c r="M25" i="20" s="1"/>
  <c r="N21" i="20"/>
  <c r="N25" i="20" s="1"/>
  <c r="O21" i="20"/>
  <c r="O25" i="20" s="1"/>
  <c r="P21" i="20"/>
  <c r="P25" i="20" s="1"/>
  <c r="Q21" i="20"/>
  <c r="Q25" i="20" s="1"/>
  <c r="B22" i="20"/>
  <c r="C12" i="20" l="1"/>
  <c r="K9" i="20"/>
  <c r="K7" i="20"/>
  <c r="K6" i="20"/>
  <c r="K4" i="20"/>
  <c r="K3" i="20"/>
  <c r="C6" i="20"/>
  <c r="L6" i="14"/>
  <c r="L12" i="14" s="1"/>
  <c r="F11" i="20"/>
  <c r="L13" i="14" l="1"/>
  <c r="G11" i="20"/>
  <c r="F9" i="20"/>
  <c r="G5" i="18"/>
  <c r="L16" i="14" l="1"/>
  <c r="N7" i="14"/>
  <c r="B26" i="21"/>
  <c r="B26" i="22"/>
  <c r="C3" i="20"/>
  <c r="B19" i="20" s="1"/>
  <c r="B20" i="20" s="1"/>
  <c r="C3" i="22"/>
  <c r="C3" i="21"/>
  <c r="C3" i="23"/>
  <c r="I24" i="20"/>
  <c r="B26" i="23" l="1"/>
  <c r="B26" i="20"/>
  <c r="L8" i="37"/>
  <c r="L7" i="37"/>
  <c r="L3" i="37"/>
  <c r="D14" i="25"/>
  <c r="D12" i="33"/>
  <c r="D10" i="33"/>
  <c r="D13" i="35"/>
  <c r="D5" i="31"/>
  <c r="D6" i="31" s="1"/>
  <c r="D14" i="18"/>
  <c r="D14" i="31"/>
  <c r="D14" i="27"/>
  <c r="D11" i="27" s="1"/>
  <c r="L6" i="37"/>
  <c r="H24" i="20"/>
  <c r="L24" i="20"/>
  <c r="M24" i="20"/>
  <c r="Q24" i="20"/>
  <c r="F24" i="20"/>
  <c r="O24" i="20"/>
  <c r="N24" i="20"/>
  <c r="P24" i="20"/>
  <c r="G24" i="20"/>
  <c r="K24" i="20"/>
  <c r="B21" i="20"/>
  <c r="G10" i="20" s="1"/>
  <c r="G9" i="20"/>
  <c r="J24" i="20"/>
  <c r="G9" i="23"/>
  <c r="B19" i="23"/>
  <c r="B20" i="23" s="1"/>
  <c r="B19" i="21"/>
  <c r="B20" i="21" s="1"/>
  <c r="G9" i="21"/>
  <c r="B19" i="22"/>
  <c r="B20" i="22" s="1"/>
  <c r="G9" i="22"/>
  <c r="D5" i="33" l="1"/>
  <c r="D6" i="33" s="1"/>
  <c r="D11" i="35"/>
  <c r="D12" i="35" s="1"/>
  <c r="D5" i="35"/>
  <c r="D6" i="35" s="1"/>
  <c r="D12" i="31"/>
  <c r="D11" i="31"/>
  <c r="D11" i="33"/>
  <c r="F11" i="33" s="1"/>
  <c r="F10" i="33"/>
  <c r="F3" i="33"/>
  <c r="D5" i="27"/>
  <c r="D6" i="27" s="1"/>
  <c r="D12" i="27"/>
  <c r="L24" i="22"/>
  <c r="M24" i="22"/>
  <c r="M24" i="23"/>
  <c r="L24" i="23"/>
  <c r="M24" i="21"/>
  <c r="L24" i="21"/>
  <c r="F10" i="20"/>
  <c r="B23" i="20"/>
  <c r="B24" i="20" s="1"/>
  <c r="F4" i="20"/>
  <c r="G4" i="20" s="1"/>
  <c r="F5" i="20"/>
  <c r="G5" i="20" s="1"/>
  <c r="F3" i="20"/>
  <c r="G3" i="20" s="1"/>
  <c r="B21" i="22"/>
  <c r="K24" i="22"/>
  <c r="O24" i="22"/>
  <c r="G24" i="22"/>
  <c r="Q24" i="22"/>
  <c r="H24" i="22"/>
  <c r="P24" i="22"/>
  <c r="N24" i="22"/>
  <c r="F24" i="22"/>
  <c r="Q24" i="23"/>
  <c r="I24" i="23"/>
  <c r="P24" i="23"/>
  <c r="F24" i="23"/>
  <c r="H24" i="23"/>
  <c r="G24" i="23"/>
  <c r="B21" i="23"/>
  <c r="J24" i="23"/>
  <c r="K24" i="23"/>
  <c r="N24" i="23"/>
  <c r="O24" i="23"/>
  <c r="Q24" i="21"/>
  <c r="G24" i="21"/>
  <c r="O24" i="21"/>
  <c r="P24" i="21"/>
  <c r="F24" i="21"/>
  <c r="K24" i="21"/>
  <c r="B21" i="21"/>
  <c r="H24" i="21"/>
  <c r="I24" i="21"/>
  <c r="J24" i="21"/>
  <c r="N24" i="21"/>
  <c r="F38" i="14"/>
  <c r="F37" i="14"/>
  <c r="F36" i="14"/>
  <c r="F35" i="14"/>
  <c r="F34" i="14"/>
  <c r="F33" i="14"/>
  <c r="F32" i="14"/>
  <c r="F31" i="14"/>
  <c r="F30" i="14"/>
  <c r="F29" i="14"/>
  <c r="F28" i="14"/>
  <c r="F27" i="14"/>
  <c r="F26" i="14"/>
  <c r="F25" i="14"/>
  <c r="F24" i="14"/>
  <c r="F23" i="14"/>
  <c r="F22" i="14"/>
  <c r="F21" i="14"/>
  <c r="F9" i="14"/>
  <c r="F5" i="14"/>
  <c r="L7" i="14"/>
  <c r="F7" i="14"/>
  <c r="F8" i="14"/>
  <c r="F6" i="14"/>
  <c r="G11" i="33" l="1"/>
  <c r="N3" i="23"/>
  <c r="O3" i="23" s="1"/>
  <c r="D13" i="27"/>
  <c r="F13" i="27" s="1"/>
  <c r="G13" i="27" s="1"/>
  <c r="I37" i="14"/>
  <c r="Q33" i="14" s="1"/>
  <c r="R33" i="14" s="1"/>
  <c r="P6" i="14"/>
  <c r="I25" i="14"/>
  <c r="L58" i="25"/>
  <c r="D13" i="31"/>
  <c r="F13" i="31" s="1"/>
  <c r="G13" i="31" s="1"/>
  <c r="I36" i="14"/>
  <c r="Q32" i="14" s="1"/>
  <c r="R32" i="14" s="1"/>
  <c r="I29" i="14"/>
  <c r="Q25" i="14" s="1"/>
  <c r="R25" i="14" s="1"/>
  <c r="I24" i="14"/>
  <c r="I7" i="14"/>
  <c r="Q7" i="14" s="1"/>
  <c r="R7" i="14" s="1"/>
  <c r="I31" i="14"/>
  <c r="Q27" i="14" s="1"/>
  <c r="R27" i="14" s="1"/>
  <c r="I26" i="14"/>
  <c r="I38" i="14"/>
  <c r="Q34" i="14" s="1"/>
  <c r="R34" i="14" s="1"/>
  <c r="I9" i="14"/>
  <c r="Q9" i="14" s="1"/>
  <c r="R9" i="14" s="1"/>
  <c r="I32" i="14"/>
  <c r="Q28" i="14" s="1"/>
  <c r="R28" i="14" s="1"/>
  <c r="I27" i="14"/>
  <c r="I21" i="14"/>
  <c r="Q18" i="14" s="1"/>
  <c r="R18" i="14" s="1"/>
  <c r="I33" i="14"/>
  <c r="Q29" i="14" s="1"/>
  <c r="R29" i="14" s="1"/>
  <c r="I34" i="14"/>
  <c r="Q30" i="14" s="1"/>
  <c r="R30" i="14" s="1"/>
  <c r="I22" i="14"/>
  <c r="Q19" i="14" s="1"/>
  <c r="R19" i="14" s="1"/>
  <c r="I28" i="14"/>
  <c r="Q24" i="14" s="1"/>
  <c r="R24" i="14" s="1"/>
  <c r="I30" i="14"/>
  <c r="Q26" i="14" s="1"/>
  <c r="R26" i="14" s="1"/>
  <c r="Q58" i="25"/>
  <c r="I23" i="14"/>
  <c r="O58" i="25"/>
  <c r="I35" i="14"/>
  <c r="Q31" i="14" s="1"/>
  <c r="R31" i="14" s="1"/>
  <c r="M58" i="25"/>
  <c r="I8" i="14"/>
  <c r="Q8" i="14" s="1"/>
  <c r="R8" i="14" s="1"/>
  <c r="I6" i="14"/>
  <c r="F10" i="23"/>
  <c r="G10" i="23"/>
  <c r="F4" i="21"/>
  <c r="G4" i="21" s="1"/>
  <c r="F5" i="21"/>
  <c r="G5" i="21" s="1"/>
  <c r="F3" i="21"/>
  <c r="G3" i="21" s="1"/>
  <c r="B23" i="21"/>
  <c r="B24" i="21" s="1"/>
  <c r="B23" i="23"/>
  <c r="B24" i="23" s="1"/>
  <c r="F4" i="23"/>
  <c r="G4" i="23" s="1"/>
  <c r="F3" i="23"/>
  <c r="G3" i="23" s="1"/>
  <c r="F5" i="23"/>
  <c r="G5" i="23" s="1"/>
  <c r="G10" i="21"/>
  <c r="F10" i="21"/>
  <c r="F10" i="22"/>
  <c r="G10" i="22"/>
  <c r="Q60" i="25" l="1"/>
  <c r="Q63" i="25" s="1"/>
  <c r="L60" i="25"/>
  <c r="M60" i="25"/>
  <c r="M63" i="25" s="1"/>
  <c r="O60" i="25"/>
  <c r="O63" i="25" s="1"/>
  <c r="Q6" i="14"/>
  <c r="F11" i="31"/>
  <c r="F12" i="31"/>
  <c r="F14" i="31"/>
  <c r="B25" i="20"/>
  <c r="F8" i="20" s="1"/>
  <c r="B25" i="21"/>
  <c r="B25" i="23"/>
  <c r="B25" i="22"/>
  <c r="D10" i="14"/>
  <c r="F10" i="14" s="1"/>
  <c r="F40" i="14" s="1"/>
  <c r="R6" i="14" l="1"/>
  <c r="L63" i="25"/>
  <c r="F39" i="14"/>
  <c r="T58" i="25"/>
  <c r="N3" i="22"/>
  <c r="O3" i="22" s="1"/>
  <c r="F12" i="35"/>
  <c r="G12" i="35" s="1"/>
  <c r="F11" i="35"/>
  <c r="G20" i="35"/>
  <c r="G11" i="31"/>
  <c r="G20" i="27"/>
  <c r="G17" i="27"/>
  <c r="G26" i="27"/>
  <c r="G28" i="27"/>
  <c r="F6" i="27"/>
  <c r="F5" i="27"/>
  <c r="G21" i="27"/>
  <c r="G15" i="27"/>
  <c r="F14" i="27"/>
  <c r="G27" i="27"/>
  <c r="F11" i="27"/>
  <c r="G18" i="27"/>
  <c r="F12" i="27"/>
  <c r="G14" i="31"/>
  <c r="G25" i="33"/>
  <c r="G18" i="33"/>
  <c r="G13" i="33"/>
  <c r="F5" i="33"/>
  <c r="M3" i="37" s="1"/>
  <c r="G15" i="33"/>
  <c r="G24" i="33"/>
  <c r="G19" i="33"/>
  <c r="G26" i="33"/>
  <c r="F12" i="33"/>
  <c r="F6" i="33"/>
  <c r="G16" i="33"/>
  <c r="G12" i="31"/>
  <c r="F14" i="18"/>
  <c r="G27" i="35"/>
  <c r="F6" i="35"/>
  <c r="G17" i="35"/>
  <c r="G25" i="35"/>
  <c r="G16" i="35"/>
  <c r="G26" i="35"/>
  <c r="F5" i="35"/>
  <c r="M6" i="37" s="1"/>
  <c r="G14" i="35"/>
  <c r="F13" i="35"/>
  <c r="G19" i="35"/>
  <c r="G10" i="33"/>
  <c r="G27" i="31"/>
  <c r="G20" i="31"/>
  <c r="G28" i="31"/>
  <c r="F5" i="31"/>
  <c r="G18" i="31"/>
  <c r="G26" i="31"/>
  <c r="G15" i="31"/>
  <c r="G21" i="31"/>
  <c r="G17" i="31"/>
  <c r="F6" i="31"/>
  <c r="G8" i="20"/>
  <c r="G8" i="22"/>
  <c r="F8" i="22"/>
  <c r="G8" i="21"/>
  <c r="G17" i="21" s="1"/>
  <c r="F8" i="21"/>
  <c r="F8" i="23"/>
  <c r="G8" i="23"/>
  <c r="G17" i="23" s="1"/>
  <c r="F14" i="33" s="1"/>
  <c r="L17" i="14"/>
  <c r="O15" i="14" s="1"/>
  <c r="I10" i="14"/>
  <c r="T60" i="25" l="1"/>
  <c r="P40" i="14"/>
  <c r="D5" i="37"/>
  <c r="D3" i="37"/>
  <c r="F27" i="33"/>
  <c r="F29" i="25"/>
  <c r="F29" i="18"/>
  <c r="Q10" i="14"/>
  <c r="R10" i="14" s="1"/>
  <c r="D62" i="25" s="1"/>
  <c r="I39" i="14"/>
  <c r="F30" i="25" s="1"/>
  <c r="I40" i="14"/>
  <c r="D4" i="37"/>
  <c r="D8" i="37"/>
  <c r="D7" i="37"/>
  <c r="D6" i="37"/>
  <c r="H13" i="31"/>
  <c r="M7" i="37"/>
  <c r="H13" i="27"/>
  <c r="M8" i="37"/>
  <c r="H11" i="33"/>
  <c r="H10" i="33"/>
  <c r="C51" i="25"/>
  <c r="F28" i="35"/>
  <c r="F29" i="31"/>
  <c r="F29" i="27"/>
  <c r="H12" i="35"/>
  <c r="I37" i="31"/>
  <c r="H14" i="31"/>
  <c r="H12" i="31"/>
  <c r="H28" i="27"/>
  <c r="I35" i="27"/>
  <c r="H15" i="27"/>
  <c r="G41" i="27"/>
  <c r="F7" i="27"/>
  <c r="P8" i="37" s="1"/>
  <c r="H27" i="27"/>
  <c r="H26" i="27"/>
  <c r="H21" i="27"/>
  <c r="F19" i="27"/>
  <c r="H5" i="27"/>
  <c r="H20" i="27"/>
  <c r="H17" i="27"/>
  <c r="H18" i="27"/>
  <c r="F7" i="33"/>
  <c r="P3" i="37" s="1"/>
  <c r="H6" i="33"/>
  <c r="G6" i="33"/>
  <c r="G7" i="33" s="1"/>
  <c r="G6" i="35"/>
  <c r="G7" i="35" s="1"/>
  <c r="H6" i="35"/>
  <c r="G13" i="35"/>
  <c r="H13" i="35"/>
  <c r="G12" i="33"/>
  <c r="H12" i="33"/>
  <c r="H12" i="27"/>
  <c r="G12" i="27"/>
  <c r="H11" i="27"/>
  <c r="G11" i="27"/>
  <c r="H25" i="35"/>
  <c r="H19" i="35"/>
  <c r="H17" i="35"/>
  <c r="G40" i="35"/>
  <c r="F18" i="35"/>
  <c r="H14" i="35"/>
  <c r="H26" i="35"/>
  <c r="H27" i="35"/>
  <c r="H20" i="35"/>
  <c r="F7" i="35"/>
  <c r="P6" i="37" s="1"/>
  <c r="H16" i="35"/>
  <c r="H5" i="35"/>
  <c r="I40" i="35"/>
  <c r="G6" i="27"/>
  <c r="G7" i="27" s="1"/>
  <c r="H6" i="27"/>
  <c r="F19" i="31"/>
  <c r="H15" i="31"/>
  <c r="H21" i="31"/>
  <c r="H28" i="31"/>
  <c r="H26" i="31"/>
  <c r="G41" i="31"/>
  <c r="H20" i="31"/>
  <c r="H18" i="31"/>
  <c r="H17" i="31"/>
  <c r="H27" i="31"/>
  <c r="H5" i="31"/>
  <c r="F7" i="31"/>
  <c r="P7" i="37" s="1"/>
  <c r="G11" i="35"/>
  <c r="H11" i="35"/>
  <c r="H14" i="27"/>
  <c r="G14" i="27"/>
  <c r="G6" i="31"/>
  <c r="G7" i="31" s="1"/>
  <c r="H6" i="31"/>
  <c r="H25" i="33"/>
  <c r="H24" i="33"/>
  <c r="H19" i="33"/>
  <c r="H16" i="33"/>
  <c r="H18" i="33"/>
  <c r="H26" i="33"/>
  <c r="H13" i="33"/>
  <c r="H5" i="33"/>
  <c r="H15" i="33"/>
  <c r="F17" i="33"/>
  <c r="H11" i="31"/>
  <c r="G17" i="20"/>
  <c r="R40" i="14" l="1"/>
  <c r="Q40" i="14"/>
  <c r="T63" i="25"/>
  <c r="C53" i="18" s="1" a="1"/>
  <c r="C53" i="18" s="1"/>
  <c r="C52" i="25" a="1"/>
  <c r="F30" i="31"/>
  <c r="F31" i="31" s="1"/>
  <c r="H43" i="31" s="1"/>
  <c r="F30" i="27"/>
  <c r="G30" i="27" s="1"/>
  <c r="F30" i="18"/>
  <c r="F29" i="35"/>
  <c r="F28" i="33"/>
  <c r="H28" i="33" s="1"/>
  <c r="F31" i="25"/>
  <c r="F30" i="35"/>
  <c r="E51" i="25"/>
  <c r="F51" i="25" s="1"/>
  <c r="C52" i="18"/>
  <c r="G27" i="33"/>
  <c r="H27" i="33"/>
  <c r="H7" i="31"/>
  <c r="H41" i="31"/>
  <c r="H19" i="31"/>
  <c r="G19" i="31"/>
  <c r="G28" i="35"/>
  <c r="H28" i="35"/>
  <c r="G29" i="31"/>
  <c r="H29" i="31"/>
  <c r="H40" i="35"/>
  <c r="H7" i="35"/>
  <c r="H19" i="27"/>
  <c r="G19" i="27"/>
  <c r="H17" i="33"/>
  <c r="G17" i="33"/>
  <c r="H14" i="33"/>
  <c r="G14" i="33"/>
  <c r="F20" i="33"/>
  <c r="H30" i="27"/>
  <c r="H41" i="27"/>
  <c r="H7" i="27"/>
  <c r="H18" i="35"/>
  <c r="G18" i="35"/>
  <c r="I34" i="33"/>
  <c r="H7" i="33"/>
  <c r="H40" i="33"/>
  <c r="G30" i="31"/>
  <c r="H30" i="31"/>
  <c r="G29" i="27"/>
  <c r="H29" i="27"/>
  <c r="F18" i="18"/>
  <c r="F31" i="27" l="1"/>
  <c r="H43" i="27" s="1"/>
  <c r="D66" i="27"/>
  <c r="D60" i="33"/>
  <c r="D61" i="35"/>
  <c r="D64" i="31"/>
  <c r="C54" i="31"/>
  <c r="C56" i="27"/>
  <c r="C51" i="35"/>
  <c r="C50" i="33"/>
  <c r="C57" i="18"/>
  <c r="C60" i="27" s="1"/>
  <c r="C56" i="18"/>
  <c r="C59" i="27" s="1"/>
  <c r="C54" i="18"/>
  <c r="C57" i="27" s="1"/>
  <c r="C59" i="18"/>
  <c r="C62" i="27" s="1"/>
  <c r="C62" i="18"/>
  <c r="C58" i="18"/>
  <c r="C61" i="27" s="1"/>
  <c r="C61" i="18"/>
  <c r="C64" i="27" s="1"/>
  <c r="C55" i="18"/>
  <c r="C58" i="27" s="1"/>
  <c r="C60" i="18"/>
  <c r="C63" i="27" s="1"/>
  <c r="C52" i="25"/>
  <c r="C53" i="25"/>
  <c r="C55" i="25"/>
  <c r="C56" i="25"/>
  <c r="C57" i="25"/>
  <c r="C58" i="25"/>
  <c r="C59" i="25"/>
  <c r="C60" i="25"/>
  <c r="C54" i="25"/>
  <c r="C61" i="25"/>
  <c r="G28" i="33"/>
  <c r="F29" i="33"/>
  <c r="H42" i="33" s="1"/>
  <c r="G29" i="35"/>
  <c r="H29" i="35"/>
  <c r="F31" i="18"/>
  <c r="C55" i="27"/>
  <c r="E52" i="18"/>
  <c r="F52" i="18" s="1"/>
  <c r="F21" i="33"/>
  <c r="H20" i="33"/>
  <c r="G20" i="33"/>
  <c r="G43" i="31"/>
  <c r="I39" i="31"/>
  <c r="G31" i="31"/>
  <c r="H31" i="31"/>
  <c r="G31" i="27"/>
  <c r="G43" i="27"/>
  <c r="I37" i="27"/>
  <c r="H31" i="27"/>
  <c r="I44" i="25"/>
  <c r="G43" i="25"/>
  <c r="H43" i="25"/>
  <c r="H42" i="35"/>
  <c r="G42" i="35"/>
  <c r="G30" i="35"/>
  <c r="I42" i="35"/>
  <c r="H30" i="35"/>
  <c r="C63" i="31" l="1"/>
  <c r="C65" i="27"/>
  <c r="C62" i="31"/>
  <c r="C61" i="31"/>
  <c r="C57" i="35"/>
  <c r="C60" i="31"/>
  <c r="C53" i="35"/>
  <c r="C56" i="31"/>
  <c r="C56" i="35"/>
  <c r="C59" i="31"/>
  <c r="C52" i="35"/>
  <c r="C55" i="31"/>
  <c r="C54" i="35"/>
  <c r="C57" i="31"/>
  <c r="C55" i="35"/>
  <c r="C58" i="31"/>
  <c r="C59" i="35"/>
  <c r="C58" i="35"/>
  <c r="C59" i="33"/>
  <c r="C60" i="35"/>
  <c r="C52" i="33"/>
  <c r="C56" i="33"/>
  <c r="C57" i="33"/>
  <c r="C55" i="33"/>
  <c r="C53" i="33"/>
  <c r="C51" i="33"/>
  <c r="C54" i="33"/>
  <c r="C58" i="33"/>
  <c r="C41" i="33"/>
  <c r="N3" i="37"/>
  <c r="O3" i="37" s="1"/>
  <c r="G29" i="33"/>
  <c r="I36" i="33"/>
  <c r="H29" i="33"/>
  <c r="I42" i="18"/>
  <c r="H43" i="18"/>
  <c r="G43" i="18"/>
  <c r="E55" i="27"/>
  <c r="F55" i="27" s="1"/>
  <c r="C53" i="31"/>
  <c r="F31" i="33"/>
  <c r="E37" i="33" s="1"/>
  <c r="D50" i="33"/>
  <c r="H41" i="33"/>
  <c r="C36" i="33"/>
  <c r="E36" i="33"/>
  <c r="H21" i="33"/>
  <c r="G21" i="33"/>
  <c r="C43" i="33"/>
  <c r="C42" i="33"/>
  <c r="E41" i="33"/>
  <c r="I35" i="33"/>
  <c r="E44" i="33"/>
  <c r="E43" i="33"/>
  <c r="C44" i="33"/>
  <c r="E42" i="33"/>
  <c r="C50" i="35" l="1"/>
  <c r="E53" i="31"/>
  <c r="F53" i="31" s="1"/>
  <c r="G31" i="33"/>
  <c r="C37" i="33"/>
  <c r="H31" i="33"/>
  <c r="F32" i="33"/>
  <c r="D51" i="33"/>
  <c r="E50" i="33"/>
  <c r="D42" i="33"/>
  <c r="D44" i="33"/>
  <c r="D41" i="33"/>
  <c r="D43" i="33"/>
  <c r="I3" i="37" l="1"/>
  <c r="H3" i="37" s="1"/>
  <c r="C49" i="33"/>
  <c r="E50" i="35"/>
  <c r="F50" i="35" s="1"/>
  <c r="G32" i="33"/>
  <c r="O4" i="33" s="1"/>
  <c r="H32" i="33"/>
  <c r="E51" i="33"/>
  <c r="D52" i="33"/>
  <c r="D53" i="33" l="1"/>
  <c r="E52" i="33"/>
  <c r="I24" i="22"/>
  <c r="J24" i="22"/>
  <c r="D54" i="33" l="1"/>
  <c r="E53" i="33"/>
  <c r="F4" i="22"/>
  <c r="G4" i="22" s="1"/>
  <c r="G17" i="22" s="1"/>
  <c r="F15" i="35" s="1"/>
  <c r="B23" i="22"/>
  <c r="B24" i="22" s="1"/>
  <c r="F5" i="22"/>
  <c r="G5" i="22" s="1"/>
  <c r="F3" i="22"/>
  <c r="G3" i="22" s="1"/>
  <c r="H15" i="35" l="1"/>
  <c r="F21" i="35"/>
  <c r="G21" i="35" s="1"/>
  <c r="D55" i="33"/>
  <c r="E54" i="33"/>
  <c r="G15" i="35"/>
  <c r="E55" i="33" l="1"/>
  <c r="D56" i="33"/>
  <c r="H21" i="35"/>
  <c r="F22" i="35"/>
  <c r="N6" i="37" s="1"/>
  <c r="O6" i="37" s="1"/>
  <c r="D57" i="33" l="1"/>
  <c r="E56" i="33"/>
  <c r="H22" i="35"/>
  <c r="D51" i="35"/>
  <c r="H41" i="35"/>
  <c r="D41" i="35" s="1"/>
  <c r="G22" i="35"/>
  <c r="F32" i="35"/>
  <c r="H32" i="35" s="1"/>
  <c r="E36" i="35"/>
  <c r="G41" i="35"/>
  <c r="C44" i="35" s="1"/>
  <c r="I41" i="35"/>
  <c r="E41" i="35" s="1"/>
  <c r="C36" i="35"/>
  <c r="D58" i="33" l="1"/>
  <c r="E57" i="33"/>
  <c r="D52" i="35"/>
  <c r="E51" i="35"/>
  <c r="D42" i="35"/>
  <c r="D43" i="35"/>
  <c r="G32" i="35"/>
  <c r="D44" i="35"/>
  <c r="F33" i="35"/>
  <c r="H33" i="35" s="1"/>
  <c r="E37" i="35"/>
  <c r="E43" i="35"/>
  <c r="C37" i="35"/>
  <c r="E44" i="35"/>
  <c r="E42" i="35"/>
  <c r="C42" i="35"/>
  <c r="C43" i="35"/>
  <c r="C41" i="35"/>
  <c r="H6" i="37" l="1"/>
  <c r="I6" i="37" s="1"/>
  <c r="D59" i="33"/>
  <c r="E59" i="33" s="1"/>
  <c r="E58" i="33"/>
  <c r="F51" i="35"/>
  <c r="E52" i="35"/>
  <c r="D53" i="35"/>
  <c r="G33" i="35"/>
  <c r="O4" i="35" s="1"/>
  <c r="F52" i="35" l="1"/>
  <c r="E53" i="35"/>
  <c r="D54" i="35"/>
  <c r="F53" i="35" l="1"/>
  <c r="D55" i="35"/>
  <c r="E54" i="35"/>
  <c r="F54" i="35" l="1"/>
  <c r="D56" i="35"/>
  <c r="E55" i="35"/>
  <c r="F55" i="35" l="1"/>
  <c r="E56" i="35"/>
  <c r="D57" i="35"/>
  <c r="F56" i="35" l="1"/>
  <c r="E57" i="35"/>
  <c r="D58" i="35"/>
  <c r="F57" i="35" l="1"/>
  <c r="D59" i="35"/>
  <c r="E58" i="35"/>
  <c r="F58" i="35" l="1"/>
  <c r="D60" i="35"/>
  <c r="E60" i="35" s="1"/>
  <c r="E59" i="35"/>
  <c r="H36" i="35" l="1"/>
  <c r="K6" i="37" s="1"/>
  <c r="H37" i="35"/>
  <c r="F59" i="35"/>
  <c r="F60" i="35" s="1"/>
  <c r="H35" i="35" s="1" a="1"/>
  <c r="H35" i="35" s="1"/>
  <c r="J6" i="37" s="1"/>
  <c r="F14" i="25" l="1"/>
  <c r="D12" i="18" l="1"/>
  <c r="F12" i="18" s="1"/>
  <c r="L16" i="18"/>
  <c r="D5" i="18"/>
  <c r="D6" i="18" s="1"/>
  <c r="G27" i="18" l="1"/>
  <c r="G30" i="18"/>
  <c r="G15" i="18"/>
  <c r="G29" i="18"/>
  <c r="F6" i="18"/>
  <c r="G14" i="18"/>
  <c r="D11" i="18"/>
  <c r="G18" i="18"/>
  <c r="G26" i="18"/>
  <c r="G31" i="18"/>
  <c r="F5" i="18"/>
  <c r="M4" i="37" s="1"/>
  <c r="G21" i="18"/>
  <c r="N3" i="21"/>
  <c r="O3" i="21" s="1"/>
  <c r="G28" i="18"/>
  <c r="G17" i="18"/>
  <c r="N3" i="20"/>
  <c r="O3" i="20" s="1"/>
  <c r="G20" i="18"/>
  <c r="F4" i="37"/>
  <c r="Q4" i="37" s="1"/>
  <c r="G12" i="18"/>
  <c r="R4" i="37" l="1"/>
  <c r="L4" i="37"/>
  <c r="H26" i="18"/>
  <c r="F19" i="18"/>
  <c r="H30" i="18"/>
  <c r="G41" i="18"/>
  <c r="H21" i="18"/>
  <c r="H15" i="18"/>
  <c r="H14" i="18"/>
  <c r="H31" i="18"/>
  <c r="H18" i="18"/>
  <c r="H29" i="18"/>
  <c r="H27" i="18"/>
  <c r="H5" i="18"/>
  <c r="H20" i="18"/>
  <c r="H17" i="18"/>
  <c r="I40" i="18"/>
  <c r="F7" i="18"/>
  <c r="P4" i="37" s="1"/>
  <c r="H28" i="18"/>
  <c r="H12" i="18"/>
  <c r="F16" i="25"/>
  <c r="F16" i="18"/>
  <c r="D13" i="18"/>
  <c r="F13" i="18" s="1"/>
  <c r="F11" i="18"/>
  <c r="H6" i="18"/>
  <c r="G6" i="18"/>
  <c r="G7" i="18" s="1"/>
  <c r="F16" i="27"/>
  <c r="F22" i="27" s="1"/>
  <c r="F16" i="31"/>
  <c r="F22" i="31" s="1"/>
  <c r="H13" i="18" l="1"/>
  <c r="G13" i="18"/>
  <c r="G11" i="18"/>
  <c r="H11" i="18"/>
  <c r="F22" i="18"/>
  <c r="F23" i="18" s="1"/>
  <c r="H41" i="18"/>
  <c r="H7" i="18"/>
  <c r="F23" i="31"/>
  <c r="N7" i="37" s="1"/>
  <c r="O7" i="37" s="1"/>
  <c r="H16" i="31"/>
  <c r="G16" i="31"/>
  <c r="G19" i="18"/>
  <c r="H19" i="18"/>
  <c r="G16" i="18"/>
  <c r="H16" i="18"/>
  <c r="H16" i="27"/>
  <c r="F23" i="27"/>
  <c r="N8" i="37" s="1"/>
  <c r="O8" i="37" s="1"/>
  <c r="G16" i="27"/>
  <c r="G42" i="18" l="1"/>
  <c r="C45" i="18" s="1"/>
  <c r="N4" i="37"/>
  <c r="O4" i="37" s="1"/>
  <c r="G22" i="31"/>
  <c r="H22" i="31"/>
  <c r="D54" i="31"/>
  <c r="G42" i="31"/>
  <c r="I38" i="31"/>
  <c r="H42" i="31"/>
  <c r="D43" i="31" s="1"/>
  <c r="E37" i="31"/>
  <c r="F33" i="31"/>
  <c r="H23" i="31"/>
  <c r="G23" i="31"/>
  <c r="C37" i="31"/>
  <c r="G42" i="27"/>
  <c r="G23" i="27"/>
  <c r="H42" i="27"/>
  <c r="H23" i="27"/>
  <c r="E37" i="27"/>
  <c r="D56" i="27"/>
  <c r="C37" i="27"/>
  <c r="I36" i="27"/>
  <c r="F33" i="27"/>
  <c r="H22" i="27"/>
  <c r="G22" i="27"/>
  <c r="H23" i="18"/>
  <c r="E37" i="18"/>
  <c r="C37" i="18"/>
  <c r="F33" i="18"/>
  <c r="G23" i="18"/>
  <c r="H42" i="18"/>
  <c r="D45" i="18" s="1"/>
  <c r="G22" i="18"/>
  <c r="H22" i="18"/>
  <c r="D53" i="18"/>
  <c r="I41" i="18"/>
  <c r="C42" i="18" l="1"/>
  <c r="C44" i="18"/>
  <c r="C43" i="18"/>
  <c r="G33" i="31"/>
  <c r="F34" i="31"/>
  <c r="C38" i="31"/>
  <c r="H7" i="37" s="1"/>
  <c r="I7" i="37" s="1"/>
  <c r="E38" i="31"/>
  <c r="H33" i="31"/>
  <c r="D42" i="18"/>
  <c r="E56" i="27"/>
  <c r="D57" i="27"/>
  <c r="C45" i="27"/>
  <c r="C44" i="27"/>
  <c r="C43" i="27"/>
  <c r="C42" i="27"/>
  <c r="E45" i="27"/>
  <c r="E44" i="27"/>
  <c r="E43" i="27"/>
  <c r="E42" i="27"/>
  <c r="D44" i="31"/>
  <c r="D42" i="31"/>
  <c r="D45" i="31"/>
  <c r="C43" i="31"/>
  <c r="C42" i="31"/>
  <c r="C44" i="31"/>
  <c r="C45" i="31"/>
  <c r="D43" i="18"/>
  <c r="H33" i="18"/>
  <c r="C38" i="18"/>
  <c r="E38" i="18"/>
  <c r="G33" i="18"/>
  <c r="F34" i="18"/>
  <c r="E54" i="31"/>
  <c r="D55" i="31"/>
  <c r="D44" i="18"/>
  <c r="H33" i="27"/>
  <c r="C38" i="27"/>
  <c r="H8" i="37" s="1"/>
  <c r="I8" i="37" s="1"/>
  <c r="F34" i="27"/>
  <c r="E38" i="27"/>
  <c r="G33" i="27"/>
  <c r="E45" i="31"/>
  <c r="E44" i="31"/>
  <c r="E43" i="31"/>
  <c r="E42" i="31"/>
  <c r="D43" i="27"/>
  <c r="D45" i="27"/>
  <c r="D42" i="27"/>
  <c r="D44" i="27"/>
  <c r="E45" i="18"/>
  <c r="E43" i="18"/>
  <c r="E42" i="18"/>
  <c r="E44" i="18"/>
  <c r="D54" i="18"/>
  <c r="E53" i="18"/>
  <c r="I4" i="37" l="1"/>
  <c r="H4" i="37" s="1"/>
  <c r="E55" i="31"/>
  <c r="D56" i="31"/>
  <c r="F56" i="27"/>
  <c r="G34" i="27"/>
  <c r="O4" i="27" s="1"/>
  <c r="H34" i="27"/>
  <c r="D58" i="27"/>
  <c r="E57" i="27"/>
  <c r="F54" i="31"/>
  <c r="H34" i="18"/>
  <c r="G34" i="18"/>
  <c r="O4" i="18" s="1"/>
  <c r="D55" i="18"/>
  <c r="E54" i="18"/>
  <c r="G34" i="31"/>
  <c r="O4" i="31" s="1"/>
  <c r="H34" i="31"/>
  <c r="F53" i="18"/>
  <c r="F57" i="27" l="1"/>
  <c r="D56" i="18"/>
  <c r="E55" i="18"/>
  <c r="D57" i="31"/>
  <c r="E56" i="31"/>
  <c r="D59" i="27"/>
  <c r="E58" i="27"/>
  <c r="F54" i="18"/>
  <c r="F55" i="31"/>
  <c r="F58" i="27" l="1"/>
  <c r="F55" i="18"/>
  <c r="E57" i="31"/>
  <c r="D58" i="31"/>
  <c r="D60" i="27"/>
  <c r="E59" i="27"/>
  <c r="F56" i="31"/>
  <c r="D57" i="18"/>
  <c r="E56" i="18"/>
  <c r="F56" i="18" l="1"/>
  <c r="F57" i="31"/>
  <c r="D58" i="18"/>
  <c r="E57" i="18"/>
  <c r="E58" i="31"/>
  <c r="D59" i="31"/>
  <c r="D61" i="27"/>
  <c r="E60" i="27"/>
  <c r="F59" i="27"/>
  <c r="F57" i="18" l="1"/>
  <c r="D60" i="31"/>
  <c r="E59" i="31"/>
  <c r="E58" i="18"/>
  <c r="D59" i="18"/>
  <c r="F60" i="27"/>
  <c r="F58" i="31"/>
  <c r="D62" i="27"/>
  <c r="E61" i="27"/>
  <c r="D61" i="31" l="1"/>
  <c r="E60" i="31"/>
  <c r="F59" i="31"/>
  <c r="D63" i="27"/>
  <c r="E62" i="27"/>
  <c r="F61" i="27"/>
  <c r="F58" i="18"/>
  <c r="E59" i="18"/>
  <c r="D60" i="18"/>
  <c r="F60" i="31" l="1"/>
  <c r="F62" i="27"/>
  <c r="E63" i="27"/>
  <c r="D64" i="27"/>
  <c r="E61" i="31"/>
  <c r="D62" i="31"/>
  <c r="F59" i="18"/>
  <c r="E60" i="18"/>
  <c r="D61" i="18"/>
  <c r="F63" i="27" l="1"/>
  <c r="F61" i="31"/>
  <c r="F60" i="18"/>
  <c r="D63" i="31"/>
  <c r="E63" i="31" s="1"/>
  <c r="E62" i="31"/>
  <c r="D62" i="18"/>
  <c r="E62" i="18" s="1"/>
  <c r="E61" i="18"/>
  <c r="E64" i="27"/>
  <c r="D65" i="27"/>
  <c r="E65" i="27" s="1"/>
  <c r="F64" i="27" l="1"/>
  <c r="F65" i="27" s="1"/>
  <c r="H36" i="27" s="1" a="1"/>
  <c r="H36" i="27" s="1"/>
  <c r="J8" i="37" s="1"/>
  <c r="F62" i="31"/>
  <c r="F63" i="31" s="1"/>
  <c r="H36" i="31" s="1" a="1"/>
  <c r="H36" i="31" s="1"/>
  <c r="J7" i="37" s="1"/>
  <c r="F61" i="18"/>
  <c r="F62" i="18" s="1"/>
  <c r="H36" i="18" s="1" a="1"/>
  <c r="H36" i="18" s="1"/>
  <c r="J4" i="37" s="1"/>
  <c r="H37" i="18"/>
  <c r="K4" i="37" s="1"/>
  <c r="H38" i="18"/>
  <c r="H38" i="27"/>
  <c r="H37" i="27"/>
  <c r="K8" i="37" s="1"/>
  <c r="H38" i="31"/>
  <c r="H37" i="31"/>
  <c r="K7" i="37" s="1"/>
  <c r="L19" i="25" l="1"/>
  <c r="D12" i="25" l="1"/>
  <c r="F12" i="25" s="1"/>
  <c r="F5" i="37"/>
  <c r="Q5" i="37" s="1"/>
  <c r="D5" i="25"/>
  <c r="D11" i="25"/>
  <c r="F11" i="25" l="1"/>
  <c r="D13" i="25"/>
  <c r="F13" i="25" s="1"/>
  <c r="G14" i="25"/>
  <c r="F5" i="25"/>
  <c r="G18" i="25"/>
  <c r="G26" i="25"/>
  <c r="G15" i="25"/>
  <c r="G16" i="25"/>
  <c r="G30" i="25"/>
  <c r="G27" i="25"/>
  <c r="G21" i="25"/>
  <c r="G28" i="25"/>
  <c r="D6" i="25"/>
  <c r="F6" i="25" s="1"/>
  <c r="G17" i="25"/>
  <c r="G20" i="25"/>
  <c r="G31" i="25"/>
  <c r="G29" i="25"/>
  <c r="L5" i="37"/>
  <c r="R5" i="37"/>
  <c r="G12" i="25"/>
  <c r="H16" i="25" l="1"/>
  <c r="M5" i="37"/>
  <c r="H5" i="25"/>
  <c r="F7" i="25"/>
  <c r="H28" i="25"/>
  <c r="H26" i="25"/>
  <c r="H31" i="25"/>
  <c r="H27" i="25"/>
  <c r="H21" i="25"/>
  <c r="H18" i="25"/>
  <c r="F19" i="25"/>
  <c r="H17" i="25"/>
  <c r="H29" i="25"/>
  <c r="H15" i="25"/>
  <c r="H14" i="25"/>
  <c r="I42" i="25"/>
  <c r="H30" i="25"/>
  <c r="H20" i="25"/>
  <c r="G41" i="25"/>
  <c r="H12" i="25"/>
  <c r="H13" i="25"/>
  <c r="G13" i="25"/>
  <c r="H6" i="25"/>
  <c r="G6" i="25"/>
  <c r="G7" i="25" s="1"/>
  <c r="H11" i="25"/>
  <c r="G11" i="25"/>
  <c r="G19" i="25" l="1"/>
  <c r="H19" i="25"/>
  <c r="H7" i="25"/>
  <c r="H41" i="25"/>
  <c r="P5" i="37"/>
  <c r="F22" i="25"/>
  <c r="G22" i="25" l="1"/>
  <c r="H22" i="25"/>
  <c r="F23" i="25"/>
  <c r="G23" i="25" l="1"/>
  <c r="H23" i="25"/>
  <c r="F33" i="25"/>
  <c r="H42" i="25"/>
  <c r="E37" i="25"/>
  <c r="N5" i="37"/>
  <c r="O5" i="37" s="1"/>
  <c r="C37" i="25"/>
  <c r="D52" i="25"/>
  <c r="I43" i="25"/>
  <c r="G42" i="25"/>
  <c r="C45" i="25" l="1"/>
  <c r="C43" i="25"/>
  <c r="C44" i="25"/>
  <c r="C42" i="25"/>
  <c r="D53" i="25"/>
  <c r="E52" i="25"/>
  <c r="E45" i="25"/>
  <c r="E43" i="25"/>
  <c r="E44" i="25"/>
  <c r="E42" i="25"/>
  <c r="D45" i="25"/>
  <c r="E49" i="33" s="1"/>
  <c r="D42" i="25"/>
  <c r="D43" i="25"/>
  <c r="D44" i="25"/>
  <c r="E38" i="25"/>
  <c r="H33" i="25"/>
  <c r="C38" i="25"/>
  <c r="H5" i="37" s="1"/>
  <c r="I5" i="37" s="1"/>
  <c r="G33" i="25"/>
  <c r="F34" i="25"/>
  <c r="D54" i="25" l="1"/>
  <c r="E53" i="25"/>
  <c r="H36" i="33"/>
  <c r="K3" i="37" s="1"/>
  <c r="F49" i="33"/>
  <c r="F50" i="33" s="1"/>
  <c r="H37" i="33"/>
  <c r="G34" i="25"/>
  <c r="O4" i="25" s="1"/>
  <c r="H34" i="25"/>
  <c r="F52" i="25"/>
  <c r="F51" i="33" l="1"/>
  <c r="F52" i="33" s="1"/>
  <c r="F53" i="33" s="1"/>
  <c r="F54" i="33" s="1"/>
  <c r="F55" i="33" s="1"/>
  <c r="F56" i="33" s="1"/>
  <c r="F57" i="33" s="1"/>
  <c r="F58" i="33" s="1"/>
  <c r="F59" i="33" s="1"/>
  <c r="F53" i="25"/>
  <c r="E54" i="25"/>
  <c r="D55" i="25"/>
  <c r="H35" i="33" l="1" a="1"/>
  <c r="H35" i="33" s="1"/>
  <c r="J3" i="37" s="1"/>
  <c r="D56" i="25"/>
  <c r="E55" i="25"/>
  <c r="F54" i="25"/>
  <c r="F55" i="25" l="1"/>
  <c r="D57" i="25"/>
  <c r="E56" i="25"/>
  <c r="E57" i="25" l="1"/>
  <c r="D58" i="25"/>
  <c r="F56" i="25"/>
  <c r="F57" i="25" l="1"/>
  <c r="E58" i="25"/>
  <c r="D59" i="25"/>
  <c r="D60" i="25" l="1"/>
  <c r="E59" i="25"/>
  <c r="F58" i="25"/>
  <c r="F59" i="25" l="1"/>
  <c r="E60" i="25"/>
  <c r="D61" i="25"/>
  <c r="E61" i="25" s="1"/>
  <c r="H37" i="25" l="1"/>
  <c r="K5" i="37" s="1"/>
  <c r="H38" i="25"/>
  <c r="F60" i="25"/>
  <c r="F61" i="25" l="1"/>
  <c r="H36" i="25" s="1" a="1"/>
  <c r="H36" i="25" s="1"/>
  <c r="J5" i="3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<sst xmlns="http://schemas.openxmlformats.org/spreadsheetml/2006/main" count="1478" uniqueCount="450">
  <si>
    <t>Total</t>
  </si>
  <si>
    <t>Labor</t>
  </si>
  <si>
    <t>Developed by:</t>
  </si>
  <si>
    <t>Total cost</t>
  </si>
  <si>
    <t>Total fixed costs</t>
  </si>
  <si>
    <t>Legal/accounting</t>
  </si>
  <si>
    <t>Farm insurance</t>
  </si>
  <si>
    <t>miles</t>
  </si>
  <si>
    <t>Repairs and maintenance</t>
  </si>
  <si>
    <t>Fingerlings</t>
  </si>
  <si>
    <t>Variable costs</t>
  </si>
  <si>
    <t>Unit</t>
  </si>
  <si>
    <t>Item</t>
  </si>
  <si>
    <t>Quantity</t>
  </si>
  <si>
    <t>Feed</t>
  </si>
  <si>
    <t>Electricity</t>
  </si>
  <si>
    <t>Total variable costs</t>
  </si>
  <si>
    <t>Interest on operating capital</t>
  </si>
  <si>
    <t>Fixed costs</t>
  </si>
  <si>
    <t>Interest on real estate and equipment</t>
  </si>
  <si>
    <t>Depreciation on real estate and equipment</t>
  </si>
  <si>
    <t>Net return to operation</t>
  </si>
  <si>
    <t>Other operating expenses</t>
  </si>
  <si>
    <t>Shop tools</t>
  </si>
  <si>
    <t>DO meter</t>
  </si>
  <si>
    <t>Computer</t>
  </si>
  <si>
    <t>Digital scales</t>
  </si>
  <si>
    <t>Forklift</t>
  </si>
  <si>
    <t>Waders</t>
  </si>
  <si>
    <t>Pressure washer</t>
  </si>
  <si>
    <t>Dipnets</t>
  </si>
  <si>
    <t>To cover variable costs</t>
  </si>
  <si>
    <t>To cover total costs</t>
  </si>
  <si>
    <t>Land</t>
  </si>
  <si>
    <t>Regulator, flow meters, diffusers</t>
  </si>
  <si>
    <t>Feed system/bins</t>
  </si>
  <si>
    <t>Water test kit</t>
  </si>
  <si>
    <t>Office furnishings</t>
  </si>
  <si>
    <t>Electric panel</t>
  </si>
  <si>
    <t>Shipping/storage container</t>
  </si>
  <si>
    <t>Hanging scale</t>
  </si>
  <si>
    <t>Break-even price</t>
  </si>
  <si>
    <t>Break-even yield (qty.)</t>
  </si>
  <si>
    <t>$/month</t>
  </si>
  <si>
    <t>Operating Inputs</t>
  </si>
  <si>
    <t>Value</t>
  </si>
  <si>
    <t>Building size</t>
  </si>
  <si>
    <t>Steel frame building materials</t>
  </si>
  <si>
    <t>Well installation</t>
  </si>
  <si>
    <t>Tank materials</t>
  </si>
  <si>
    <t>Septic/wastewater system</t>
  </si>
  <si>
    <t>Water treatments</t>
  </si>
  <si>
    <t>Natural gas</t>
  </si>
  <si>
    <t>Repair and maintenance</t>
  </si>
  <si>
    <t>Veterinary and medicine</t>
  </si>
  <si>
    <t>Net Sales</t>
  </si>
  <si>
    <t>BTU</t>
  </si>
  <si>
    <t>Turns per year</t>
  </si>
  <si>
    <t>turns</t>
  </si>
  <si>
    <t>Operating costs</t>
  </si>
  <si>
    <t>Ownership Costs</t>
  </si>
  <si>
    <t>Desired temperature</t>
  </si>
  <si>
    <t>Fuel source</t>
  </si>
  <si>
    <t>Ventilation</t>
  </si>
  <si>
    <t>Ventilation rate</t>
  </si>
  <si>
    <t>  ⁰F</t>
  </si>
  <si>
    <t>January</t>
  </si>
  <si>
    <t>February</t>
  </si>
  <si>
    <t>March</t>
  </si>
  <si>
    <t>April</t>
  </si>
  <si>
    <t>May</t>
  </si>
  <si>
    <t>June</t>
  </si>
  <si>
    <t>July</t>
  </si>
  <si>
    <t>August</t>
  </si>
  <si>
    <t>September</t>
  </si>
  <si>
    <t>October</t>
  </si>
  <si>
    <t>November</t>
  </si>
  <si>
    <t>December</t>
  </si>
  <si>
    <t>Average monthly temperature</t>
  </si>
  <si>
    <t>CF in building</t>
  </si>
  <si>
    <t>CF heated daily</t>
  </si>
  <si>
    <t>Average temp</t>
  </si>
  <si>
    <t>Air density</t>
  </si>
  <si>
    <t>BTU/lb of air/⁰</t>
  </si>
  <si>
    <t>Monthly BTU required</t>
  </si>
  <si>
    <t>Days in month</t>
  </si>
  <si>
    <t>kWh</t>
  </si>
  <si>
    <t>gal.</t>
  </si>
  <si>
    <t>Service fee</t>
  </si>
  <si>
    <t>Monthly</t>
  </si>
  <si>
    <t>Ccf</t>
  </si>
  <si>
    <t>BTU/hr average</t>
  </si>
  <si>
    <t>Building height</t>
  </si>
  <si>
    <t>CFM exchange</t>
  </si>
  <si>
    <t>Emergency heat surplus</t>
  </si>
  <si>
    <t>BTU/hr, winter peak</t>
  </si>
  <si>
    <t>Fuel</t>
  </si>
  <si>
    <t>Propane</t>
  </si>
  <si>
    <t>Electric</t>
  </si>
  <si>
    <t>Liquid propane</t>
  </si>
  <si>
    <t>Costs of gas</t>
  </si>
  <si>
    <t>Water management</t>
  </si>
  <si>
    <t>Lighting</t>
  </si>
  <si>
    <t>Miscellaneous</t>
  </si>
  <si>
    <t>Variable factor</t>
  </si>
  <si>
    <t>hours/day</t>
  </si>
  <si>
    <t>Energy density</t>
  </si>
  <si>
    <t>Costs of power</t>
  </si>
  <si>
    <t>Light power</t>
  </si>
  <si>
    <t>Miscellaneous electricity</t>
  </si>
  <si>
    <t>kWh/year</t>
  </si>
  <si>
    <t>Ventilation efficiency</t>
  </si>
  <si>
    <t>CFM/kWh</t>
  </si>
  <si>
    <t>Total energy costs</t>
  </si>
  <si>
    <t>Heat fuel source</t>
  </si>
  <si>
    <t>Utilities</t>
  </si>
  <si>
    <t>Heat waste</t>
  </si>
  <si>
    <t>% lost via building</t>
  </si>
  <si>
    <t>Electricity price</t>
  </si>
  <si>
    <t>Electric service fee</t>
  </si>
  <si>
    <t>Natural gas price</t>
  </si>
  <si>
    <t>Natural gas service fee</t>
  </si>
  <si>
    <t>Propane price</t>
  </si>
  <si>
    <t>Heating source</t>
  </si>
  <si>
    <t>$/kWh</t>
  </si>
  <si>
    <t>$/kcf</t>
  </si>
  <si>
    <t>$/gallon</t>
  </si>
  <si>
    <t>Sidewall height</t>
  </si>
  <si>
    <t>ft.</t>
  </si>
  <si>
    <t xml:space="preserve">ft. </t>
  </si>
  <si>
    <t>Water filtration rate</t>
  </si>
  <si>
    <t>turns/hour</t>
  </si>
  <si>
    <t>Floor utilization</t>
  </si>
  <si>
    <t>Month</t>
  </si>
  <si>
    <t>Typical</t>
  </si>
  <si>
    <t>Inputs</t>
  </si>
  <si>
    <t>Veterinary health</t>
  </si>
  <si>
    <t>% of sales</t>
  </si>
  <si>
    <t>% APR</t>
  </si>
  <si>
    <t>$/mile</t>
  </si>
  <si>
    <t>Interior space</t>
  </si>
  <si>
    <t>Supplies</t>
  </si>
  <si>
    <t>Owner labor and management</t>
  </si>
  <si>
    <t>Professional fees</t>
  </si>
  <si>
    <t>Annual cost</t>
  </si>
  <si>
    <t>Average operating debt outstanding</t>
  </si>
  <si>
    <t>Supplemental heat required?</t>
  </si>
  <si>
    <t>Yes</t>
  </si>
  <si>
    <t>No</t>
  </si>
  <si>
    <t>% of operating debt</t>
  </si>
  <si>
    <t>$/hour</t>
  </si>
  <si>
    <t>Lighting usage</t>
  </si>
  <si>
    <t>square feet</t>
  </si>
  <si>
    <t>cubic feet</t>
  </si>
  <si>
    <t>gallons</t>
  </si>
  <si>
    <t>gallons/tank</t>
  </si>
  <si>
    <t>percent</t>
  </si>
  <si>
    <t>Building and Tanks</t>
  </si>
  <si>
    <t>Land and Buildings</t>
  </si>
  <si>
    <t>Concrete pad (installed)</t>
  </si>
  <si>
    <t>Example RAS building layout</t>
  </si>
  <si>
    <t>Insulation, electrical, plumbing</t>
  </si>
  <si>
    <t>each</t>
  </si>
  <si>
    <t>total</t>
  </si>
  <si>
    <t>annual cost</t>
  </si>
  <si>
    <t>Standby generator</t>
  </si>
  <si>
    <t>Aeration compressor</t>
  </si>
  <si>
    <t>sidewall, in feet</t>
  </si>
  <si>
    <t>% over peak avg.</t>
  </si>
  <si>
    <t>Note: Data in the table is based on Columbia, Missouri</t>
  </si>
  <si>
    <t>watts/square foot</t>
  </si>
  <si>
    <t>monthly</t>
  </si>
  <si>
    <t>Cost of Heat</t>
  </si>
  <si>
    <t>Other Electrical Usage</t>
  </si>
  <si>
    <t>Energy Prices</t>
  </si>
  <si>
    <t>Heater Efficiency</t>
  </si>
  <si>
    <t xml:space="preserve">Units used </t>
  </si>
  <si>
    <t xml:space="preserve"> per gallon</t>
  </si>
  <si>
    <t xml:space="preserve"> per kcf</t>
  </si>
  <si>
    <t xml:space="preserve"> per kWh</t>
  </si>
  <si>
    <t xml:space="preserve">Electric </t>
  </si>
  <si>
    <t xml:space="preserve">Natural gas </t>
  </si>
  <si>
    <t>$ per ton</t>
  </si>
  <si>
    <t>$ per fish</t>
  </si>
  <si>
    <t>pounds</t>
  </si>
  <si>
    <t>Feed conversion ratio</t>
  </si>
  <si>
    <t>feed per lb gain</t>
  </si>
  <si>
    <t>miles (round trip)</t>
  </si>
  <si>
    <t>Average delivery distance</t>
  </si>
  <si>
    <t>lbs. per gallon</t>
  </si>
  <si>
    <t>tons</t>
  </si>
  <si>
    <t>fish</t>
  </si>
  <si>
    <t>Return on investment</t>
  </si>
  <si>
    <t>Operating profit margin</t>
  </si>
  <si>
    <t>Cost of production per pound</t>
  </si>
  <si>
    <t>Energy Use Factors</t>
  </si>
  <si>
    <t>BTU/Unit of Source</t>
  </si>
  <si>
    <t>Net revenue</t>
  </si>
  <si>
    <t xml:space="preserve">Owner labor and management </t>
  </si>
  <si>
    <t>Office, shop, storage, and machinery space</t>
  </si>
  <si>
    <t>Average delivery weight</t>
  </si>
  <si>
    <t>Watts per gpm, 4' head</t>
  </si>
  <si>
    <t>System pressure</t>
  </si>
  <si>
    <t>feet of head</t>
  </si>
  <si>
    <t>Pumping rate, gallons per minute</t>
  </si>
  <si>
    <t>Hired labor</t>
  </si>
  <si>
    <t>Aeration blower hp/pound of fish</t>
  </si>
  <si>
    <t>Aeration energy</t>
  </si>
  <si>
    <t>Species</t>
  </si>
  <si>
    <t>Hp/hr</t>
  </si>
  <si>
    <t>Filtration pump</t>
  </si>
  <si>
    <t>Truck</t>
  </si>
  <si>
    <t>Fish hauling tank</t>
  </si>
  <si>
    <t>Weighted average cost of capital</t>
  </si>
  <si>
    <t>select one</t>
  </si>
  <si>
    <t>acre</t>
  </si>
  <si>
    <t>Fish delivery cost</t>
  </si>
  <si>
    <t>Climate control system</t>
  </si>
  <si>
    <t>kg/m3</t>
  </si>
  <si>
    <t>fish per delivery</t>
  </si>
  <si>
    <t>Delivery cost: to buyers/market</t>
  </si>
  <si>
    <t>Cost of production per fish</t>
  </si>
  <si>
    <t>Average delivery quantity</t>
  </si>
  <si>
    <t>Feed conversion ratio, 5-g yellow perch</t>
  </si>
  <si>
    <t>Feed conversion ratio, 51-g yellow perch</t>
  </si>
  <si>
    <t>pg 4</t>
  </si>
  <si>
    <t>Trout</t>
  </si>
  <si>
    <t>Months to complete a cycle</t>
  </si>
  <si>
    <t>Feed (up to 51g)</t>
  </si>
  <si>
    <t>Feed (&gt;51 g)</t>
  </si>
  <si>
    <t>Commercial weight</t>
  </si>
  <si>
    <t>Fingerlings (3") price</t>
  </si>
  <si>
    <t>$ per lb</t>
  </si>
  <si>
    <t>Fish sales price</t>
  </si>
  <si>
    <t>Raibow trout eggs (triploid RBT eggs)</t>
  </si>
  <si>
    <t>$/1,000 eggs</t>
  </si>
  <si>
    <t>Larvae transferred</t>
  </si>
  <si>
    <t>Larvae to fry</t>
  </si>
  <si>
    <t>Fry to grown fish</t>
  </si>
  <si>
    <t>Feed conversion ratio, up to 12"</t>
  </si>
  <si>
    <t>months</t>
  </si>
  <si>
    <t>1,000 eggs</t>
  </si>
  <si>
    <t>Survival rate, 2" to 5"</t>
  </si>
  <si>
    <t xml:space="preserve">Fertilized eggs </t>
  </si>
  <si>
    <t>Eggs in per egg out</t>
  </si>
  <si>
    <t>$/pound sold</t>
  </si>
  <si>
    <t>Salmon fertilized eggs</t>
  </si>
  <si>
    <t>Walleye</t>
  </si>
  <si>
    <t>Salmon</t>
  </si>
  <si>
    <t>Supplemental HVAC required?</t>
  </si>
  <si>
    <t>Yellow perch</t>
  </si>
  <si>
    <t>Range (+/-)</t>
  </si>
  <si>
    <t>TF carrying capacity (at commercial weight)</t>
  </si>
  <si>
    <t>$ per pound</t>
  </si>
  <si>
    <t>Growout tank capacity</t>
  </si>
  <si>
    <t>Growout system capacity</t>
  </si>
  <si>
    <t>Hatchery system capacity</t>
  </si>
  <si>
    <t>Growout tank area</t>
  </si>
  <si>
    <t>Growout water depth</t>
  </si>
  <si>
    <t>Hatchery tank area</t>
  </si>
  <si>
    <t>Hatchery water depth</t>
  </si>
  <si>
    <t>Growout tank size</t>
  </si>
  <si>
    <t>Growout area size</t>
  </si>
  <si>
    <t>Hatchery area size</t>
  </si>
  <si>
    <t>Hatchery tank size</t>
  </si>
  <si>
    <t>Hatchery water volume</t>
  </si>
  <si>
    <t>Total water area</t>
  </si>
  <si>
    <t>Total water volume</t>
  </si>
  <si>
    <t>Weight- grown fish</t>
  </si>
  <si>
    <t>Weight- fingerling</t>
  </si>
  <si>
    <t>Weight: fry (10g)</t>
  </si>
  <si>
    <t>*Proportional shock on revenue and in feed and veterinary</t>
  </si>
  <si>
    <t>Survival rate, fingerlings (9-23 cm)</t>
  </si>
  <si>
    <t>5-10"</t>
  </si>
  <si>
    <t>Larvae to 5"</t>
  </si>
  <si>
    <t>5" to 10"</t>
  </si>
  <si>
    <t>Cost with feed transportation</t>
  </si>
  <si>
    <t>Feed transportation</t>
  </si>
  <si>
    <t>5" to harvest</t>
  </si>
  <si>
    <t>Survival rate (5" to harvest)</t>
  </si>
  <si>
    <t>Survival rate (3" to 5")</t>
  </si>
  <si>
    <t>TS carrying capacity</t>
  </si>
  <si>
    <t>Feed conversion ratio, up to 5"</t>
  </si>
  <si>
    <t>Feed conversion ratio, up to 10"</t>
  </si>
  <si>
    <t>Survival rate</t>
  </si>
  <si>
    <t>Inclubation</t>
  </si>
  <si>
    <t>Feed conversion ratio, 5-51g yellow perch</t>
  </si>
  <si>
    <t xml:space="preserve"> Feed transportation</t>
  </si>
  <si>
    <t>YPS fingerlings (2"/5g)</t>
  </si>
  <si>
    <t>Survival rate, 5" to grow-out</t>
  </si>
  <si>
    <t>Yellow Perch (Stocking) RAS Budget (Annual)</t>
  </si>
  <si>
    <t>Trout (Stocking) RAS Budget (Annual)</t>
  </si>
  <si>
    <t>Weight- finished (6-10")</t>
  </si>
  <si>
    <t>Walleye (Stocking) RAS Budget (Annual)</t>
  </si>
  <si>
    <t>Trout (Food, Whole Fish) RAS Budget (Annual)</t>
  </si>
  <si>
    <t>Yellow Perch (Food, Fillet) RAS Budget (Annual)</t>
  </si>
  <si>
    <t>Payback period (years)</t>
  </si>
  <si>
    <t>IRR (10 years)</t>
  </si>
  <si>
    <t>Investment</t>
  </si>
  <si>
    <t>reinvestment</t>
  </si>
  <si>
    <t>Helper</t>
  </si>
  <si>
    <t>Salvage value</t>
  </si>
  <si>
    <t xml:space="preserve">Every X years: </t>
  </si>
  <si>
    <t>Revenue - Cash Costs</t>
  </si>
  <si>
    <t>Net cash flow</t>
  </si>
  <si>
    <t>Cumulated cash flow</t>
  </si>
  <si>
    <t>Salvage value of assets in use</t>
  </si>
  <si>
    <t>Residual value at year 10</t>
  </si>
  <si>
    <t>Life used ($)</t>
  </si>
  <si>
    <t>Year</t>
  </si>
  <si>
    <t>Fingerling (4"-6")</t>
  </si>
  <si>
    <t>Trout (Stocking)</t>
  </si>
  <si>
    <t>Walleye (Stocking)</t>
  </si>
  <si>
    <t>Survival</t>
  </si>
  <si>
    <t>hatchery L water</t>
  </si>
  <si>
    <t>growout litters</t>
  </si>
  <si>
    <t>Filtration system (grow-out)</t>
  </si>
  <si>
    <t>Filtration system (hatchery)</t>
  </si>
  <si>
    <t>Ultima II 1000 Filter – Aqua Ultraviolet</t>
  </si>
  <si>
    <t>AMT 370A-95 1" x 3/4" Cast Iron Straight Centrifugal Pump, Buna-N Seal, 3/4hp 1 Phase Motor</t>
  </si>
  <si>
    <t>Filtration pump (hatchery)</t>
  </si>
  <si>
    <t>Aeration compressor (hatchery)</t>
  </si>
  <si>
    <t>Sweetwater Rotary Van Compressors, 1/4 to 2 HP | Pentair AES</t>
  </si>
  <si>
    <t>Operation with hatchery</t>
  </si>
  <si>
    <t>Total investment</t>
  </si>
  <si>
    <t>Operation without hatchery</t>
  </si>
  <si>
    <t>Feed (larvae to grown)</t>
  </si>
  <si>
    <t>hours/year</t>
  </si>
  <si>
    <t xml:space="preserve">1 lb = </t>
  </si>
  <si>
    <t>kg</t>
  </si>
  <si>
    <t xml:space="preserve">1 lb / US gallon = </t>
  </si>
  <si>
    <t>*Breakeven price to cover total costs. Does not include delivery cost.</t>
  </si>
  <si>
    <t>Eggs placed</t>
  </si>
  <si>
    <t>eggs/1,000 gallon</t>
  </si>
  <si>
    <t>Salmon (Food, Whole Fish) RAS Budget (Annual)</t>
  </si>
  <si>
    <t>lbs of unprocessed fish</t>
  </si>
  <si>
    <t>Fingerlings placed</t>
  </si>
  <si>
    <t>Feed conversion ratio, &gt;5"</t>
  </si>
  <si>
    <t>Ration: 42-16 slow sinking (6-10" fish)</t>
  </si>
  <si>
    <t>Ration: 42-16 slow sinking</t>
  </si>
  <si>
    <t>Ration: 50-15 slow sinking (1-5" fish)</t>
  </si>
  <si>
    <t>Ration: 42-16 slow sinking (5"-harvest)</t>
  </si>
  <si>
    <t>fish/1,000 gallon</t>
  </si>
  <si>
    <t>Ration: 42-16 slow sinking (&gt;6")</t>
  </si>
  <si>
    <t>Weight at 5"</t>
  </si>
  <si>
    <t>Sale price (whole fish)</t>
  </si>
  <si>
    <t>lbs unprocessed fish</t>
  </si>
  <si>
    <t>YPF carrying capacity</t>
  </si>
  <si>
    <t>Weight at market size</t>
  </si>
  <si>
    <t>YPS carrying capacity</t>
  </si>
  <si>
    <t>Weight at placement (2-3")</t>
  </si>
  <si>
    <t>Finish weight (8"/115g )</t>
  </si>
  <si>
    <t>Survival rate, 2" to market size</t>
  </si>
  <si>
    <t>Survival rate, 5" to 8"</t>
  </si>
  <si>
    <t>8" fish sales price</t>
  </si>
  <si>
    <t>Veterinary expenses</t>
  </si>
  <si>
    <t>Ration: transportation cost</t>
  </si>
  <si>
    <t>Fish sale price (whole fish)</t>
  </si>
  <si>
    <t>Ration: transportation costs</t>
  </si>
  <si>
    <t xml:space="preserve">Sale price: 6-10" fish </t>
  </si>
  <si>
    <t>Break-even price ($/fish)</t>
  </si>
  <si>
    <t>Revenue: Fish sales</t>
  </si>
  <si>
    <t>Revenue: Trout sales</t>
  </si>
  <si>
    <t>Revenue: Salmon sales</t>
  </si>
  <si>
    <t>Food fish (whole)</t>
  </si>
  <si>
    <t>Unit of sale</t>
  </si>
  <si>
    <t>fish (3-5")</t>
  </si>
  <si>
    <t>RAS Model</t>
  </si>
  <si>
    <t>Stock size</t>
  </si>
  <si>
    <t>Fertilized eggs</t>
  </si>
  <si>
    <t>Fingerlings (3")</t>
  </si>
  <si>
    <t>WS carrying capacity</t>
  </si>
  <si>
    <t>Fingerlings (2"/3g)</t>
  </si>
  <si>
    <t>lb (unprocessed fish, 8.8 lb/fish)</t>
  </si>
  <si>
    <t>lb (unprocessed fish, 3.3 lb/fish)</t>
  </si>
  <si>
    <t>lb (unprocessed fish, 0.5 lb/fish)</t>
  </si>
  <si>
    <t>calculated as the salvage if useful life equal to X years</t>
  </si>
  <si>
    <t>salvage value at end of lifespan</t>
  </si>
  <si>
    <t>Depreciated value ($)</t>
  </si>
  <si>
    <t>Net flow of reinvestment (include hachery)</t>
  </si>
  <si>
    <t>Hatchery specific reinvestment</t>
  </si>
  <si>
    <t>Hatchery specific salvage value</t>
  </si>
  <si>
    <t>Net flow of reinvestment (no hachery)</t>
  </si>
  <si>
    <t>1.15/42%</t>
  </si>
  <si>
    <t>1.36/50-42%</t>
  </si>
  <si>
    <t>1.9/50-42%</t>
  </si>
  <si>
    <t>1.30/50-42%</t>
  </si>
  <si>
    <t>1.35/42%</t>
  </si>
  <si>
    <t>Fingerling (4"-6",8.5 g)</t>
  </si>
  <si>
    <t>fish (6-10", 30-135 g)</t>
  </si>
  <si>
    <t>Weight at placement (2"/5g)</t>
  </si>
  <si>
    <t>YPF fingerlings (2"/5g)</t>
  </si>
  <si>
    <t>lbs.</t>
  </si>
  <si>
    <t xml:space="preserve">lbs. </t>
  </si>
  <si>
    <t>Updated: 7/2025</t>
  </si>
  <si>
    <t>This workbook is for educational purposes only and the user assumes all risks associated with its use.</t>
  </si>
  <si>
    <t>Recirculating Aquaculture System (RAS) Budgets</t>
  </si>
  <si>
    <t>Drew Kientzy, Adauto Rocha Jr., Ryan Milhollin, and David Brune</t>
  </si>
  <si>
    <t xml:space="preserve">Farmers can develop custom enterprise budgets for an aquaculture RAS operation by using this workbook. To utilize this tool, insert any costs, prices or values known in the gray filled cells. If you are beginning operations, there are estimates provided for you. These budgets are indicative of an operation that serves as a full-time occupation for the owner, and hired labor does not include 2,000 hours of owner labor. </t>
  </si>
  <si>
    <t>Yellow perch (Stocking)</t>
  </si>
  <si>
    <t>Yellow perch (Food)</t>
  </si>
  <si>
    <t>Salmon (food)</t>
  </si>
  <si>
    <t>Trout (food)</t>
  </si>
  <si>
    <t>The "Operating Inputs" spreadsheet contains values tied to the operating requirements of each budget. The "Capital Inputs" spreadsheet outlines the long-term assets, equipment and tools used in the operation. Only limited customization is allowed on this sheet in order to preserve the functionality of this model. The spreadsheets numbered 1–6 contain outputs for different enterprise models and are named in the format market – species. Select one or more of these spreadsheets based on the species relevant to your operation, customize the species-specific inputs on the right side of the sheet, and view the estimated costs and returns for your modeled operation. The "Summary" tab provides a side-by-side comparison of all operations from worksheets 1–6. The "Utilities" spreadsheets for each species are hidden for the user's convenience, but can be unhidden if a user feels comfortable making in-depth changes (common changes can be made on the Operating Inputs spreadsheet).</t>
  </si>
  <si>
    <t>Primary market</t>
  </si>
  <si>
    <r>
      <t xml:space="preserve">Growth rate
</t>
    </r>
    <r>
      <rPr>
        <sz val="11"/>
        <color theme="1"/>
        <rFont val="Aptos"/>
        <family val="2"/>
        <scheme val="minor"/>
      </rPr>
      <t xml:space="preserve"> (lbs/per month)</t>
    </r>
  </si>
  <si>
    <r>
      <t xml:space="preserve">Yield </t>
    </r>
    <r>
      <rPr>
        <sz val="11"/>
        <color theme="1"/>
        <rFont val="Aptos"/>
        <family val="2"/>
        <scheme val="minor"/>
      </rPr>
      <t>(kg of unprocessed fish/m3/yr)</t>
    </r>
  </si>
  <si>
    <r>
      <t xml:space="preserve">Yield 
</t>
    </r>
    <r>
      <rPr>
        <sz val="11"/>
        <color theme="1"/>
        <rFont val="Aptos"/>
        <family val="2"/>
        <scheme val="minor"/>
      </rPr>
      <t>(lb of unprocessed fish/gallon-yr)</t>
    </r>
  </si>
  <si>
    <t>Recreational stocking</t>
  </si>
  <si>
    <r>
      <t xml:space="preserve">Breakeven price* </t>
    </r>
    <r>
      <rPr>
        <sz val="11"/>
        <color theme="1"/>
        <rFont val="Aptos"/>
        <family val="2"/>
        <scheme val="minor"/>
      </rPr>
      <t>($/fish)</t>
    </r>
  </si>
  <si>
    <r>
      <t xml:space="preserve">Breakeven price* </t>
    </r>
    <r>
      <rPr>
        <sz val="11"/>
        <color theme="1"/>
        <rFont val="Aptos"/>
        <family val="2"/>
        <scheme val="minor"/>
      </rPr>
      <t>($/lb)</t>
    </r>
  </si>
  <si>
    <r>
      <t xml:space="preserve">Payback period </t>
    </r>
    <r>
      <rPr>
        <sz val="11"/>
        <color theme="1"/>
        <rFont val="Aptos"/>
        <family val="2"/>
        <scheme val="minor"/>
      </rPr>
      <t>(years)</t>
    </r>
  </si>
  <si>
    <r>
      <t xml:space="preserve">IRR 
</t>
    </r>
    <r>
      <rPr>
        <sz val="11"/>
        <color theme="1"/>
        <rFont val="Aptos"/>
        <family val="2"/>
        <scheme val="minor"/>
      </rPr>
      <t>(10 years)</t>
    </r>
  </si>
  <si>
    <r>
      <t xml:space="preserve">Carrying capacity </t>
    </r>
    <r>
      <rPr>
        <sz val="11"/>
        <color theme="1"/>
        <rFont val="Aptos"/>
        <family val="2"/>
        <scheme val="minor"/>
      </rPr>
      <t>(lbs/gallon/cycle)</t>
    </r>
  </si>
  <si>
    <r>
      <t xml:space="preserve">Capital Investment </t>
    </r>
    <r>
      <rPr>
        <sz val="11"/>
        <color theme="1"/>
        <rFont val="Aptos"/>
        <family val="2"/>
        <scheme val="minor"/>
      </rPr>
      <t>(dollars)</t>
    </r>
  </si>
  <si>
    <r>
      <t xml:space="preserve">Cycle </t>
    </r>
    <r>
      <rPr>
        <sz val="11"/>
        <color theme="1"/>
        <rFont val="Aptos"/>
        <family val="2"/>
        <scheme val="minor"/>
      </rPr>
      <t>(months)</t>
    </r>
  </si>
  <si>
    <r>
      <rPr>
        <b/>
        <sz val="11"/>
        <rFont val="Aptos"/>
        <family val="2"/>
        <scheme val="minor"/>
      </rPr>
      <t>Feed</t>
    </r>
    <r>
      <rPr>
        <sz val="11"/>
        <rFont val="Aptos"/>
        <family val="2"/>
        <scheme val="minor"/>
      </rPr>
      <t xml:space="preserve"> (FCR/Protein)</t>
    </r>
  </si>
  <si>
    <r>
      <t xml:space="preserve">Annual production </t>
    </r>
    <r>
      <rPr>
        <sz val="11"/>
        <color theme="1"/>
        <rFont val="Aptos"/>
        <family val="2"/>
        <scheme val="minor"/>
      </rPr>
      <t>(tons of unprocessed fish)</t>
    </r>
  </si>
  <si>
    <r>
      <t xml:space="preserve">Annual sales </t>
    </r>
    <r>
      <rPr>
        <sz val="11"/>
        <color theme="1"/>
        <rFont val="Aptos"/>
        <family val="2"/>
        <scheme val="minor"/>
      </rPr>
      <t>(dollars)</t>
    </r>
  </si>
  <si>
    <r>
      <t xml:space="preserve">Annual variable costs </t>
    </r>
    <r>
      <rPr>
        <sz val="11"/>
        <color theme="1"/>
        <rFont val="Aptos"/>
        <family val="2"/>
        <scheme val="minor"/>
      </rPr>
      <t>(dollars)</t>
    </r>
  </si>
  <si>
    <r>
      <t xml:space="preserve">Operating profit margin </t>
    </r>
    <r>
      <rPr>
        <sz val="11"/>
        <color theme="1"/>
        <rFont val="Aptos"/>
        <family val="2"/>
        <scheme val="minor"/>
      </rPr>
      <t>(percent)</t>
    </r>
  </si>
  <si>
    <r>
      <t xml:space="preserve">Annual net sales </t>
    </r>
    <r>
      <rPr>
        <sz val="11"/>
        <color theme="1"/>
        <rFont val="Aptos"/>
        <family val="2"/>
        <scheme val="minor"/>
      </rPr>
      <t>(dollars)</t>
    </r>
  </si>
  <si>
    <r>
      <rPr>
        <sz val="10"/>
        <rFont val="Aptos"/>
        <family val="2"/>
        <scheme val="minor"/>
      </rPr>
      <t>ft.</t>
    </r>
    <r>
      <rPr>
        <vertAlign val="superscript"/>
        <sz val="10"/>
        <rFont val="Aptos"/>
        <family val="2"/>
        <scheme val="minor"/>
      </rPr>
      <t>2</t>
    </r>
  </si>
  <si>
    <t>Ideal temperature</t>
  </si>
  <si>
    <t>Average daily temp</t>
  </si>
  <si>
    <t>Item/description</t>
  </si>
  <si>
    <t>Price/unit</t>
  </si>
  <si>
    <t>Other operating costs</t>
  </si>
  <si>
    <t>Building and utilities</t>
  </si>
  <si>
    <t xml:space="preserve">Depreciation </t>
  </si>
  <si>
    <t>Useful life (yrs.)</t>
  </si>
  <si>
    <t>Salvage value (%)</t>
  </si>
  <si>
    <t xml:space="preserve">Sale price </t>
  </si>
  <si>
    <t xml:space="preserve">Net return per fish sold </t>
  </si>
  <si>
    <t xml:space="preserve"> ($/lb)</t>
  </si>
  <si>
    <t xml:space="preserve"> ($/fish)</t>
  </si>
  <si>
    <t>eggs in/egg out</t>
  </si>
  <si>
    <t>$/fish sold</t>
  </si>
  <si>
    <t>Sensitivity analysis*</t>
  </si>
  <si>
    <t xml:space="preserve">Inputs for salmon RAS budget </t>
  </si>
  <si>
    <t>Inputs to trout RAS budget</t>
  </si>
  <si>
    <t xml:space="preserve"> Inputs to trout RAS budget</t>
  </si>
  <si>
    <t>Weight: grown fish (6-10") (206g)</t>
  </si>
  <si>
    <t>Inputs to walleye RAS budget</t>
  </si>
  <si>
    <t>Inputs to yellow perch RAS budget</t>
  </si>
  <si>
    <t>Sale price</t>
  </si>
  <si>
    <t xml:space="preserve"> Inputs to yellow perch RAS budget</t>
  </si>
  <si>
    <t>($/fish)</t>
  </si>
  <si>
    <t>Read more about the assumptions modeled in this budget in MU Extension publication MX466:</t>
  </si>
  <si>
    <t>North Central Regional Aquaculture Industry: Business Models (extension.missouri.edu/publications/mx466)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</si>
</sst>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_)"/>
    <numFmt numFmtId="165" formatCode="_(* #,##0_);_(* \(#,##0\);_(* &quot;-&quot;??_);_(@_)"/>
    <numFmt numFmtId="166" formatCode="_(* #,##0.0_);_(* \(#,##0.0\);_(* &quot;-&quot;??_);_(@_)"/>
    <numFmt numFmtId="167" formatCode="0.0%"/>
    <numFmt numFmtId="168" formatCode="_(&quot;$&quot;* #,##0_);_(&quot;$&quot;* \(#,##0\);_(&quot;$&quot;* &quot;-&quot;??_);_(@_)"/>
    <numFmt numFmtId="169" formatCode="#,##0.0_);\(#,##0.0\)"/>
    <numFmt numFmtId="170" formatCode="_(* #,##0.000_);_(* \(#,##0.000\);_(* &quot;-&quot;??_);_(@_)"/>
    <numFmt numFmtId="171" formatCode="0.0"/>
    <numFmt numFmtId="172" formatCode="0.000"/>
    <numFmt numFmtId="173" formatCode="#,##0.000_);\(#,##0.000\)"/>
    <numFmt numFmtId="174" formatCode="0.0000%"/>
    <numFmt numFmtId="175" formatCode="&quot;$&quot;#,##0"/>
    <numFmt numFmtId="176" formatCode="&quot;$&quot;#,##0.00"/>
  </numFmts>
  <fonts count="68">
    <font>
      <sz val="12"/>
      <name val="Arial"/>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0"/>
      <name val="Arial MT"/>
    </font>
    <font>
      <b/>
      <sz val="11"/>
      <color rgb="FF3F3F3F"/>
      <name val="Aptos"/>
      <family val="2"/>
      <scheme val="minor"/>
    </font>
    <font>
      <sz val="11"/>
      <color theme="1"/>
      <name val="Segoe UI"/>
      <family val="2"/>
    </font>
    <font>
      <b/>
      <sz val="14"/>
      <color rgb="FFF1B82D"/>
      <name val="Segoe UI"/>
      <family val="2"/>
    </font>
    <font>
      <b/>
      <sz val="11"/>
      <color theme="1"/>
      <name val="Segoe UI"/>
      <family val="2"/>
    </font>
    <font>
      <sz val="12"/>
      <color theme="1"/>
      <name val="Segoe UI"/>
      <family val="2"/>
    </font>
    <font>
      <sz val="12"/>
      <name val="Segoe UI"/>
      <family val="2"/>
    </font>
    <font>
      <b/>
      <sz val="12"/>
      <color rgb="FFF1B82D"/>
      <name val="Segoe UI"/>
      <family val="2"/>
    </font>
    <font>
      <b/>
      <sz val="12"/>
      <name val="Segoe UI"/>
      <family val="2"/>
    </font>
    <font>
      <sz val="10"/>
      <name val="Segoe UI"/>
      <family val="2"/>
    </font>
    <font>
      <sz val="12"/>
      <name val="Arial"/>
      <family val="2"/>
    </font>
    <font>
      <sz val="10"/>
      <color theme="1"/>
      <name val="Segoe UI"/>
      <family val="2"/>
    </font>
    <font>
      <sz val="12"/>
      <color theme="0"/>
      <name val="Segoe UI"/>
      <family val="2"/>
    </font>
    <font>
      <sz val="11"/>
      <color theme="0"/>
      <name val="Segoe UI"/>
      <family val="2"/>
    </font>
    <font>
      <sz val="8"/>
      <name val="Arial"/>
      <family val="2"/>
    </font>
    <font>
      <b/>
      <sz val="12"/>
      <color rgb="FFFFC000"/>
      <name val="Segoe UI"/>
      <family val="2"/>
    </font>
    <font>
      <b/>
      <sz val="11"/>
      <color rgb="FFFFC000"/>
      <name val="Segoe UI"/>
      <family val="2"/>
    </font>
    <font>
      <b/>
      <sz val="12"/>
      <color theme="1"/>
      <name val="Segoe UI"/>
      <family val="2"/>
    </font>
    <font>
      <b/>
      <sz val="13"/>
      <color rgb="FFF1B82D"/>
      <name val="Segoe UI Black"/>
      <family val="2"/>
    </font>
    <font>
      <sz val="9"/>
      <name val="Segoe UI"/>
      <family val="2"/>
    </font>
    <font>
      <i/>
      <sz val="12"/>
      <name val="Segoe UI"/>
      <family val="2"/>
    </font>
    <font>
      <b/>
      <sz val="11"/>
      <name val="Segoe UI"/>
      <family val="2"/>
    </font>
    <font>
      <sz val="11"/>
      <name val="Segoe UI"/>
      <family val="2"/>
    </font>
    <font>
      <u/>
      <sz val="12"/>
      <color theme="10"/>
      <name val="Arial"/>
      <family val="2"/>
    </font>
    <font>
      <sz val="10"/>
      <name val="Arial"/>
      <family val="2"/>
    </font>
    <font>
      <sz val="10"/>
      <color theme="1"/>
      <name val="Arial"/>
      <family val="2"/>
    </font>
    <font>
      <b/>
      <sz val="12"/>
      <color theme="0"/>
      <name val="Segoe UI"/>
      <family val="2"/>
    </font>
    <font>
      <sz val="11"/>
      <color rgb="FFFF0000"/>
      <name val="Segoe UI"/>
      <family val="2"/>
    </font>
    <font>
      <b/>
      <sz val="12"/>
      <color rgb="FF000000"/>
      <name val="Segoe UI"/>
      <family val="2"/>
    </font>
    <font>
      <sz val="12"/>
      <color rgb="FF000000"/>
      <name val="Segoe UI"/>
      <family val="2"/>
    </font>
    <font>
      <sz val="12"/>
      <color theme="0"/>
      <name val="Arial"/>
      <family val="2"/>
    </font>
    <font>
      <b/>
      <sz val="11"/>
      <color theme="0"/>
      <name val="Segoe UI"/>
      <family val="2"/>
    </font>
    <font>
      <sz val="11"/>
      <color rgb="FFFF0000"/>
      <name val="Aptos"/>
      <family val="2"/>
      <scheme val="minor"/>
    </font>
    <font>
      <b/>
      <sz val="11"/>
      <color theme="1"/>
      <name val="Aptos"/>
      <family val="2"/>
      <scheme val="minor"/>
    </font>
    <font>
      <sz val="11"/>
      <color theme="0"/>
      <name val="Aptos"/>
      <family val="2"/>
      <scheme val="minor"/>
    </font>
    <font>
      <b/>
      <sz val="16"/>
      <color rgb="FFF1B82D"/>
      <name val="Aptos Black"/>
      <family val="2"/>
      <scheme val="major"/>
    </font>
    <font>
      <sz val="12"/>
      <color theme="1"/>
      <name val="Aptos"/>
      <family val="2"/>
      <scheme val="minor"/>
    </font>
    <font>
      <b/>
      <sz val="12"/>
      <color theme="1"/>
      <name val="Aptos"/>
      <family val="2"/>
      <scheme val="minor"/>
    </font>
    <font>
      <b/>
      <sz val="12"/>
      <color rgb="FF3F3F3F"/>
      <name val="Aptos"/>
      <family val="2"/>
      <scheme val="minor"/>
    </font>
    <font>
      <b/>
      <sz val="10"/>
      <name val="Aptos"/>
      <family val="2"/>
      <scheme val="minor"/>
    </font>
    <font>
      <sz val="10"/>
      <name val="Aptos"/>
      <family val="2"/>
      <scheme val="minor"/>
    </font>
    <font>
      <b/>
      <sz val="11"/>
      <name val="Aptos"/>
      <family val="2"/>
      <scheme val="minor"/>
    </font>
    <font>
      <sz val="11"/>
      <name val="Aptos"/>
      <family val="2"/>
      <scheme val="minor"/>
    </font>
    <font>
      <sz val="10"/>
      <color theme="1"/>
      <name val="Aptos"/>
      <family val="2"/>
      <scheme val="minor"/>
    </font>
    <font>
      <b/>
      <sz val="14"/>
      <color rgb="FFF1B82D"/>
      <name val="Aptos"/>
      <family val="2"/>
      <scheme val="minor"/>
    </font>
    <font>
      <b/>
      <sz val="12"/>
      <name val="Aptos"/>
      <family val="2"/>
      <scheme val="minor"/>
    </font>
    <font>
      <sz val="12"/>
      <name val="Aptos"/>
      <family val="2"/>
      <scheme val="minor"/>
    </font>
    <font>
      <b/>
      <sz val="10"/>
      <color rgb="FFF1B82D"/>
      <name val="Aptos"/>
      <family val="2"/>
      <scheme val="minor"/>
    </font>
    <font>
      <b/>
      <sz val="12"/>
      <color rgb="FFF1B82D"/>
      <name val="Aptos"/>
      <family val="2"/>
      <scheme val="minor"/>
    </font>
    <font>
      <i/>
      <sz val="12"/>
      <name val="Aptos"/>
      <family val="2"/>
      <scheme val="minor"/>
    </font>
    <font>
      <vertAlign val="superscript"/>
      <sz val="10"/>
      <name val="Aptos"/>
      <family val="2"/>
      <scheme val="minor"/>
    </font>
    <font>
      <u/>
      <sz val="12"/>
      <name val="Aptos"/>
      <family val="2"/>
      <scheme val="minor"/>
    </font>
    <font>
      <sz val="12"/>
      <color theme="0"/>
      <name val="Aptos"/>
      <family val="2"/>
      <scheme val="minor"/>
    </font>
    <font>
      <u/>
      <sz val="12"/>
      <color theme="0"/>
      <name val="Aptos"/>
      <family val="2"/>
      <scheme val="minor"/>
    </font>
    <font>
      <b/>
      <sz val="13"/>
      <color rgb="FFF1B82D"/>
      <name val="Aptos"/>
      <family val="2"/>
      <scheme val="minor"/>
    </font>
    <font>
      <b/>
      <sz val="13"/>
      <name val="Aptos"/>
      <family val="2"/>
      <scheme val="minor"/>
    </font>
    <font>
      <sz val="9"/>
      <color theme="1"/>
      <name val="Aptos"/>
      <family val="2"/>
      <scheme val="minor"/>
    </font>
    <font>
      <sz val="9"/>
      <name val="Aptos"/>
      <family val="2"/>
      <scheme val="minor"/>
    </font>
    <font>
      <u/>
      <sz val="12"/>
      <color theme="10"/>
      <name val="Aptos"/>
      <family val="2"/>
      <scheme val="minor"/>
    </font>
    <font>
      <b/>
      <sz val="12"/>
      <color rgb="FFFFC000"/>
      <name val="Aptos"/>
      <family val="2"/>
      <scheme val="minor"/>
    </font>
    <font>
      <u/>
      <sz val="12"/>
      <color theme="10"/>
      <name val="Aptos  "/>
    </font>
  </fonts>
  <fills count="8">
    <fill>
      <patternFill patternType="none"/>
    </fill>
    <fill>
      <patternFill patternType="gray125"/>
    </fill>
    <fill>
      <patternFill patternType="solid">
        <fgColor rgb="FFF2F2F2"/>
      </patternFill>
    </fill>
    <fill>
      <patternFill patternType="solid">
        <fgColor theme="1"/>
        <bgColor indexed="64"/>
      </patternFill>
    </fill>
    <fill>
      <patternFill patternType="solid">
        <fgColor theme="2"/>
        <bgColor indexed="64"/>
      </patternFill>
    </fill>
    <fill>
      <patternFill patternType="solid">
        <fgColor rgb="FFF1B82D"/>
        <bgColor indexed="64"/>
      </patternFill>
    </fill>
    <fill>
      <patternFill patternType="solid">
        <fgColor rgb="FFFFC000"/>
        <bgColor indexed="64"/>
      </patternFill>
    </fill>
    <fill>
      <patternFill patternType="solid">
        <fgColor theme="0"/>
        <bgColor indexed="64"/>
      </patternFill>
    </fill>
  </fills>
  <borders count="29">
    <border>
      <left/>
      <right/>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s>
  <cellStyleXfs count="12">
    <xf numFmtId="0" fontId="0" fillId="0" borderId="0"/>
    <xf numFmtId="164" fontId="7" fillId="0" borderId="0"/>
    <xf numFmtId="0" fontId="8" fillId="2" borderId="2" applyNumberFormat="0" applyAlignment="0" applyProtection="0"/>
    <xf numFmtId="0" fontId="6" fillId="0" borderId="0"/>
    <xf numFmtId="0" fontId="5" fillId="0" borderId="0"/>
    <xf numFmtId="43" fontId="5" fillId="0" borderId="0" applyFont="0" applyFill="0" applyBorder="0" applyAlignment="0" applyProtection="0"/>
    <xf numFmtId="43" fontId="17" fillId="0" borderId="0" applyFont="0" applyFill="0" applyBorder="0" applyAlignment="0" applyProtection="0"/>
    <xf numFmtId="9" fontId="17" fillId="0" borderId="0" applyFont="0" applyFill="0" applyBorder="0" applyAlignment="0" applyProtection="0"/>
    <xf numFmtId="44" fontId="17" fillId="0" borderId="0" applyFont="0" applyFill="0" applyBorder="0" applyAlignment="0" applyProtection="0"/>
    <xf numFmtId="0" fontId="30" fillId="0" borderId="0" applyNumberFormat="0" applyFill="0" applyBorder="0" applyAlignment="0" applyProtection="0"/>
    <xf numFmtId="0" fontId="4" fillId="0" borderId="0"/>
    <xf numFmtId="0" fontId="3" fillId="0" borderId="0"/>
  </cellStyleXfs>
  <cellXfs count="621">
    <xf numFmtId="0" fontId="0" fillId="0" borderId="0" xfId="0"/>
    <xf numFmtId="165" fontId="13" fillId="0" borderId="0" xfId="5" applyNumberFormat="1" applyFont="1"/>
    <xf numFmtId="0" fontId="9" fillId="0" borderId="0" xfId="4" applyFont="1"/>
    <xf numFmtId="43" fontId="13" fillId="0" borderId="0" xfId="5" applyFont="1"/>
    <xf numFmtId="165" fontId="13" fillId="0" borderId="0" xfId="5" applyNumberFormat="1" applyFont="1" applyFill="1" applyBorder="1"/>
    <xf numFmtId="165" fontId="13" fillId="0" borderId="0" xfId="5" applyNumberFormat="1" applyFont="1" applyFill="1" applyBorder="1" applyAlignment="1">
      <alignment horizontal="center"/>
    </xf>
    <xf numFmtId="165" fontId="13" fillId="0" borderId="0" xfId="5" applyNumberFormat="1" applyFont="1" applyFill="1" applyBorder="1" applyAlignment="1"/>
    <xf numFmtId="165" fontId="16" fillId="0" borderId="0" xfId="5" applyNumberFormat="1" applyFont="1" applyFill="1" applyBorder="1" applyAlignment="1">
      <alignment horizontal="left"/>
    </xf>
    <xf numFmtId="43" fontId="13" fillId="0" borderId="0" xfId="5" applyFont="1" applyFill="1" applyBorder="1"/>
    <xf numFmtId="43" fontId="13" fillId="0" borderId="0" xfId="5" applyFont="1" applyFill="1" applyBorder="1" applyAlignment="1">
      <alignment horizontal="center"/>
    </xf>
    <xf numFmtId="165" fontId="19" fillId="0" borderId="0" xfId="5" applyNumberFormat="1" applyFont="1" applyFill="1" applyBorder="1" applyAlignment="1"/>
    <xf numFmtId="167" fontId="13" fillId="0" borderId="0" xfId="7" applyNumberFormat="1" applyFont="1" applyFill="1" applyBorder="1" applyAlignment="1">
      <alignment horizontal="right"/>
    </xf>
    <xf numFmtId="166" fontId="13" fillId="0" borderId="0" xfId="5" applyNumberFormat="1" applyFont="1" applyFill="1" applyBorder="1" applyAlignment="1"/>
    <xf numFmtId="0" fontId="20" fillId="0" borderId="0" xfId="4" applyFont="1"/>
    <xf numFmtId="165" fontId="15" fillId="0" borderId="0" xfId="5" applyNumberFormat="1" applyFont="1" applyFill="1" applyBorder="1"/>
    <xf numFmtId="43" fontId="15" fillId="0" borderId="0" xfId="5" applyFont="1" applyFill="1" applyBorder="1"/>
    <xf numFmtId="9" fontId="13" fillId="0" borderId="0" xfId="7" applyFont="1" applyFill="1" applyBorder="1"/>
    <xf numFmtId="43" fontId="13" fillId="0" borderId="1" xfId="5" applyFont="1" applyFill="1" applyBorder="1"/>
    <xf numFmtId="165" fontId="19" fillId="0" borderId="0" xfId="5" applyNumberFormat="1" applyFont="1"/>
    <xf numFmtId="166" fontId="19" fillId="0" borderId="0" xfId="5" applyNumberFormat="1" applyFont="1"/>
    <xf numFmtId="44" fontId="20" fillId="0" borderId="0" xfId="8" applyFont="1"/>
    <xf numFmtId="9" fontId="13" fillId="0" borderId="0" xfId="5" applyNumberFormat="1" applyFont="1" applyFill="1" applyBorder="1" applyAlignment="1">
      <alignment horizontal="right"/>
    </xf>
    <xf numFmtId="0" fontId="13" fillId="0" borderId="0" xfId="0" applyFont="1"/>
    <xf numFmtId="0" fontId="13" fillId="0" borderId="6" xfId="0" applyFont="1" applyBorder="1"/>
    <xf numFmtId="0" fontId="13" fillId="0" borderId="7" xfId="0" applyFont="1" applyBorder="1"/>
    <xf numFmtId="0" fontId="13" fillId="0" borderId="16" xfId="0" applyFont="1" applyBorder="1"/>
    <xf numFmtId="43" fontId="13" fillId="0" borderId="0" xfId="0" applyNumberFormat="1" applyFont="1"/>
    <xf numFmtId="0" fontId="13" fillId="0" borderId="18" xfId="0" applyFont="1" applyBorder="1"/>
    <xf numFmtId="0" fontId="23" fillId="3" borderId="14" xfId="0" applyFont="1" applyFill="1" applyBorder="1"/>
    <xf numFmtId="0" fontId="13" fillId="4" borderId="0" xfId="0" applyFont="1" applyFill="1"/>
    <xf numFmtId="0" fontId="13" fillId="4" borderId="7" xfId="0" applyFont="1" applyFill="1" applyBorder="1"/>
    <xf numFmtId="9" fontId="13" fillId="4" borderId="7" xfId="7" applyFont="1" applyFill="1" applyBorder="1"/>
    <xf numFmtId="0" fontId="13" fillId="0" borderId="8" xfId="0" applyFont="1" applyBorder="1"/>
    <xf numFmtId="0" fontId="15" fillId="0" borderId="0" xfId="0" applyFont="1"/>
    <xf numFmtId="166" fontId="13" fillId="0" borderId="7" xfId="0" applyNumberFormat="1" applyFont="1" applyBorder="1"/>
    <xf numFmtId="44" fontId="13" fillId="0" borderId="0" xfId="0" applyNumberFormat="1" applyFont="1"/>
    <xf numFmtId="165" fontId="13" fillId="0" borderId="7" xfId="0" applyNumberFormat="1" applyFont="1" applyBorder="1"/>
    <xf numFmtId="165" fontId="13" fillId="0" borderId="0" xfId="0" applyNumberFormat="1" applyFont="1"/>
    <xf numFmtId="0" fontId="15" fillId="0" borderId="0" xfId="0" applyFont="1" applyAlignment="1">
      <alignment horizontal="right"/>
    </xf>
    <xf numFmtId="0" fontId="19" fillId="0" borderId="0" xfId="0" applyFont="1"/>
    <xf numFmtId="0" fontId="16" fillId="0" borderId="0" xfId="0" applyFont="1"/>
    <xf numFmtId="0" fontId="16" fillId="0" borderId="9" xfId="0" applyFont="1" applyBorder="1"/>
    <xf numFmtId="37" fontId="13" fillId="0" borderId="7" xfId="8" applyNumberFormat="1" applyFont="1" applyBorder="1"/>
    <xf numFmtId="0" fontId="13" fillId="0" borderId="12" xfId="0" applyFont="1" applyBorder="1"/>
    <xf numFmtId="0" fontId="23" fillId="3" borderId="20" xfId="0" applyFont="1" applyFill="1" applyBorder="1"/>
    <xf numFmtId="0" fontId="23" fillId="3" borderId="20" xfId="0" applyFont="1" applyFill="1" applyBorder="1" applyAlignment="1">
      <alignment horizontal="right"/>
    </xf>
    <xf numFmtId="166" fontId="13" fillId="4" borderId="7" xfId="0" applyNumberFormat="1" applyFont="1" applyFill="1" applyBorder="1"/>
    <xf numFmtId="165" fontId="13" fillId="4" borderId="10" xfId="0" applyNumberFormat="1" applyFont="1" applyFill="1" applyBorder="1"/>
    <xf numFmtId="165" fontId="13" fillId="4" borderId="7" xfId="0" applyNumberFormat="1" applyFont="1" applyFill="1" applyBorder="1"/>
    <xf numFmtId="0" fontId="23" fillId="3" borderId="20" xfId="0" applyFont="1" applyFill="1" applyBorder="1" applyAlignment="1">
      <alignment horizontal="left"/>
    </xf>
    <xf numFmtId="165" fontId="13" fillId="0" borderId="0" xfId="6" applyNumberFormat="1" applyFont="1"/>
    <xf numFmtId="1" fontId="13" fillId="4" borderId="0" xfId="0" applyNumberFormat="1" applyFont="1" applyFill="1"/>
    <xf numFmtId="39" fontId="13" fillId="0" borderId="7" xfId="8" applyNumberFormat="1" applyFont="1" applyFill="1" applyBorder="1"/>
    <xf numFmtId="39" fontId="13" fillId="0" borderId="10" xfId="8" applyNumberFormat="1" applyFont="1" applyFill="1" applyBorder="1"/>
    <xf numFmtId="37" fontId="13" fillId="0" borderId="10" xfId="8" applyNumberFormat="1" applyFont="1" applyBorder="1"/>
    <xf numFmtId="37" fontId="15" fillId="0" borderId="0" xfId="8" applyNumberFormat="1" applyFont="1"/>
    <xf numFmtId="9" fontId="13" fillId="4" borderId="10" xfId="7" applyFont="1" applyFill="1" applyBorder="1"/>
    <xf numFmtId="0" fontId="16" fillId="0" borderId="0" xfId="0" applyFont="1" applyAlignment="1">
      <alignment horizontal="left"/>
    </xf>
    <xf numFmtId="0" fontId="16" fillId="0" borderId="9" xfId="0" applyFont="1" applyBorder="1" applyAlignment="1">
      <alignment horizontal="left"/>
    </xf>
    <xf numFmtId="43" fontId="16" fillId="0" borderId="0" xfId="6" applyFont="1" applyBorder="1"/>
    <xf numFmtId="43" fontId="16" fillId="0" borderId="0" xfId="6" applyFont="1" applyBorder="1" applyAlignment="1">
      <alignment horizontal="left"/>
    </xf>
    <xf numFmtId="169" fontId="13" fillId="0" borderId="7" xfId="8" applyNumberFormat="1" applyFont="1" applyBorder="1"/>
    <xf numFmtId="43" fontId="13" fillId="4" borderId="7" xfId="0" applyNumberFormat="1" applyFont="1" applyFill="1" applyBorder="1"/>
    <xf numFmtId="0" fontId="15" fillId="0" borderId="1" xfId="0" applyFont="1" applyBorder="1" applyAlignment="1">
      <alignment horizontal="center"/>
    </xf>
    <xf numFmtId="0" fontId="15" fillId="0" borderId="15" xfId="0" applyFont="1" applyBorder="1" applyAlignment="1">
      <alignment horizontal="center"/>
    </xf>
    <xf numFmtId="169" fontId="13" fillId="4" borderId="7" xfId="8" applyNumberFormat="1" applyFont="1" applyFill="1" applyBorder="1"/>
    <xf numFmtId="170" fontId="13" fillId="0" borderId="0" xfId="6" applyNumberFormat="1" applyFont="1"/>
    <xf numFmtId="2" fontId="13" fillId="0" borderId="0" xfId="0" applyNumberFormat="1" applyFont="1"/>
    <xf numFmtId="165" fontId="11" fillId="0" borderId="0" xfId="5" applyNumberFormat="1" applyFont="1" applyFill="1" applyBorder="1" applyAlignment="1">
      <alignment horizontal="right"/>
    </xf>
    <xf numFmtId="0" fontId="22" fillId="0" borderId="0" xfId="0" applyFont="1"/>
    <xf numFmtId="165" fontId="11" fillId="0" borderId="5" xfId="5" applyNumberFormat="1" applyFont="1" applyFill="1" applyBorder="1" applyAlignment="1">
      <alignment horizontal="left"/>
    </xf>
    <xf numFmtId="165" fontId="11" fillId="0" borderId="5" xfId="5" applyNumberFormat="1" applyFont="1" applyFill="1" applyBorder="1" applyAlignment="1">
      <alignment horizontal="right"/>
    </xf>
    <xf numFmtId="165" fontId="11" fillId="0" borderId="5" xfId="5" applyNumberFormat="1" applyFont="1" applyFill="1" applyBorder="1" applyAlignment="1">
      <alignment horizontal="right" wrapText="1"/>
    </xf>
    <xf numFmtId="43" fontId="15" fillId="0" borderId="0" xfId="5" applyFont="1" applyFill="1" applyBorder="1" applyAlignment="1">
      <alignment horizontal="center"/>
    </xf>
    <xf numFmtId="0" fontId="9" fillId="0" borderId="0" xfId="0" applyFont="1"/>
    <xf numFmtId="0" fontId="13" fillId="0" borderId="0" xfId="0" applyFont="1" applyAlignment="1">
      <alignment horizontal="left" vertical="top" wrapText="1"/>
    </xf>
    <xf numFmtId="165" fontId="24" fillId="0" borderId="0" xfId="5" applyNumberFormat="1" applyFont="1" applyFill="1" applyBorder="1"/>
    <xf numFmtId="44" fontId="26" fillId="0" borderId="0" xfId="8" applyFont="1" applyBorder="1"/>
    <xf numFmtId="165" fontId="24" fillId="0" borderId="0" xfId="5" applyNumberFormat="1" applyFont="1" applyFill="1" applyBorder="1" applyAlignment="1">
      <alignment horizontal="right"/>
    </xf>
    <xf numFmtId="165" fontId="13" fillId="0" borderId="7" xfId="6" applyNumberFormat="1" applyFont="1" applyFill="1" applyBorder="1"/>
    <xf numFmtId="165" fontId="13" fillId="0" borderId="10" xfId="6" applyNumberFormat="1" applyFont="1" applyFill="1" applyBorder="1"/>
    <xf numFmtId="165" fontId="14" fillId="0" borderId="0" xfId="5" applyNumberFormat="1" applyFont="1" applyFill="1" applyBorder="1" applyAlignment="1">
      <alignment horizontal="right"/>
    </xf>
    <xf numFmtId="165" fontId="14" fillId="0" borderId="0" xfId="5" applyNumberFormat="1" applyFont="1" applyFill="1" applyBorder="1" applyAlignment="1">
      <alignment horizontal="left"/>
    </xf>
    <xf numFmtId="165" fontId="14" fillId="0" borderId="0" xfId="5" applyNumberFormat="1" applyFont="1" applyFill="1" applyBorder="1" applyAlignment="1">
      <alignment horizontal="right" wrapText="1"/>
    </xf>
    <xf numFmtId="43" fontId="28" fillId="0" borderId="0" xfId="5" applyFont="1" applyFill="1" applyBorder="1" applyAlignment="1">
      <alignment horizontal="center"/>
    </xf>
    <xf numFmtId="9" fontId="13" fillId="4" borderId="0" xfId="7" applyFont="1" applyFill="1" applyBorder="1" applyProtection="1">
      <protection locked="0"/>
    </xf>
    <xf numFmtId="165" fontId="9" fillId="0" borderId="0" xfId="6" applyNumberFormat="1" applyFont="1" applyBorder="1"/>
    <xf numFmtId="0" fontId="30" fillId="0" borderId="0" xfId="9"/>
    <xf numFmtId="10" fontId="13" fillId="0" borderId="0" xfId="7" applyNumberFormat="1" applyFont="1" applyFill="1" applyBorder="1" applyAlignment="1">
      <alignment horizontal="right"/>
    </xf>
    <xf numFmtId="43" fontId="9" fillId="0" borderId="0" xfId="4" applyNumberFormat="1" applyFont="1"/>
    <xf numFmtId="0" fontId="9" fillId="0" borderId="0" xfId="4" applyFont="1" applyAlignment="1">
      <alignment wrapText="1"/>
    </xf>
    <xf numFmtId="0" fontId="29" fillId="0" borderId="0" xfId="4" applyFont="1"/>
    <xf numFmtId="165" fontId="11" fillId="0" borderId="21" xfId="5" applyNumberFormat="1" applyFont="1" applyFill="1" applyBorder="1" applyAlignment="1">
      <alignment horizontal="left"/>
    </xf>
    <xf numFmtId="165" fontId="11" fillId="0" borderId="21" xfId="5" applyNumberFormat="1" applyFont="1" applyFill="1" applyBorder="1" applyAlignment="1">
      <alignment horizontal="right"/>
    </xf>
    <xf numFmtId="165" fontId="11" fillId="0" borderId="1" xfId="5" applyNumberFormat="1" applyFont="1" applyFill="1" applyBorder="1" applyAlignment="1">
      <alignment horizontal="left"/>
    </xf>
    <xf numFmtId="165" fontId="11" fillId="0" borderId="1" xfId="5" applyNumberFormat="1" applyFont="1" applyFill="1" applyBorder="1" applyAlignment="1">
      <alignment horizontal="right"/>
    </xf>
    <xf numFmtId="0" fontId="12" fillId="0" borderId="0" xfId="4" applyFont="1"/>
    <xf numFmtId="39" fontId="12" fillId="0" borderId="0" xfId="8" applyNumberFormat="1" applyFont="1" applyFill="1" applyBorder="1"/>
    <xf numFmtId="0" fontId="30" fillId="0" borderId="0" xfId="9" applyAlignment="1">
      <alignment horizontal="left"/>
    </xf>
    <xf numFmtId="0" fontId="13" fillId="0" borderId="9" xfId="0" applyFont="1" applyBorder="1" applyAlignment="1">
      <alignment horizontal="right"/>
    </xf>
    <xf numFmtId="0" fontId="13" fillId="0" borderId="10" xfId="0" applyFont="1" applyBorder="1" applyAlignment="1">
      <alignment horizontal="right"/>
    </xf>
    <xf numFmtId="170" fontId="13" fillId="0" borderId="0" xfId="6" applyNumberFormat="1" applyFont="1" applyFill="1" applyBorder="1" applyAlignment="1"/>
    <xf numFmtId="165" fontId="13" fillId="0" borderId="0" xfId="6" applyNumberFormat="1" applyFont="1" applyFill="1" applyBorder="1" applyAlignment="1"/>
    <xf numFmtId="44" fontId="26" fillId="0" borderId="0" xfId="8" applyFont="1" applyFill="1" applyBorder="1"/>
    <xf numFmtId="0" fontId="30" fillId="0" borderId="0" xfId="9" applyAlignment="1">
      <alignment vertical="center"/>
    </xf>
    <xf numFmtId="39" fontId="13" fillId="0" borderId="0" xfId="8" applyNumberFormat="1" applyFont="1" applyFill="1" applyBorder="1" applyProtection="1">
      <protection locked="0"/>
    </xf>
    <xf numFmtId="9" fontId="9" fillId="0" borderId="0" xfId="4" applyNumberFormat="1" applyFont="1"/>
    <xf numFmtId="0" fontId="13" fillId="0" borderId="0" xfId="4" applyFont="1"/>
    <xf numFmtId="165" fontId="11" fillId="0" borderId="0" xfId="5" applyNumberFormat="1" applyFont="1" applyFill="1" applyBorder="1" applyAlignment="1">
      <alignment horizontal="left"/>
    </xf>
    <xf numFmtId="165" fontId="11" fillId="0" borderId="0" xfId="5" applyNumberFormat="1" applyFont="1" applyFill="1" applyBorder="1" applyAlignment="1">
      <alignment horizontal="right" wrapText="1"/>
    </xf>
    <xf numFmtId="39" fontId="13" fillId="7" borderId="0" xfId="8" applyNumberFormat="1" applyFont="1" applyFill="1" applyBorder="1" applyProtection="1">
      <protection locked="0"/>
    </xf>
    <xf numFmtId="0" fontId="13" fillId="0" borderId="1" xfId="0" applyFont="1" applyBorder="1"/>
    <xf numFmtId="0" fontId="31" fillId="0" borderId="0" xfId="0" applyFont="1"/>
    <xf numFmtId="0" fontId="32" fillId="0" borderId="0" xfId="0" applyFont="1" applyAlignment="1">
      <alignment vertical="center"/>
    </xf>
    <xf numFmtId="0" fontId="31" fillId="0" borderId="22" xfId="0" applyFont="1" applyBorder="1"/>
    <xf numFmtId="172" fontId="32" fillId="0" borderId="21" xfId="0" applyNumberFormat="1" applyFont="1" applyBorder="1" applyAlignment="1">
      <alignment vertical="center"/>
    </xf>
    <xf numFmtId="0" fontId="31" fillId="0" borderId="23" xfId="0" applyFont="1" applyBorder="1"/>
    <xf numFmtId="0" fontId="31" fillId="0" borderId="24" xfId="0" applyFont="1" applyBorder="1"/>
    <xf numFmtId="172" fontId="31" fillId="0" borderId="1" xfId="0" applyNumberFormat="1" applyFont="1" applyBorder="1"/>
    <xf numFmtId="0" fontId="31" fillId="0" borderId="25" xfId="0" applyFont="1" applyBorder="1"/>
    <xf numFmtId="16" fontId="31" fillId="0" borderId="0" xfId="0" applyNumberFormat="1" applyFont="1"/>
    <xf numFmtId="165" fontId="33" fillId="0" borderId="0" xfId="5" applyNumberFormat="1" applyFont="1" applyFill="1" applyBorder="1" applyAlignment="1">
      <alignment horizontal="right"/>
    </xf>
    <xf numFmtId="165" fontId="33" fillId="0" borderId="0" xfId="5" applyNumberFormat="1" applyFont="1" applyFill="1" applyBorder="1" applyAlignment="1">
      <alignment horizontal="right" wrapText="1"/>
    </xf>
    <xf numFmtId="170" fontId="33" fillId="0" borderId="0" xfId="5" applyNumberFormat="1" applyFont="1" applyFill="1" applyBorder="1" applyAlignment="1">
      <alignment horizontal="right"/>
    </xf>
    <xf numFmtId="0" fontId="34" fillId="0" borderId="0" xfId="4" applyFont="1"/>
    <xf numFmtId="9" fontId="15" fillId="0" borderId="0" xfId="4" applyNumberFormat="1" applyFont="1"/>
    <xf numFmtId="0" fontId="13" fillId="0" borderId="21" xfId="0" applyFont="1" applyBorder="1" applyAlignment="1">
      <alignment wrapText="1"/>
    </xf>
    <xf numFmtId="0" fontId="13" fillId="0" borderId="0" xfId="0" applyFont="1" applyAlignment="1">
      <alignment wrapText="1"/>
    </xf>
    <xf numFmtId="0" fontId="13" fillId="0" borderId="0" xfId="0" applyFont="1" applyAlignment="1">
      <alignment horizontal="left" indent="1"/>
    </xf>
    <xf numFmtId="39" fontId="13" fillId="0" borderId="1" xfId="8" applyNumberFormat="1" applyFont="1" applyFill="1" applyBorder="1" applyProtection="1">
      <protection locked="0"/>
    </xf>
    <xf numFmtId="174" fontId="9" fillId="0" borderId="0" xfId="4" applyNumberFormat="1" applyFont="1"/>
    <xf numFmtId="0" fontId="31" fillId="0" borderId="0" xfId="0" applyFont="1" applyAlignment="1">
      <alignment wrapText="1"/>
    </xf>
    <xf numFmtId="0" fontId="33" fillId="0" borderId="0" xfId="0" applyFont="1" applyAlignment="1">
      <alignment vertical="center"/>
    </xf>
    <xf numFmtId="10" fontId="33" fillId="0" borderId="0" xfId="0" applyNumberFormat="1" applyFont="1" applyAlignment="1">
      <alignment horizontal="right" vertical="center"/>
    </xf>
    <xf numFmtId="2" fontId="19" fillId="0" borderId="0" xfId="0" applyNumberFormat="1" applyFont="1" applyAlignment="1">
      <alignment horizontal="right" vertical="center"/>
    </xf>
    <xf numFmtId="0" fontId="19" fillId="0" borderId="0" xfId="4" applyFont="1"/>
    <xf numFmtId="39" fontId="20" fillId="0" borderId="0" xfId="4" applyNumberFormat="1" applyFont="1"/>
    <xf numFmtId="39" fontId="19" fillId="0" borderId="0" xfId="4" applyNumberFormat="1" applyFont="1"/>
    <xf numFmtId="0" fontId="37" fillId="0" borderId="0" xfId="0" applyFont="1"/>
    <xf numFmtId="10" fontId="20" fillId="0" borderId="0" xfId="4" applyNumberFormat="1" applyFont="1"/>
    <xf numFmtId="39" fontId="19" fillId="0" borderId="0" xfId="8" applyNumberFormat="1" applyFont="1" applyFill="1" applyBorder="1"/>
    <xf numFmtId="0" fontId="38" fillId="0" borderId="0" xfId="4" applyFont="1"/>
    <xf numFmtId="44" fontId="20" fillId="0" borderId="0" xfId="8" applyFont="1" applyBorder="1"/>
    <xf numFmtId="9" fontId="20" fillId="0" borderId="0" xfId="8" applyNumberFormat="1" applyFont="1" applyBorder="1"/>
    <xf numFmtId="0" fontId="28" fillId="0" borderId="0" xfId="4" applyFont="1"/>
    <xf numFmtId="44" fontId="29" fillId="0" borderId="0" xfId="8" applyFont="1" applyBorder="1"/>
    <xf numFmtId="9" fontId="29" fillId="0" borderId="0" xfId="8" applyNumberFormat="1" applyFont="1" applyBorder="1"/>
    <xf numFmtId="0" fontId="35" fillId="0" borderId="0" xfId="0" applyFont="1" applyAlignment="1">
      <alignment vertical="center"/>
    </xf>
    <xf numFmtId="44" fontId="29" fillId="0" borderId="0" xfId="8" applyFont="1" applyFill="1" applyBorder="1"/>
    <xf numFmtId="10" fontId="35" fillId="0" borderId="0" xfId="0" applyNumberFormat="1" applyFont="1" applyAlignment="1">
      <alignment horizontal="right" vertical="center"/>
    </xf>
    <xf numFmtId="2" fontId="36" fillId="0" borderId="0" xfId="0" applyNumberFormat="1" applyFont="1" applyAlignment="1">
      <alignment horizontal="right" vertical="center"/>
    </xf>
    <xf numFmtId="9" fontId="29" fillId="0" borderId="0" xfId="8" applyNumberFormat="1" applyFont="1" applyFill="1" applyBorder="1"/>
    <xf numFmtId="44" fontId="20" fillId="0" borderId="0" xfId="8" applyFont="1" applyFill="1" applyBorder="1"/>
    <xf numFmtId="9" fontId="20" fillId="0" borderId="0" xfId="8" applyNumberFormat="1" applyFont="1" applyFill="1" applyBorder="1"/>
    <xf numFmtId="0" fontId="9" fillId="0" borderId="0" xfId="11" applyFont="1"/>
    <xf numFmtId="0" fontId="10" fillId="0" borderId="0" xfId="11" applyFont="1" applyAlignment="1">
      <alignment horizontal="center"/>
    </xf>
    <xf numFmtId="0" fontId="43" fillId="0" borderId="0" xfId="11" applyFont="1" applyAlignment="1">
      <alignment horizontal="right"/>
    </xf>
    <xf numFmtId="0" fontId="11" fillId="0" borderId="0" xfId="11" applyFont="1"/>
    <xf numFmtId="0" fontId="9" fillId="0" borderId="0" xfId="11" applyFont="1" applyAlignment="1">
      <alignment horizontal="left"/>
    </xf>
    <xf numFmtId="0" fontId="11" fillId="0" borderId="0" xfId="11" applyFont="1" applyAlignment="1">
      <alignment horizontal="left" indent="4"/>
    </xf>
    <xf numFmtId="0" fontId="18" fillId="0" borderId="0" xfId="11" applyFont="1" applyAlignment="1">
      <alignment wrapText="1"/>
    </xf>
    <xf numFmtId="0" fontId="43" fillId="0" borderId="0" xfId="11" applyFont="1" applyAlignment="1">
      <alignment horizontal="left" vertical="top" wrapText="1"/>
    </xf>
    <xf numFmtId="0" fontId="43" fillId="0" borderId="0" xfId="11" applyFont="1"/>
    <xf numFmtId="0" fontId="43" fillId="0" borderId="0" xfId="11" applyFont="1" applyAlignment="1">
      <alignment wrapText="1"/>
    </xf>
    <xf numFmtId="0" fontId="49" fillId="0" borderId="6" xfId="0" applyFont="1" applyBorder="1"/>
    <xf numFmtId="0" fontId="49" fillId="0" borderId="0" xfId="0" applyFont="1"/>
    <xf numFmtId="0" fontId="49" fillId="0" borderId="0" xfId="0" applyFont="1" applyAlignment="1">
      <alignment horizontal="center"/>
    </xf>
    <xf numFmtId="167" fontId="49" fillId="0" borderId="0" xfId="7" applyNumberFormat="1" applyFont="1" applyBorder="1"/>
    <xf numFmtId="0" fontId="40" fillId="0" borderId="0" xfId="0" applyFont="1" applyAlignment="1">
      <alignment horizontal="left" indent="1"/>
    </xf>
    <xf numFmtId="0" fontId="50" fillId="0" borderId="0" xfId="0" applyFont="1" applyAlignment="1">
      <alignment horizontal="left" indent="1"/>
    </xf>
    <xf numFmtId="0" fontId="40" fillId="0" borderId="17" xfId="0" applyFont="1" applyBorder="1" applyAlignment="1">
      <alignment horizontal="center" vertical="center" wrapText="1"/>
    </xf>
    <xf numFmtId="0" fontId="40" fillId="0" borderId="5" xfId="0" applyFont="1" applyBorder="1" applyAlignment="1">
      <alignment horizontal="center" vertical="center" wrapText="1"/>
    </xf>
    <xf numFmtId="0" fontId="49" fillId="0" borderId="14" xfId="0" applyFont="1" applyBorder="1"/>
    <xf numFmtId="0" fontId="49" fillId="0" borderId="1" xfId="0" applyFont="1" applyBorder="1"/>
    <xf numFmtId="2" fontId="49" fillId="0" borderId="0" xfId="0" applyNumberFormat="1" applyFont="1" applyAlignment="1">
      <alignment horizontal="center"/>
    </xf>
    <xf numFmtId="43" fontId="49" fillId="0" borderId="0" xfId="0" applyNumberFormat="1" applyFont="1" applyAlignment="1">
      <alignment horizontal="right"/>
    </xf>
    <xf numFmtId="10" fontId="49" fillId="0" borderId="0" xfId="0" applyNumberFormat="1" applyFont="1" applyAlignment="1">
      <alignment horizontal="right"/>
    </xf>
    <xf numFmtId="172" fontId="49" fillId="0" borderId="0" xfId="0" applyNumberFormat="1" applyFont="1"/>
    <xf numFmtId="0" fontId="49" fillId="0" borderId="1" xfId="0" applyFont="1" applyBorder="1" applyAlignment="1">
      <alignment horizontal="center"/>
    </xf>
    <xf numFmtId="2" fontId="49" fillId="0" borderId="1" xfId="0" applyNumberFormat="1" applyFont="1" applyBorder="1" applyAlignment="1">
      <alignment horizontal="center"/>
    </xf>
    <xf numFmtId="43" fontId="49" fillId="0" borderId="1" xfId="0" applyNumberFormat="1" applyFont="1" applyBorder="1" applyAlignment="1">
      <alignment horizontal="right"/>
    </xf>
    <xf numFmtId="10" fontId="49" fillId="0" borderId="1" xfId="0" applyNumberFormat="1" applyFont="1" applyBorder="1" applyAlignment="1">
      <alignment horizontal="right"/>
    </xf>
    <xf numFmtId="172" fontId="49" fillId="0" borderId="1" xfId="0" applyNumberFormat="1" applyFont="1" applyBorder="1"/>
    <xf numFmtId="167" fontId="49" fillId="0" borderId="1" xfId="7" applyNumberFormat="1" applyFont="1" applyBorder="1"/>
    <xf numFmtId="175" fontId="49" fillId="0" borderId="0" xfId="0" applyNumberFormat="1" applyFont="1"/>
    <xf numFmtId="175" fontId="49" fillId="0" borderId="1" xfId="0" applyNumberFormat="1" applyFont="1" applyBorder="1"/>
    <xf numFmtId="7" fontId="49" fillId="0" borderId="0" xfId="0" applyNumberFormat="1" applyFont="1"/>
    <xf numFmtId="7" fontId="49" fillId="0" borderId="1" xfId="0" applyNumberFormat="1" applyFont="1" applyBorder="1"/>
    <xf numFmtId="5" fontId="49" fillId="0" borderId="0" xfId="0" applyNumberFormat="1" applyFont="1"/>
    <xf numFmtId="5" fontId="49" fillId="0" borderId="1" xfId="0" applyNumberFormat="1" applyFont="1" applyBorder="1"/>
    <xf numFmtId="0" fontId="53" fillId="0" borderId="0" xfId="0" applyFont="1"/>
    <xf numFmtId="39" fontId="53" fillId="4" borderId="0" xfId="8" applyNumberFormat="1" applyFont="1" applyFill="1" applyBorder="1" applyProtection="1">
      <protection locked="0"/>
    </xf>
    <xf numFmtId="37" fontId="53" fillId="4" borderId="0" xfId="8" applyNumberFormat="1" applyFont="1" applyFill="1" applyBorder="1" applyProtection="1">
      <protection locked="0"/>
    </xf>
    <xf numFmtId="10" fontId="53" fillId="4" borderId="0" xfId="8" applyNumberFormat="1" applyFont="1" applyFill="1" applyBorder="1" applyProtection="1">
      <protection locked="0"/>
    </xf>
    <xf numFmtId="9" fontId="53" fillId="4" borderId="0" xfId="7" applyFont="1" applyFill="1" applyBorder="1" applyProtection="1">
      <protection locked="0"/>
    </xf>
    <xf numFmtId="0" fontId="53" fillId="4" borderId="0" xfId="0" applyFont="1" applyFill="1" applyAlignment="1" applyProtection="1">
      <alignment horizontal="center"/>
      <protection locked="0"/>
    </xf>
    <xf numFmtId="165" fontId="53" fillId="4" borderId="0" xfId="6" applyNumberFormat="1" applyFont="1" applyFill="1" applyBorder="1" applyProtection="1">
      <protection locked="0"/>
    </xf>
    <xf numFmtId="43" fontId="53" fillId="4" borderId="0" xfId="6" applyFont="1" applyFill="1" applyBorder="1" applyProtection="1">
      <protection locked="0"/>
    </xf>
    <xf numFmtId="0" fontId="53" fillId="4" borderId="0" xfId="0" applyFont="1" applyFill="1" applyProtection="1">
      <protection locked="0"/>
    </xf>
    <xf numFmtId="0" fontId="53" fillId="4" borderId="1" xfId="0" applyFont="1" applyFill="1" applyBorder="1" applyProtection="1">
      <protection locked="0"/>
    </xf>
    <xf numFmtId="165" fontId="52" fillId="0" borderId="0" xfId="5" applyNumberFormat="1" applyFont="1" applyFill="1" applyBorder="1" applyAlignment="1">
      <alignment horizontal="left"/>
    </xf>
    <xf numFmtId="7" fontId="53" fillId="4" borderId="0" xfId="8" applyNumberFormat="1" applyFont="1" applyFill="1" applyBorder="1" applyProtection="1">
      <protection locked="0"/>
    </xf>
    <xf numFmtId="176" fontId="53" fillId="4" borderId="0" xfId="8" applyNumberFormat="1" applyFont="1" applyFill="1" applyBorder="1" applyProtection="1">
      <protection locked="0"/>
    </xf>
    <xf numFmtId="175" fontId="53" fillId="4" borderId="0" xfId="8" applyNumberFormat="1" applyFont="1" applyFill="1" applyBorder="1" applyProtection="1">
      <protection locked="0"/>
    </xf>
    <xf numFmtId="5" fontId="53" fillId="4" borderId="0" xfId="8" applyNumberFormat="1" applyFont="1" applyFill="1" applyBorder="1" applyProtection="1">
      <protection locked="0"/>
    </xf>
    <xf numFmtId="0" fontId="59" fillId="0" borderId="0" xfId="0" applyFont="1"/>
    <xf numFmtId="165" fontId="59" fillId="0" borderId="0" xfId="0" applyNumberFormat="1" applyFont="1"/>
    <xf numFmtId="9" fontId="53" fillId="0" borderId="0" xfId="7" applyFont="1" applyFill="1" applyBorder="1"/>
    <xf numFmtId="43" fontId="59" fillId="0" borderId="0" xfId="0" applyNumberFormat="1" applyFont="1"/>
    <xf numFmtId="9" fontId="53" fillId="4" borderId="0" xfId="7" quotePrefix="1" applyFont="1" applyFill="1" applyBorder="1" applyProtection="1">
      <protection locked="0"/>
    </xf>
    <xf numFmtId="0" fontId="53" fillId="7" borderId="0" xfId="0" applyFont="1" applyFill="1"/>
    <xf numFmtId="0" fontId="59" fillId="7" borderId="0" xfId="0" applyFont="1" applyFill="1"/>
    <xf numFmtId="165" fontId="53" fillId="4" borderId="1" xfId="6" applyNumberFormat="1" applyFont="1" applyFill="1" applyBorder="1" applyProtection="1">
      <protection locked="0"/>
    </xf>
    <xf numFmtId="9" fontId="53" fillId="4" borderId="1" xfId="7" applyFont="1" applyFill="1" applyBorder="1" applyProtection="1">
      <protection locked="0"/>
    </xf>
    <xf numFmtId="0" fontId="53" fillId="0" borderId="5" xfId="0" applyFont="1" applyBorder="1"/>
    <xf numFmtId="37" fontId="53" fillId="0" borderId="0" xfId="8" applyNumberFormat="1" applyFont="1" applyFill="1" applyBorder="1"/>
    <xf numFmtId="9" fontId="53" fillId="0" borderId="0" xfId="7" applyFont="1" applyFill="1" applyBorder="1" applyProtection="1">
      <protection locked="0"/>
    </xf>
    <xf numFmtId="0" fontId="53" fillId="0" borderId="1" xfId="0" applyFont="1" applyBorder="1"/>
    <xf numFmtId="0" fontId="53" fillId="0" borderId="21" xfId="0" applyFont="1" applyBorder="1"/>
    <xf numFmtId="175" fontId="53" fillId="4" borderId="0" xfId="6" applyNumberFormat="1" applyFont="1" applyFill="1" applyBorder="1" applyProtection="1">
      <protection locked="0"/>
    </xf>
    <xf numFmtId="175" fontId="53" fillId="4" borderId="0" xfId="0" applyNumberFormat="1" applyFont="1" applyFill="1" applyProtection="1">
      <protection locked="0"/>
    </xf>
    <xf numFmtId="175" fontId="53" fillId="4" borderId="1" xfId="6" applyNumberFormat="1" applyFont="1" applyFill="1" applyBorder="1" applyProtection="1">
      <protection locked="0"/>
    </xf>
    <xf numFmtId="176" fontId="53" fillId="4" borderId="0" xfId="6" applyNumberFormat="1" applyFont="1" applyFill="1" applyBorder="1" applyProtection="1">
      <protection locked="0"/>
    </xf>
    <xf numFmtId="0" fontId="27" fillId="0" borderId="0" xfId="0" applyFont="1"/>
    <xf numFmtId="9" fontId="13" fillId="0" borderId="0" xfId="7" applyFont="1" applyFill="1" applyBorder="1" applyProtection="1">
      <protection locked="0"/>
    </xf>
    <xf numFmtId="2" fontId="12" fillId="0" borderId="0" xfId="4" applyNumberFormat="1" applyFont="1"/>
    <xf numFmtId="37" fontId="13" fillId="0" borderId="0" xfId="8" applyNumberFormat="1" applyFont="1" applyFill="1" applyBorder="1" applyProtection="1">
      <protection locked="0"/>
    </xf>
    <xf numFmtId="165" fontId="13" fillId="0" borderId="0" xfId="6" applyNumberFormat="1" applyFont="1" applyFill="1" applyBorder="1" applyAlignment="1" applyProtection="1">
      <protection locked="0"/>
    </xf>
    <xf numFmtId="39" fontId="13" fillId="4" borderId="0" xfId="8" applyNumberFormat="1" applyFont="1" applyFill="1" applyBorder="1" applyProtection="1">
      <protection locked="0"/>
    </xf>
    <xf numFmtId="37" fontId="13" fillId="4" borderId="0" xfId="8" applyNumberFormat="1" applyFont="1" applyFill="1" applyBorder="1" applyProtection="1">
      <protection locked="0"/>
    </xf>
    <xf numFmtId="165" fontId="13" fillId="4" borderId="0" xfId="6" applyNumberFormat="1" applyFont="1" applyFill="1" applyBorder="1" applyAlignment="1" applyProtection="1">
      <protection locked="0"/>
    </xf>
    <xf numFmtId="0" fontId="18" fillId="0" borderId="0" xfId="4" applyFont="1"/>
    <xf numFmtId="0" fontId="18" fillId="0" borderId="1" xfId="4" applyFont="1" applyBorder="1"/>
    <xf numFmtId="7" fontId="13" fillId="4" borderId="0" xfId="8" applyNumberFormat="1" applyFont="1" applyFill="1" applyBorder="1" applyProtection="1">
      <protection locked="0"/>
    </xf>
    <xf numFmtId="7" fontId="13" fillId="4" borderId="21" xfId="8" applyNumberFormat="1" applyFont="1" applyFill="1" applyBorder="1" applyProtection="1">
      <protection locked="0"/>
    </xf>
    <xf numFmtId="5" fontId="13" fillId="4" borderId="0" xfId="8" applyNumberFormat="1" applyFont="1" applyFill="1" applyBorder="1" applyProtection="1">
      <protection locked="0"/>
    </xf>
    <xf numFmtId="0" fontId="29" fillId="0" borderId="21" xfId="4" applyFont="1" applyBorder="1" applyAlignment="1">
      <alignment horizontal="right"/>
    </xf>
    <xf numFmtId="0" fontId="29" fillId="0" borderId="1" xfId="4" applyFont="1" applyBorder="1" applyAlignment="1">
      <alignment horizontal="right"/>
    </xf>
    <xf numFmtId="165" fontId="15" fillId="0" borderId="0" xfId="5" applyNumberFormat="1" applyFont="1" applyFill="1" applyBorder="1" applyAlignment="1">
      <alignment horizontal="right" vertical="top"/>
    </xf>
    <xf numFmtId="9" fontId="15" fillId="0" borderId="0" xfId="7" applyFont="1" applyFill="1" applyBorder="1"/>
    <xf numFmtId="165" fontId="16" fillId="0" borderId="0" xfId="5" applyNumberFormat="1" applyFont="1" applyFill="1" applyBorder="1" applyAlignment="1">
      <alignment horizontal="right"/>
    </xf>
    <xf numFmtId="8" fontId="15" fillId="0" borderId="0" xfId="5" applyNumberFormat="1" applyFont="1" applyFill="1" applyBorder="1"/>
    <xf numFmtId="165" fontId="11" fillId="0" borderId="0" xfId="6" applyNumberFormat="1" applyFont="1" applyBorder="1" applyAlignment="1">
      <alignment horizontal="right"/>
    </xf>
    <xf numFmtId="43" fontId="9" fillId="0" borderId="0" xfId="5" applyFont="1" applyFill="1" applyBorder="1" applyAlignment="1">
      <alignment horizontal="right"/>
    </xf>
    <xf numFmtId="8" fontId="13" fillId="0" borderId="0" xfId="5" applyNumberFormat="1" applyFont="1" applyFill="1" applyBorder="1"/>
    <xf numFmtId="10" fontId="9" fillId="0" borderId="0" xfId="7" applyNumberFormat="1" applyFont="1" applyBorder="1" applyAlignment="1">
      <alignment horizontal="right"/>
    </xf>
    <xf numFmtId="165" fontId="11" fillId="0" borderId="5" xfId="5" applyNumberFormat="1" applyFont="1" applyFill="1" applyBorder="1"/>
    <xf numFmtId="7" fontId="13" fillId="0" borderId="0" xfId="5" applyNumberFormat="1" applyFont="1" applyFill="1" applyBorder="1" applyAlignment="1">
      <alignment horizontal="right"/>
    </xf>
    <xf numFmtId="5" fontId="13" fillId="0" borderId="0" xfId="5" applyNumberFormat="1" applyFont="1" applyFill="1" applyBorder="1"/>
    <xf numFmtId="5" fontId="15" fillId="0" borderId="0" xfId="5" applyNumberFormat="1" applyFont="1" applyFill="1" applyBorder="1"/>
    <xf numFmtId="7" fontId="13" fillId="0" borderId="0" xfId="5" applyNumberFormat="1" applyFont="1" applyFill="1" applyBorder="1"/>
    <xf numFmtId="7" fontId="15" fillId="0" borderId="0" xfId="5" applyNumberFormat="1" applyFont="1" applyFill="1" applyBorder="1"/>
    <xf numFmtId="5" fontId="13" fillId="0" borderId="1" xfId="5" applyNumberFormat="1" applyFont="1" applyFill="1" applyBorder="1"/>
    <xf numFmtId="7" fontId="13" fillId="0" borderId="1" xfId="5" applyNumberFormat="1" applyFont="1" applyFill="1" applyBorder="1"/>
    <xf numFmtId="9" fontId="13" fillId="0" borderId="1" xfId="7" applyFont="1" applyFill="1" applyBorder="1"/>
    <xf numFmtId="176" fontId="13" fillId="0" borderId="0" xfId="5" applyNumberFormat="1" applyFont="1" applyFill="1" applyBorder="1"/>
    <xf numFmtId="176" fontId="13" fillId="0" borderId="1" xfId="5" applyNumberFormat="1" applyFont="1" applyFill="1" applyBorder="1"/>
    <xf numFmtId="175" fontId="13" fillId="0" borderId="0" xfId="5" applyNumberFormat="1" applyFont="1" applyFill="1" applyBorder="1"/>
    <xf numFmtId="175" fontId="13" fillId="4" borderId="0" xfId="5" applyNumberFormat="1" applyFont="1" applyFill="1" applyBorder="1" applyProtection="1">
      <protection locked="0"/>
    </xf>
    <xf numFmtId="175" fontId="13" fillId="0" borderId="1" xfId="5" applyNumberFormat="1" applyFont="1" applyFill="1" applyBorder="1"/>
    <xf numFmtId="175" fontId="24" fillId="0" borderId="0" xfId="5" applyNumberFormat="1" applyFont="1" applyFill="1" applyBorder="1"/>
    <xf numFmtId="6" fontId="13" fillId="0" borderId="0" xfId="5" applyNumberFormat="1" applyFont="1" applyFill="1" applyBorder="1"/>
    <xf numFmtId="6" fontId="24" fillId="0" borderId="0" xfId="5" applyNumberFormat="1" applyFont="1" applyFill="1" applyBorder="1"/>
    <xf numFmtId="6" fontId="13" fillId="0" borderId="1" xfId="5" applyNumberFormat="1" applyFont="1" applyFill="1" applyBorder="1"/>
    <xf numFmtId="8" fontId="13" fillId="0" borderId="1" xfId="5" applyNumberFormat="1" applyFont="1" applyFill="1" applyBorder="1"/>
    <xf numFmtId="6" fontId="15" fillId="0" borderId="21" xfId="5" applyNumberFormat="1" applyFont="1" applyFill="1" applyBorder="1"/>
    <xf numFmtId="8" fontId="15" fillId="0" borderId="21" xfId="5" applyNumberFormat="1" applyFont="1" applyFill="1" applyBorder="1"/>
    <xf numFmtId="9" fontId="15" fillId="0" borderId="21" xfId="7" applyFont="1" applyFill="1" applyBorder="1"/>
    <xf numFmtId="6" fontId="15" fillId="0" borderId="1" xfId="5" applyNumberFormat="1" applyFont="1" applyFill="1" applyBorder="1"/>
    <xf numFmtId="8" fontId="15" fillId="0" borderId="1" xfId="5" applyNumberFormat="1" applyFont="1" applyFill="1" applyBorder="1"/>
    <xf numFmtId="165" fontId="16" fillId="0" borderId="1" xfId="5" applyNumberFormat="1" applyFont="1" applyFill="1" applyBorder="1" applyAlignment="1">
      <alignment horizontal="right"/>
    </xf>
    <xf numFmtId="165" fontId="9" fillId="0" borderId="1" xfId="6" applyNumberFormat="1" applyFont="1" applyBorder="1"/>
    <xf numFmtId="0" fontId="9" fillId="0" borderId="1" xfId="4" applyFont="1" applyBorder="1"/>
    <xf numFmtId="165" fontId="11" fillId="0" borderId="1" xfId="6" applyNumberFormat="1" applyFont="1" applyBorder="1" applyAlignment="1">
      <alignment horizontal="right"/>
    </xf>
    <xf numFmtId="6" fontId="13" fillId="0" borderId="1" xfId="5" applyNumberFormat="1" applyFont="1" applyFill="1" applyBorder="1" applyAlignment="1">
      <alignment horizontal="right"/>
    </xf>
    <xf numFmtId="165" fontId="55" fillId="0" borderId="0" xfId="5" applyNumberFormat="1" applyFont="1" applyFill="1" applyBorder="1" applyAlignment="1">
      <alignment horizontal="left"/>
    </xf>
    <xf numFmtId="165" fontId="52" fillId="0" borderId="0" xfId="5" applyNumberFormat="1" applyFont="1" applyFill="1" applyBorder="1" applyAlignment="1">
      <alignment horizontal="center"/>
    </xf>
    <xf numFmtId="0" fontId="24" fillId="0" borderId="5" xfId="4" applyFont="1" applyBorder="1"/>
    <xf numFmtId="9" fontId="24" fillId="0" borderId="5" xfId="4" quotePrefix="1" applyNumberFormat="1" applyFont="1" applyBorder="1" applyAlignment="1">
      <alignment horizontal="right"/>
    </xf>
    <xf numFmtId="0" fontId="24" fillId="0" borderId="5" xfId="4" applyFont="1" applyBorder="1" applyAlignment="1">
      <alignment horizontal="right"/>
    </xf>
    <xf numFmtId="165" fontId="55" fillId="0" borderId="0" xfId="5" applyNumberFormat="1" applyFont="1" applyFill="1" applyBorder="1" applyAlignment="1"/>
    <xf numFmtId="165" fontId="52" fillId="0" borderId="0" xfId="5" applyNumberFormat="1" applyFont="1" applyFill="1" applyBorder="1" applyAlignment="1"/>
    <xf numFmtId="165" fontId="9" fillId="0" borderId="0" xfId="6" applyNumberFormat="1" applyFont="1" applyFill="1" applyBorder="1" applyAlignment="1"/>
    <xf numFmtId="167" fontId="13" fillId="0" borderId="0" xfId="7" applyNumberFormat="1" applyFont="1" applyFill="1" applyBorder="1"/>
    <xf numFmtId="165" fontId="11" fillId="0" borderId="0" xfId="5" applyNumberFormat="1" applyFont="1" applyFill="1" applyBorder="1" applyAlignment="1"/>
    <xf numFmtId="165" fontId="11" fillId="0" borderId="0" xfId="6" applyNumberFormat="1" applyFont="1" applyFill="1" applyBorder="1" applyAlignment="1">
      <alignment horizontal="right"/>
    </xf>
    <xf numFmtId="176" fontId="13" fillId="0" borderId="0" xfId="5" applyNumberFormat="1" applyFont="1" applyFill="1" applyBorder="1" applyAlignment="1">
      <alignment horizontal="right"/>
    </xf>
    <xf numFmtId="175" fontId="13" fillId="0" borderId="0" xfId="5" applyNumberFormat="1" applyFont="1" applyFill="1" applyBorder="1" applyAlignment="1">
      <alignment horizontal="right"/>
    </xf>
    <xf numFmtId="43" fontId="28" fillId="0" borderId="0" xfId="5" applyFont="1" applyFill="1" applyBorder="1" applyAlignment="1">
      <alignment horizontal="right"/>
    </xf>
    <xf numFmtId="165" fontId="24" fillId="0" borderId="0" xfId="5" applyNumberFormat="1" applyFont="1" applyFill="1" applyBorder="1" applyAlignment="1"/>
    <xf numFmtId="167" fontId="13" fillId="0" borderId="1" xfId="7" applyNumberFormat="1" applyFont="1" applyFill="1" applyBorder="1"/>
    <xf numFmtId="167" fontId="15" fillId="0" borderId="0" xfId="7" applyNumberFormat="1" applyFont="1" applyFill="1" applyBorder="1"/>
    <xf numFmtId="167" fontId="15" fillId="0" borderId="21" xfId="7" applyNumberFormat="1" applyFont="1" applyFill="1" applyBorder="1"/>
    <xf numFmtId="167" fontId="15" fillId="0" borderId="1" xfId="7" applyNumberFormat="1" applyFont="1" applyFill="1" applyBorder="1"/>
    <xf numFmtId="165" fontId="9" fillId="0" borderId="1" xfId="6" applyNumberFormat="1" applyFont="1" applyFill="1" applyBorder="1" applyAlignment="1"/>
    <xf numFmtId="165" fontId="11" fillId="0" borderId="1" xfId="6" applyNumberFormat="1" applyFont="1" applyFill="1" applyBorder="1" applyAlignment="1">
      <alignment horizontal="right"/>
    </xf>
    <xf numFmtId="165" fontId="11" fillId="0" borderId="21" xfId="5" applyNumberFormat="1" applyFont="1" applyFill="1" applyBorder="1" applyAlignment="1"/>
    <xf numFmtId="165" fontId="11" fillId="0" borderId="1" xfId="5" applyNumberFormat="1" applyFont="1" applyFill="1" applyBorder="1" applyAlignment="1"/>
    <xf numFmtId="165" fontId="15" fillId="0" borderId="1" xfId="5" applyNumberFormat="1" applyFont="1" applyFill="1" applyBorder="1"/>
    <xf numFmtId="10" fontId="15" fillId="0" borderId="1" xfId="7" applyNumberFormat="1" applyFont="1" applyFill="1" applyBorder="1"/>
    <xf numFmtId="5" fontId="24" fillId="0" borderId="0" xfId="5" applyNumberFormat="1" applyFont="1" applyFill="1" applyBorder="1"/>
    <xf numFmtId="5" fontId="15" fillId="0" borderId="21" xfId="5" applyNumberFormat="1" applyFont="1" applyFill="1" applyBorder="1"/>
    <xf numFmtId="5" fontId="15" fillId="0" borderId="1" xfId="5" applyNumberFormat="1" applyFont="1" applyFill="1" applyBorder="1"/>
    <xf numFmtId="7" fontId="15" fillId="0" borderId="21" xfId="5" applyNumberFormat="1" applyFont="1" applyFill="1" applyBorder="1"/>
    <xf numFmtId="7" fontId="15" fillId="0" borderId="1" xfId="5" applyNumberFormat="1" applyFont="1" applyFill="1" applyBorder="1"/>
    <xf numFmtId="39" fontId="13" fillId="0" borderId="0" xfId="5" applyNumberFormat="1" applyFont="1" applyFill="1" applyBorder="1" applyAlignment="1"/>
    <xf numFmtId="39" fontId="13" fillId="0" borderId="1" xfId="5" applyNumberFormat="1" applyFont="1" applyFill="1" applyBorder="1" applyAlignment="1"/>
    <xf numFmtId="0" fontId="43" fillId="0" borderId="0" xfId="4" applyFont="1"/>
    <xf numFmtId="9" fontId="43" fillId="0" borderId="0" xfId="7" applyFont="1" applyFill="1" applyBorder="1"/>
    <xf numFmtId="6" fontId="43" fillId="0" borderId="0" xfId="8" applyNumberFormat="1" applyFont="1" applyFill="1" applyBorder="1"/>
    <xf numFmtId="0" fontId="43" fillId="0" borderId="1" xfId="4" applyFont="1" applyBorder="1"/>
    <xf numFmtId="39" fontId="43" fillId="0" borderId="1" xfId="8" applyNumberFormat="1" applyFont="1" applyFill="1" applyBorder="1"/>
    <xf numFmtId="0" fontId="50" fillId="0" borderId="0" xfId="4" applyFont="1"/>
    <xf numFmtId="39" fontId="43" fillId="0" borderId="0" xfId="8" applyNumberFormat="1" applyFont="1" applyFill="1" applyBorder="1"/>
    <xf numFmtId="167" fontId="43" fillId="0" borderId="0" xfId="7" applyNumberFormat="1" applyFont="1" applyFill="1" applyBorder="1"/>
    <xf numFmtId="167" fontId="9" fillId="0" borderId="0" xfId="7" applyNumberFormat="1" applyFont="1" applyFill="1" applyBorder="1"/>
    <xf numFmtId="167" fontId="13" fillId="0" borderId="0" xfId="5" applyNumberFormat="1" applyFont="1" applyFill="1" applyBorder="1"/>
    <xf numFmtId="165" fontId="13" fillId="0" borderId="0" xfId="5" applyNumberFormat="1" applyFont="1" applyBorder="1"/>
    <xf numFmtId="165" fontId="19" fillId="0" borderId="0" xfId="5" applyNumberFormat="1" applyFont="1" applyBorder="1"/>
    <xf numFmtId="166" fontId="19" fillId="0" borderId="0" xfId="5" applyNumberFormat="1" applyFont="1" applyBorder="1"/>
    <xf numFmtId="167" fontId="9" fillId="0" borderId="0" xfId="7" applyNumberFormat="1" applyFont="1" applyBorder="1"/>
    <xf numFmtId="165" fontId="16" fillId="0" borderId="21" xfId="5" applyNumberFormat="1" applyFont="1" applyFill="1" applyBorder="1" applyAlignment="1">
      <alignment horizontal="left"/>
    </xf>
    <xf numFmtId="0" fontId="9" fillId="0" borderId="21" xfId="4" applyFont="1" applyBorder="1"/>
    <xf numFmtId="43" fontId="9" fillId="0" borderId="21" xfId="5" applyFont="1" applyFill="1" applyBorder="1" applyAlignment="1">
      <alignment horizontal="right"/>
    </xf>
    <xf numFmtId="176" fontId="9" fillId="0" borderId="0" xfId="4" applyNumberFormat="1" applyFont="1"/>
    <xf numFmtId="176" fontId="15" fillId="0" borderId="0" xfId="5" applyNumberFormat="1" applyFont="1" applyFill="1" applyBorder="1"/>
    <xf numFmtId="6" fontId="15" fillId="0" borderId="5" xfId="5" applyNumberFormat="1" applyFont="1" applyFill="1" applyBorder="1"/>
    <xf numFmtId="7" fontId="15" fillId="0" borderId="5" xfId="5" applyNumberFormat="1" applyFont="1" applyFill="1" applyBorder="1"/>
    <xf numFmtId="37" fontId="43" fillId="0" borderId="0" xfId="8" applyNumberFormat="1" applyFont="1" applyFill="1" applyBorder="1"/>
    <xf numFmtId="0" fontId="44" fillId="0" borderId="5" xfId="4" applyFont="1" applyBorder="1"/>
    <xf numFmtId="9" fontId="44" fillId="0" borderId="5" xfId="4" quotePrefix="1" applyNumberFormat="1" applyFont="1" applyBorder="1" applyAlignment="1">
      <alignment horizontal="center"/>
    </xf>
    <xf numFmtId="0" fontId="44" fillId="0" borderId="5" xfId="4" applyFont="1" applyBorder="1" applyAlignment="1">
      <alignment horizontal="center"/>
    </xf>
    <xf numFmtId="0" fontId="49" fillId="0" borderId="21" xfId="4" applyFont="1" applyBorder="1" applyAlignment="1">
      <alignment horizontal="right"/>
    </xf>
    <xf numFmtId="0" fontId="49" fillId="0" borderId="1" xfId="4" applyFont="1" applyBorder="1" applyAlignment="1">
      <alignment horizontal="right"/>
    </xf>
    <xf numFmtId="8" fontId="53" fillId="0" borderId="0" xfId="4" applyNumberFormat="1" applyFont="1"/>
    <xf numFmtId="8" fontId="53" fillId="0" borderId="0" xfId="8" applyNumberFormat="1" applyFont="1" applyBorder="1"/>
    <xf numFmtId="8" fontId="53" fillId="0" borderId="1" xfId="8" applyNumberFormat="1" applyFont="1" applyBorder="1"/>
    <xf numFmtId="0" fontId="3" fillId="0" borderId="0" xfId="0" applyFont="1"/>
    <xf numFmtId="0" fontId="53" fillId="0" borderId="21" xfId="0" applyFont="1" applyBorder="1" applyAlignment="1">
      <alignment wrapText="1"/>
    </xf>
    <xf numFmtId="0" fontId="63" fillId="0" borderId="0" xfId="4" applyFont="1"/>
    <xf numFmtId="7" fontId="53" fillId="4" borderId="21" xfId="8" applyNumberFormat="1" applyFont="1" applyFill="1" applyBorder="1" applyProtection="1">
      <protection locked="0"/>
    </xf>
    <xf numFmtId="0" fontId="53" fillId="0" borderId="0" xfId="0" applyFont="1" applyAlignment="1">
      <alignment wrapText="1"/>
    </xf>
    <xf numFmtId="2" fontId="43" fillId="4" borderId="0" xfId="4" applyNumberFormat="1" applyFont="1" applyFill="1"/>
    <xf numFmtId="39" fontId="53" fillId="0" borderId="0" xfId="8" applyNumberFormat="1" applyFont="1" applyFill="1" applyBorder="1" applyProtection="1">
      <protection locked="0"/>
    </xf>
    <xf numFmtId="0" fontId="3" fillId="4" borderId="0" xfId="4" applyFont="1" applyFill="1"/>
    <xf numFmtId="0" fontId="53" fillId="0" borderId="0" xfId="0" applyFont="1" applyAlignment="1">
      <alignment horizontal="left" vertical="top" wrapText="1"/>
    </xf>
    <xf numFmtId="165" fontId="53" fillId="4" borderId="0" xfId="6" applyNumberFormat="1" applyFont="1" applyFill="1" applyBorder="1" applyAlignment="1" applyProtection="1">
      <protection locked="0"/>
    </xf>
    <xf numFmtId="0" fontId="63" fillId="0" borderId="1" xfId="4" applyFont="1" applyBorder="1"/>
    <xf numFmtId="39" fontId="53" fillId="7" borderId="1" xfId="8" applyNumberFormat="1" applyFont="1" applyFill="1" applyBorder="1" applyProtection="1">
      <protection locked="0"/>
    </xf>
    <xf numFmtId="7" fontId="53" fillId="0" borderId="0" xfId="8" applyNumberFormat="1" applyFont="1" applyFill="1" applyBorder="1" applyProtection="1">
      <protection locked="0"/>
    </xf>
    <xf numFmtId="5" fontId="53" fillId="0" borderId="0" xfId="8" applyNumberFormat="1" applyFont="1" applyFill="1" applyBorder="1" applyProtection="1">
      <protection locked="0"/>
    </xf>
    <xf numFmtId="2" fontId="43" fillId="0" borderId="0" xfId="4" applyNumberFormat="1" applyFont="1"/>
    <xf numFmtId="37" fontId="53" fillId="0" borderId="0" xfId="8" applyNumberFormat="1" applyFont="1" applyFill="1" applyBorder="1" applyProtection="1">
      <protection locked="0"/>
    </xf>
    <xf numFmtId="0" fontId="3" fillId="0" borderId="0" xfId="4" applyFont="1"/>
    <xf numFmtId="165" fontId="53" fillId="0" borderId="0" xfId="6" applyNumberFormat="1" applyFont="1" applyFill="1" applyBorder="1" applyAlignment="1" applyProtection="1">
      <protection locked="0"/>
    </xf>
    <xf numFmtId="165" fontId="53" fillId="0" borderId="0" xfId="5" applyNumberFormat="1" applyFont="1"/>
    <xf numFmtId="0" fontId="52" fillId="0" borderId="0" xfId="0" applyFont="1"/>
    <xf numFmtId="0" fontId="56" fillId="0" borderId="0" xfId="0" applyFont="1"/>
    <xf numFmtId="0" fontId="65" fillId="0" borderId="0" xfId="9" applyFont="1"/>
    <xf numFmtId="44" fontId="64" fillId="0" borderId="0" xfId="8" applyFont="1" applyBorder="1"/>
    <xf numFmtId="44" fontId="64" fillId="0" borderId="0" xfId="8" applyFont="1" applyFill="1" applyBorder="1"/>
    <xf numFmtId="39" fontId="53" fillId="7" borderId="0" xfId="8" applyNumberFormat="1" applyFont="1" applyFill="1" applyBorder="1" applyAlignment="1" applyProtection="1">
      <alignment horizontal="right"/>
      <protection locked="0"/>
    </xf>
    <xf numFmtId="0" fontId="39" fillId="0" borderId="0" xfId="4" applyFont="1"/>
    <xf numFmtId="44" fontId="64" fillId="0" borderId="1" xfId="8" applyFont="1" applyBorder="1"/>
    <xf numFmtId="39" fontId="53" fillId="0" borderId="1" xfId="8" applyNumberFormat="1" applyFont="1" applyFill="1" applyBorder="1" applyAlignment="1" applyProtection="1">
      <alignment horizontal="right"/>
      <protection locked="0"/>
    </xf>
    <xf numFmtId="39" fontId="53" fillId="0" borderId="0" xfId="8" applyNumberFormat="1" applyFont="1" applyFill="1" applyBorder="1" applyAlignment="1" applyProtection="1">
      <alignment horizontal="right"/>
      <protection locked="0"/>
    </xf>
    <xf numFmtId="0" fontId="43" fillId="0" borderId="0" xfId="4" applyFont="1" applyAlignment="1">
      <alignment horizontal="right"/>
    </xf>
    <xf numFmtId="44" fontId="47" fillId="0" borderId="0" xfId="8" applyFont="1" applyBorder="1"/>
    <xf numFmtId="44" fontId="47" fillId="0" borderId="1" xfId="8" applyFont="1" applyBorder="1"/>
    <xf numFmtId="9" fontId="53" fillId="0" borderId="0" xfId="7" applyFont="1" applyFill="1" applyBorder="1" applyAlignment="1" applyProtection="1">
      <alignment horizontal="right"/>
      <protection locked="0"/>
    </xf>
    <xf numFmtId="2" fontId="43" fillId="0" borderId="0" xfId="4" applyNumberFormat="1" applyFont="1" applyAlignment="1">
      <alignment horizontal="right"/>
    </xf>
    <xf numFmtId="37" fontId="53" fillId="0" borderId="0" xfId="8" applyNumberFormat="1" applyFont="1" applyFill="1" applyBorder="1" applyAlignment="1" applyProtection="1">
      <alignment horizontal="right"/>
      <protection locked="0"/>
    </xf>
    <xf numFmtId="165" fontId="53" fillId="0" borderId="0" xfId="6" applyNumberFormat="1" applyFont="1" applyFill="1" applyBorder="1" applyAlignment="1" applyProtection="1">
      <alignment horizontal="right"/>
      <protection locked="0"/>
    </xf>
    <xf numFmtId="0" fontId="43" fillId="0" borderId="0" xfId="0" applyFont="1"/>
    <xf numFmtId="39" fontId="53" fillId="4" borderId="0" xfId="8" applyNumberFormat="1" applyFont="1" applyFill="1" applyBorder="1" applyAlignment="1" applyProtection="1">
      <alignment horizontal="right"/>
      <protection locked="0"/>
    </xf>
    <xf numFmtId="9" fontId="53" fillId="4" borderId="0" xfId="7" applyFont="1" applyFill="1" applyBorder="1" applyAlignment="1" applyProtection="1">
      <alignment horizontal="right"/>
      <protection locked="0"/>
    </xf>
    <xf numFmtId="37" fontId="53" fillId="4" borderId="0" xfId="8" applyNumberFormat="1" applyFont="1" applyFill="1" applyBorder="1" applyAlignment="1" applyProtection="1">
      <alignment horizontal="right"/>
      <protection locked="0"/>
    </xf>
    <xf numFmtId="165" fontId="53" fillId="4" borderId="0" xfId="6" applyNumberFormat="1" applyFont="1" applyFill="1" applyBorder="1" applyAlignment="1" applyProtection="1">
      <alignment horizontal="right"/>
      <protection locked="0"/>
    </xf>
    <xf numFmtId="7" fontId="53" fillId="4" borderId="21" xfId="8" applyNumberFormat="1" applyFont="1" applyFill="1" applyBorder="1" applyAlignment="1" applyProtection="1">
      <alignment horizontal="right"/>
      <protection locked="0"/>
    </xf>
    <xf numFmtId="7" fontId="53" fillId="4" borderId="0" xfId="8" applyNumberFormat="1" applyFont="1" applyFill="1" applyBorder="1" applyAlignment="1" applyProtection="1">
      <alignment horizontal="right"/>
      <protection locked="0"/>
    </xf>
    <xf numFmtId="5" fontId="53" fillId="4" borderId="0" xfId="8" applyNumberFormat="1" applyFont="1" applyFill="1" applyBorder="1" applyAlignment="1" applyProtection="1">
      <alignment horizontal="right"/>
      <protection locked="0"/>
    </xf>
    <xf numFmtId="0" fontId="49" fillId="0" borderId="0" xfId="4" applyFont="1"/>
    <xf numFmtId="8" fontId="49" fillId="0" borderId="0" xfId="4" applyNumberFormat="1" applyFont="1"/>
    <xf numFmtId="8" fontId="49" fillId="0" borderId="0" xfId="8" applyNumberFormat="1" applyFont="1" applyBorder="1"/>
    <xf numFmtId="8" fontId="49" fillId="0" borderId="1" xfId="8" applyNumberFormat="1" applyFont="1" applyBorder="1"/>
    <xf numFmtId="170" fontId="12" fillId="0" borderId="0" xfId="4" applyNumberFormat="1" applyFont="1"/>
    <xf numFmtId="165" fontId="9" fillId="0" borderId="0" xfId="6" applyNumberFormat="1" applyFont="1" applyFill="1" applyBorder="1"/>
    <xf numFmtId="165" fontId="19" fillId="0" borderId="0" xfId="5" applyNumberFormat="1" applyFont="1" applyFill="1" applyBorder="1"/>
    <xf numFmtId="166" fontId="19" fillId="0" borderId="0" xfId="5" applyNumberFormat="1" applyFont="1" applyFill="1" applyBorder="1"/>
    <xf numFmtId="39" fontId="29" fillId="0" borderId="0" xfId="4" applyNumberFormat="1" applyFont="1"/>
    <xf numFmtId="39" fontId="13" fillId="0" borderId="0" xfId="4" applyNumberFormat="1" applyFont="1"/>
    <xf numFmtId="39" fontId="13" fillId="0" borderId="0" xfId="8" applyNumberFormat="1" applyFont="1" applyFill="1" applyBorder="1"/>
    <xf numFmtId="165" fontId="55" fillId="0" borderId="0" xfId="5" applyNumberFormat="1" applyFont="1" applyFill="1" applyBorder="1" applyAlignment="1">
      <alignment horizontal="right"/>
    </xf>
    <xf numFmtId="165" fontId="55" fillId="0" borderId="0" xfId="5" applyNumberFormat="1" applyFont="1" applyFill="1" applyBorder="1" applyAlignment="1">
      <alignment horizontal="right" wrapText="1"/>
    </xf>
    <xf numFmtId="165" fontId="40" fillId="0" borderId="5" xfId="5" applyNumberFormat="1" applyFont="1" applyFill="1" applyBorder="1" applyAlignment="1">
      <alignment horizontal="left"/>
    </xf>
    <xf numFmtId="165" fontId="53" fillId="0" borderId="0" xfId="5" applyNumberFormat="1" applyFont="1" applyFill="1" applyBorder="1"/>
    <xf numFmtId="165" fontId="47" fillId="0" borderId="0" xfId="5" applyNumberFormat="1" applyFont="1" applyFill="1" applyBorder="1" applyAlignment="1">
      <alignment horizontal="left"/>
    </xf>
    <xf numFmtId="165" fontId="53" fillId="0" borderId="0" xfId="5" applyNumberFormat="1" applyFont="1" applyFill="1" applyBorder="1" applyAlignment="1"/>
    <xf numFmtId="43" fontId="53" fillId="0" borderId="0" xfId="5" applyFont="1" applyFill="1" applyBorder="1" applyAlignment="1">
      <alignment horizontal="center"/>
    </xf>
    <xf numFmtId="43" fontId="53" fillId="0" borderId="0" xfId="5" applyFont="1" applyFill="1" applyBorder="1"/>
    <xf numFmtId="167" fontId="53" fillId="0" borderId="0" xfId="7" applyNumberFormat="1" applyFont="1" applyFill="1" applyBorder="1"/>
    <xf numFmtId="165" fontId="52" fillId="0" borderId="0" xfId="5" applyNumberFormat="1" applyFont="1" applyFill="1" applyBorder="1" applyAlignment="1">
      <alignment horizontal="right" vertical="top"/>
    </xf>
    <xf numFmtId="165" fontId="52" fillId="0" borderId="0" xfId="5" applyNumberFormat="1" applyFont="1" applyFill="1" applyBorder="1"/>
    <xf numFmtId="43" fontId="52" fillId="0" borderId="0" xfId="5" applyFont="1" applyFill="1" applyBorder="1"/>
    <xf numFmtId="167" fontId="52" fillId="0" borderId="0" xfId="7" applyNumberFormat="1" applyFont="1" applyFill="1" applyBorder="1"/>
    <xf numFmtId="43" fontId="52" fillId="0" borderId="0" xfId="5" applyFont="1" applyFill="1" applyBorder="1" applyAlignment="1">
      <alignment horizontal="center"/>
    </xf>
    <xf numFmtId="9" fontId="52" fillId="0" borderId="0" xfId="7" applyFont="1" applyFill="1" applyBorder="1"/>
    <xf numFmtId="165" fontId="40" fillId="0" borderId="5" xfId="5" applyNumberFormat="1" applyFont="1" applyFill="1" applyBorder="1"/>
    <xf numFmtId="167" fontId="3" fillId="0" borderId="0" xfId="4" applyNumberFormat="1" applyFont="1"/>
    <xf numFmtId="0" fontId="53" fillId="0" borderId="0" xfId="0" applyFont="1" applyAlignment="1">
      <alignment horizontal="left" indent="1"/>
    </xf>
    <xf numFmtId="170" fontId="53" fillId="0" borderId="0" xfId="6" applyNumberFormat="1" applyFont="1" applyFill="1" applyBorder="1" applyAlignment="1"/>
    <xf numFmtId="170" fontId="43" fillId="0" borderId="0" xfId="4" applyNumberFormat="1" applyFont="1"/>
    <xf numFmtId="165" fontId="53" fillId="0" borderId="0" xfId="6" applyNumberFormat="1" applyFont="1" applyFill="1" applyBorder="1" applyAlignment="1"/>
    <xf numFmtId="166" fontId="53" fillId="0" borderId="0" xfId="5" applyNumberFormat="1" applyFont="1" applyFill="1" applyBorder="1" applyAlignment="1"/>
    <xf numFmtId="9" fontId="53" fillId="0" borderId="0" xfId="5" applyNumberFormat="1" applyFont="1" applyFill="1" applyBorder="1" applyAlignment="1">
      <alignment horizontal="right"/>
    </xf>
    <xf numFmtId="167" fontId="53" fillId="0" borderId="0" xfId="7" applyNumberFormat="1" applyFont="1" applyFill="1" applyBorder="1" applyAlignment="1">
      <alignment horizontal="right"/>
    </xf>
    <xf numFmtId="165" fontId="40" fillId="0" borderId="0" xfId="5" applyNumberFormat="1" applyFont="1" applyFill="1" applyBorder="1" applyAlignment="1">
      <alignment horizontal="right"/>
    </xf>
    <xf numFmtId="165" fontId="44" fillId="0" borderId="0" xfId="5" applyNumberFormat="1" applyFont="1" applyFill="1" applyBorder="1"/>
    <xf numFmtId="165" fontId="44" fillId="0" borderId="0" xfId="5" applyNumberFormat="1" applyFont="1" applyFill="1" applyBorder="1" applyAlignment="1">
      <alignment horizontal="right"/>
    </xf>
    <xf numFmtId="165" fontId="40" fillId="0" borderId="0" xfId="5" applyNumberFormat="1" applyFont="1" applyFill="1" applyBorder="1" applyAlignment="1">
      <alignment horizontal="left"/>
    </xf>
    <xf numFmtId="165" fontId="40" fillId="0" borderId="0" xfId="5" applyNumberFormat="1" applyFont="1" applyFill="1" applyBorder="1" applyAlignment="1">
      <alignment horizontal="right" wrapText="1"/>
    </xf>
    <xf numFmtId="165" fontId="59" fillId="0" borderId="0" xfId="5" applyNumberFormat="1" applyFont="1" applyFill="1" applyBorder="1" applyAlignment="1"/>
    <xf numFmtId="165" fontId="53" fillId="0" borderId="0" xfId="5" applyNumberFormat="1" applyFont="1" applyFill="1" applyBorder="1" applyAlignment="1">
      <alignment horizontal="center"/>
    </xf>
    <xf numFmtId="167" fontId="53" fillId="0" borderId="0" xfId="5" applyNumberFormat="1" applyFont="1" applyFill="1" applyBorder="1"/>
    <xf numFmtId="165" fontId="47" fillId="0" borderId="0" xfId="5" applyNumberFormat="1" applyFont="1" applyFill="1" applyBorder="1" applyAlignment="1">
      <alignment horizontal="right"/>
    </xf>
    <xf numFmtId="165" fontId="3" fillId="0" borderId="0" xfId="6" applyNumberFormat="1" applyFont="1" applyFill="1" applyBorder="1"/>
    <xf numFmtId="165" fontId="61" fillId="0" borderId="0" xfId="5" applyNumberFormat="1" applyFont="1" applyFill="1" applyBorder="1" applyAlignment="1">
      <alignment horizontal="center"/>
    </xf>
    <xf numFmtId="165" fontId="59" fillId="0" borderId="0" xfId="5" applyNumberFormat="1" applyFont="1" applyFill="1" applyBorder="1"/>
    <xf numFmtId="166" fontId="59" fillId="0" borderId="0" xfId="5" applyNumberFormat="1" applyFont="1" applyFill="1" applyBorder="1"/>
    <xf numFmtId="0" fontId="41" fillId="0" borderId="0" xfId="4" applyFont="1"/>
    <xf numFmtId="44" fontId="41" fillId="0" borderId="0" xfId="8" applyFont="1" applyFill="1" applyBorder="1"/>
    <xf numFmtId="165" fontId="44" fillId="0" borderId="5" xfId="5" applyNumberFormat="1" applyFont="1" applyFill="1" applyBorder="1" applyAlignment="1">
      <alignment horizontal="left"/>
    </xf>
    <xf numFmtId="165" fontId="44" fillId="0" borderId="5" xfId="5" applyNumberFormat="1" applyFont="1" applyFill="1" applyBorder="1" applyAlignment="1">
      <alignment horizontal="right"/>
    </xf>
    <xf numFmtId="165" fontId="44" fillId="0" borderId="5" xfId="5" applyNumberFormat="1" applyFont="1" applyFill="1" applyBorder="1" applyAlignment="1">
      <alignment horizontal="right" wrapText="1"/>
    </xf>
    <xf numFmtId="165" fontId="44" fillId="0" borderId="5" xfId="5" applyNumberFormat="1" applyFont="1" applyFill="1" applyBorder="1"/>
    <xf numFmtId="7" fontId="53" fillId="0" borderId="0" xfId="5" applyNumberFormat="1" applyFont="1" applyFill="1" applyBorder="1" applyAlignment="1">
      <alignment horizontal="right"/>
    </xf>
    <xf numFmtId="176" fontId="53" fillId="0" borderId="0" xfId="5" applyNumberFormat="1" applyFont="1" applyFill="1" applyBorder="1" applyAlignment="1">
      <alignment horizontal="right"/>
    </xf>
    <xf numFmtId="176" fontId="43" fillId="0" borderId="0" xfId="4" applyNumberFormat="1" applyFont="1" applyAlignment="1">
      <alignment horizontal="right"/>
    </xf>
    <xf numFmtId="5" fontId="53" fillId="0" borderId="0" xfId="5" applyNumberFormat="1" applyFont="1" applyFill="1" applyBorder="1"/>
    <xf numFmtId="5" fontId="52" fillId="0" borderId="0" xfId="5" applyNumberFormat="1" applyFont="1" applyFill="1" applyBorder="1"/>
    <xf numFmtId="7" fontId="53" fillId="0" borderId="0" xfId="5" applyNumberFormat="1" applyFont="1" applyFill="1" applyBorder="1"/>
    <xf numFmtId="7" fontId="52" fillId="0" borderId="0" xfId="5" applyNumberFormat="1" applyFont="1" applyFill="1" applyBorder="1"/>
    <xf numFmtId="43" fontId="48" fillId="0" borderId="0" xfId="5" applyFont="1" applyFill="1" applyBorder="1" applyAlignment="1">
      <alignment horizontal="right"/>
    </xf>
    <xf numFmtId="43" fontId="52" fillId="0" borderId="0" xfId="5" applyFont="1" applyFill="1" applyBorder="1" applyAlignment="1">
      <alignment horizontal="right"/>
    </xf>
    <xf numFmtId="43" fontId="43" fillId="0" borderId="0" xfId="5" applyFont="1" applyFill="1" applyBorder="1" applyAlignment="1">
      <alignment horizontal="right"/>
    </xf>
    <xf numFmtId="10" fontId="43" fillId="0" borderId="0" xfId="7" applyNumberFormat="1" applyFont="1" applyFill="1" applyBorder="1"/>
    <xf numFmtId="165" fontId="62" fillId="0" borderId="0" xfId="5" applyNumberFormat="1" applyFont="1" applyFill="1" applyBorder="1" applyAlignment="1">
      <alignment horizontal="center"/>
    </xf>
    <xf numFmtId="165" fontId="53" fillId="0" borderId="0" xfId="5" applyNumberFormat="1" applyFont="1" applyFill="1" applyBorder="1" applyAlignment="1">
      <alignment horizontal="left"/>
    </xf>
    <xf numFmtId="165" fontId="44" fillId="0" borderId="0" xfId="6" applyNumberFormat="1" applyFont="1" applyFill="1" applyBorder="1" applyAlignment="1">
      <alignment horizontal="right"/>
    </xf>
    <xf numFmtId="7" fontId="13" fillId="0" borderId="1" xfId="5" applyNumberFormat="1" applyFont="1" applyFill="1" applyBorder="1" applyAlignment="1">
      <alignment horizontal="right"/>
    </xf>
    <xf numFmtId="0" fontId="20" fillId="0" borderId="1" xfId="4" applyFont="1" applyBorder="1"/>
    <xf numFmtId="167" fontId="15" fillId="0" borderId="5" xfId="7" applyNumberFormat="1" applyFont="1" applyFill="1" applyBorder="1"/>
    <xf numFmtId="165" fontId="15" fillId="0" borderId="5" xfId="5" applyNumberFormat="1" applyFont="1" applyFill="1" applyBorder="1"/>
    <xf numFmtId="43" fontId="15" fillId="0" borderId="5" xfId="5" applyFont="1" applyFill="1" applyBorder="1"/>
    <xf numFmtId="10" fontId="15" fillId="0" borderId="5" xfId="7" applyNumberFormat="1" applyFont="1" applyFill="1" applyBorder="1"/>
    <xf numFmtId="165" fontId="40" fillId="0" borderId="1" xfId="5" applyNumberFormat="1" applyFont="1" applyFill="1" applyBorder="1" applyAlignment="1">
      <alignment horizontal="right"/>
    </xf>
    <xf numFmtId="165" fontId="52" fillId="0" borderId="1" xfId="5" applyNumberFormat="1" applyFont="1" applyFill="1" applyBorder="1"/>
    <xf numFmtId="167" fontId="52" fillId="0" borderId="1" xfId="5" applyNumberFormat="1" applyFont="1" applyFill="1" applyBorder="1"/>
    <xf numFmtId="165" fontId="47" fillId="0" borderId="1" xfId="5" applyNumberFormat="1" applyFont="1" applyFill="1" applyBorder="1" applyAlignment="1">
      <alignment horizontal="right"/>
    </xf>
    <xf numFmtId="43" fontId="53" fillId="0" borderId="1" xfId="5" applyFont="1" applyFill="1" applyBorder="1"/>
    <xf numFmtId="165" fontId="3" fillId="0" borderId="1" xfId="6" applyNumberFormat="1" applyFont="1" applyFill="1" applyBorder="1"/>
    <xf numFmtId="165" fontId="44" fillId="0" borderId="1" xfId="6" applyNumberFormat="1" applyFont="1" applyFill="1" applyBorder="1" applyAlignment="1">
      <alignment horizontal="right"/>
    </xf>
    <xf numFmtId="6" fontId="53" fillId="0" borderId="1" xfId="5" applyNumberFormat="1" applyFont="1" applyFill="1" applyBorder="1"/>
    <xf numFmtId="165" fontId="44" fillId="0" borderId="21" xfId="5" applyNumberFormat="1" applyFont="1" applyFill="1" applyBorder="1" applyAlignment="1">
      <alignment horizontal="left"/>
    </xf>
    <xf numFmtId="165" fontId="40" fillId="0" borderId="21" xfId="5" applyNumberFormat="1" applyFont="1" applyFill="1" applyBorder="1" applyAlignment="1">
      <alignment horizontal="right"/>
    </xf>
    <xf numFmtId="167" fontId="52" fillId="0" borderId="21" xfId="7" applyNumberFormat="1" applyFont="1" applyFill="1" applyBorder="1"/>
    <xf numFmtId="165" fontId="44" fillId="0" borderId="1" xfId="5" applyNumberFormat="1" applyFont="1" applyFill="1" applyBorder="1" applyAlignment="1">
      <alignment horizontal="left"/>
    </xf>
    <xf numFmtId="167" fontId="52" fillId="0" borderId="1" xfId="7" applyNumberFormat="1" applyFont="1" applyFill="1" applyBorder="1"/>
    <xf numFmtId="167" fontId="53" fillId="0" borderId="1" xfId="7" applyNumberFormat="1" applyFont="1" applyFill="1" applyBorder="1"/>
    <xf numFmtId="5" fontId="53" fillId="0" borderId="1" xfId="5" applyNumberFormat="1" applyFont="1" applyFill="1" applyBorder="1"/>
    <xf numFmtId="7" fontId="53" fillId="0" borderId="1" xfId="5" applyNumberFormat="1" applyFont="1" applyFill="1" applyBorder="1"/>
    <xf numFmtId="5" fontId="44" fillId="0" borderId="0" xfId="5" applyNumberFormat="1" applyFont="1" applyFill="1" applyBorder="1"/>
    <xf numFmtId="5" fontId="52" fillId="0" borderId="21" xfId="5" applyNumberFormat="1" applyFont="1" applyFill="1" applyBorder="1"/>
    <xf numFmtId="5" fontId="52" fillId="0" borderId="1" xfId="5" applyNumberFormat="1" applyFont="1" applyFill="1" applyBorder="1"/>
    <xf numFmtId="7" fontId="52" fillId="0" borderId="21" xfId="5" applyNumberFormat="1" applyFont="1" applyFill="1" applyBorder="1"/>
    <xf numFmtId="7" fontId="52" fillId="0" borderId="1" xfId="5" applyNumberFormat="1" applyFont="1" applyFill="1" applyBorder="1"/>
    <xf numFmtId="173" fontId="13" fillId="0" borderId="0" xfId="8" applyNumberFormat="1" applyFont="1" applyFill="1" applyBorder="1" applyProtection="1">
      <protection locked="0"/>
    </xf>
    <xf numFmtId="0" fontId="66" fillId="0" borderId="0" xfId="0" applyFont="1"/>
    <xf numFmtId="173" fontId="53" fillId="0" borderId="0" xfId="8" applyNumberFormat="1" applyFont="1" applyFill="1" applyBorder="1" applyProtection="1">
      <protection locked="0"/>
    </xf>
    <xf numFmtId="176" fontId="49" fillId="0" borderId="0" xfId="4" applyNumberFormat="1" applyFont="1"/>
    <xf numFmtId="176" fontId="49" fillId="0" borderId="0" xfId="8" applyNumberFormat="1" applyFont="1" applyBorder="1"/>
    <xf numFmtId="176" fontId="49" fillId="0" borderId="1" xfId="8" applyNumberFormat="1" applyFont="1" applyBorder="1"/>
    <xf numFmtId="10" fontId="9" fillId="0" borderId="0" xfId="7" applyNumberFormat="1" applyFont="1" applyFill="1" applyBorder="1" applyAlignment="1">
      <alignment horizontal="right"/>
    </xf>
    <xf numFmtId="165" fontId="13" fillId="0" borderId="0" xfId="5" applyNumberFormat="1" applyFont="1" applyFill="1" applyBorder="1" applyAlignment="1">
      <alignment horizontal="left" indent="1"/>
    </xf>
    <xf numFmtId="176" fontId="12" fillId="0" borderId="0" xfId="4" applyNumberFormat="1" applyFont="1" applyAlignment="1">
      <alignment horizontal="right"/>
    </xf>
    <xf numFmtId="176" fontId="11" fillId="0" borderId="0" xfId="5" applyNumberFormat="1" applyFont="1" applyFill="1" applyBorder="1" applyAlignment="1">
      <alignment horizontal="right"/>
    </xf>
    <xf numFmtId="165" fontId="9" fillId="0" borderId="1" xfId="6" applyNumberFormat="1" applyFont="1" applyFill="1" applyBorder="1"/>
    <xf numFmtId="9" fontId="44" fillId="0" borderId="5" xfId="4" quotePrefix="1" applyNumberFormat="1" applyFont="1" applyBorder="1" applyAlignment="1">
      <alignment horizontal="right"/>
    </xf>
    <xf numFmtId="0" fontId="44" fillId="0" borderId="5" xfId="4" applyFont="1" applyBorder="1" applyAlignment="1">
      <alignment horizontal="right"/>
    </xf>
    <xf numFmtId="39" fontId="53" fillId="4" borderId="21" xfId="8" applyNumberFormat="1" applyFont="1" applyFill="1" applyBorder="1" applyProtection="1">
      <protection locked="0"/>
    </xf>
    <xf numFmtId="173" fontId="53" fillId="4" borderId="0" xfId="8" applyNumberFormat="1" applyFont="1" applyFill="1" applyBorder="1" applyProtection="1">
      <protection locked="0"/>
    </xf>
    <xf numFmtId="0" fontId="43" fillId="4" borderId="0" xfId="4" applyFont="1" applyFill="1"/>
    <xf numFmtId="5" fontId="53" fillId="4" borderId="0" xfId="5" applyNumberFormat="1" applyFont="1" applyFill="1" applyBorder="1" applyProtection="1">
      <protection locked="0"/>
    </xf>
    <xf numFmtId="5" fontId="13" fillId="4" borderId="0" xfId="5" applyNumberFormat="1" applyFont="1" applyFill="1" applyBorder="1" applyProtection="1">
      <protection locked="0"/>
    </xf>
    <xf numFmtId="167" fontId="40" fillId="0" borderId="0" xfId="5" applyNumberFormat="1" applyFont="1" applyFill="1" applyBorder="1" applyAlignment="1">
      <alignment horizontal="right"/>
    </xf>
    <xf numFmtId="165" fontId="53" fillId="0" borderId="0" xfId="5" applyNumberFormat="1" applyFont="1" applyFill="1" applyBorder="1" applyAlignment="1">
      <alignment horizontal="left" indent="1"/>
    </xf>
    <xf numFmtId="10" fontId="53" fillId="0" borderId="0" xfId="7" applyNumberFormat="1" applyFont="1" applyFill="1" applyBorder="1" applyAlignment="1">
      <alignment horizontal="right"/>
    </xf>
    <xf numFmtId="165" fontId="53" fillId="0" borderId="0" xfId="5" applyNumberFormat="1" applyFont="1" applyBorder="1"/>
    <xf numFmtId="165" fontId="59" fillId="0" borderId="0" xfId="5" applyNumberFormat="1" applyFont="1" applyBorder="1"/>
    <xf numFmtId="166" fontId="59" fillId="0" borderId="0" xfId="5" applyNumberFormat="1" applyFont="1" applyBorder="1"/>
    <xf numFmtId="44" fontId="41" fillId="0" borderId="0" xfId="8" applyFont="1" applyBorder="1"/>
    <xf numFmtId="165" fontId="43" fillId="0" borderId="0" xfId="6" applyNumberFormat="1" applyFont="1" applyBorder="1"/>
    <xf numFmtId="165" fontId="44" fillId="0" borderId="0" xfId="6" applyNumberFormat="1" applyFont="1" applyBorder="1" applyAlignment="1">
      <alignment horizontal="right"/>
    </xf>
    <xf numFmtId="10" fontId="43" fillId="0" borderId="0" xfId="7" applyNumberFormat="1" applyFont="1" applyBorder="1"/>
    <xf numFmtId="0" fontId="3" fillId="0" borderId="1" xfId="4" applyFont="1" applyBorder="1"/>
    <xf numFmtId="165" fontId="40" fillId="0" borderId="1" xfId="6" applyNumberFormat="1" applyFont="1" applyBorder="1" applyAlignment="1">
      <alignment horizontal="right"/>
    </xf>
    <xf numFmtId="165" fontId="44" fillId="0" borderId="21" xfId="5" applyNumberFormat="1" applyFont="1" applyFill="1" applyBorder="1" applyAlignment="1">
      <alignment horizontal="right"/>
    </xf>
    <xf numFmtId="165" fontId="44" fillId="0" borderId="1" xfId="5" applyNumberFormat="1" applyFont="1" applyFill="1" applyBorder="1" applyAlignment="1">
      <alignment horizontal="right"/>
    </xf>
    <xf numFmtId="165" fontId="43" fillId="0" borderId="1" xfId="6" applyNumberFormat="1" applyFont="1" applyBorder="1"/>
    <xf numFmtId="0" fontId="53" fillId="0" borderId="5" xfId="0" applyFont="1" applyBorder="1" applyAlignment="1">
      <alignment horizontal="right"/>
    </xf>
    <xf numFmtId="8" fontId="29" fillId="0" borderId="0" xfId="4" applyNumberFormat="1" applyFont="1"/>
    <xf numFmtId="8" fontId="29" fillId="0" borderId="0" xfId="8" applyNumberFormat="1" applyFont="1" applyBorder="1"/>
    <xf numFmtId="8" fontId="29" fillId="0" borderId="1" xfId="8" applyNumberFormat="1" applyFont="1" applyBorder="1"/>
    <xf numFmtId="0" fontId="52" fillId="3" borderId="12" xfId="0" applyFont="1" applyFill="1" applyBorder="1" applyAlignment="1">
      <alignment horizontal="center"/>
    </xf>
    <xf numFmtId="0" fontId="53" fillId="3" borderId="0" xfId="0" applyFont="1" applyFill="1"/>
    <xf numFmtId="0" fontId="51" fillId="0" borderId="0" xfId="0" applyFont="1" applyAlignment="1">
      <alignment horizontal="center"/>
    </xf>
    <xf numFmtId="0" fontId="52" fillId="0" borderId="0" xfId="0" applyFont="1" applyAlignment="1">
      <alignment horizontal="center"/>
    </xf>
    <xf numFmtId="165" fontId="52" fillId="0" borderId="5" xfId="5" applyNumberFormat="1" applyFont="1" applyFill="1" applyBorder="1" applyAlignment="1" applyProtection="1">
      <alignment horizontal="left"/>
    </xf>
    <xf numFmtId="165" fontId="52" fillId="0" borderId="5" xfId="5" applyNumberFormat="1" applyFont="1" applyFill="1" applyBorder="1" applyAlignment="1" applyProtection="1">
      <alignment horizontal="right"/>
    </xf>
    <xf numFmtId="165" fontId="54" fillId="0" borderId="0" xfId="5" applyNumberFormat="1" applyFont="1" applyFill="1" applyBorder="1" applyAlignment="1" applyProtection="1">
      <alignment horizontal="right"/>
    </xf>
    <xf numFmtId="0" fontId="52" fillId="0" borderId="5" xfId="0" applyFont="1" applyBorder="1" applyAlignment="1">
      <alignment horizontal="left"/>
    </xf>
    <xf numFmtId="0" fontId="52" fillId="0" borderId="5" xfId="0" applyFont="1" applyBorder="1" applyAlignment="1">
      <alignment horizontal="right"/>
    </xf>
    <xf numFmtId="165" fontId="46" fillId="0" borderId="0" xfId="5" applyNumberFormat="1" applyFont="1" applyFill="1" applyBorder="1" applyAlignment="1" applyProtection="1">
      <alignment horizontal="center"/>
    </xf>
    <xf numFmtId="0" fontId="53" fillId="0" borderId="0" xfId="0" applyFont="1" applyAlignment="1">
      <alignment horizontal="left"/>
    </xf>
    <xf numFmtId="0" fontId="47" fillId="0" borderId="0" xfId="0" applyFont="1"/>
    <xf numFmtId="44" fontId="53" fillId="0" borderId="0" xfId="8" applyFont="1" applyFill="1" applyBorder="1" applyProtection="1"/>
    <xf numFmtId="0" fontId="53" fillId="0" borderId="0" xfId="0" applyFont="1" applyAlignment="1">
      <alignment horizontal="center"/>
    </xf>
    <xf numFmtId="0" fontId="52" fillId="0" borderId="5" xfId="0" applyFont="1" applyBorder="1"/>
    <xf numFmtId="0" fontId="53" fillId="0" borderId="0" xfId="0" applyFont="1" applyAlignment="1">
      <alignment horizontal="left" indent="2"/>
    </xf>
    <xf numFmtId="0" fontId="57" fillId="0" borderId="0" xfId="0" applyFont="1"/>
    <xf numFmtId="168" fontId="53" fillId="0" borderId="0" xfId="8" applyNumberFormat="1" applyFont="1" applyFill="1" applyBorder="1" applyProtection="1"/>
    <xf numFmtId="0" fontId="53" fillId="0" borderId="1" xfId="0" applyFont="1" applyBorder="1" applyAlignment="1">
      <alignment horizontal="left" indent="2"/>
    </xf>
    <xf numFmtId="10" fontId="53" fillId="0" borderId="0" xfId="8" applyNumberFormat="1" applyFont="1" applyFill="1" applyBorder="1" applyProtection="1"/>
    <xf numFmtId="0" fontId="55" fillId="0" borderId="0" xfId="0" applyFont="1" applyAlignment="1">
      <alignment horizontal="center"/>
    </xf>
    <xf numFmtId="0" fontId="48" fillId="0" borderId="5" xfId="0" applyFont="1" applyBorder="1"/>
    <xf numFmtId="0" fontId="48" fillId="0" borderId="5" xfId="0" applyFont="1" applyBorder="1" applyAlignment="1">
      <alignment horizontal="right"/>
    </xf>
    <xf numFmtId="0" fontId="48" fillId="0" borderId="5" xfId="0" applyFont="1" applyBorder="1" applyAlignment="1">
      <alignment horizontal="right" wrapText="1"/>
    </xf>
    <xf numFmtId="0" fontId="52" fillId="0" borderId="5" xfId="0" applyFont="1" applyBorder="1" applyAlignment="1">
      <alignment horizontal="center"/>
    </xf>
    <xf numFmtId="5" fontId="53" fillId="0" borderId="0" xfId="8" applyNumberFormat="1" applyFont="1" applyBorder="1" applyProtection="1"/>
    <xf numFmtId="165" fontId="53" fillId="0" borderId="0" xfId="6" applyNumberFormat="1" applyFont="1" applyFill="1" applyBorder="1" applyProtection="1"/>
    <xf numFmtId="9" fontId="53" fillId="0" borderId="0" xfId="7" applyFont="1" applyBorder="1" applyProtection="1"/>
    <xf numFmtId="175" fontId="53" fillId="0" borderId="0" xfId="0" applyNumberFormat="1" applyFont="1"/>
    <xf numFmtId="165" fontId="53" fillId="0" borderId="0" xfId="6" applyNumberFormat="1" applyFont="1" applyBorder="1" applyProtection="1"/>
    <xf numFmtId="175" fontId="53" fillId="0" borderId="0" xfId="8" applyNumberFormat="1" applyFont="1" applyBorder="1" applyProtection="1"/>
    <xf numFmtId="9" fontId="53" fillId="0" borderId="0" xfId="7" applyFont="1" applyFill="1" applyBorder="1" applyProtection="1"/>
    <xf numFmtId="165" fontId="53" fillId="0" borderId="0" xfId="7" applyNumberFormat="1" applyFont="1" applyFill="1" applyBorder="1" applyProtection="1"/>
    <xf numFmtId="0" fontId="53" fillId="0" borderId="0" xfId="6" applyNumberFormat="1" applyFont="1" applyFill="1" applyBorder="1" applyProtection="1"/>
    <xf numFmtId="0" fontId="60" fillId="0" borderId="0" xfId="9" applyFont="1" applyProtection="1"/>
    <xf numFmtId="165" fontId="53" fillId="0" borderId="1" xfId="6" applyNumberFormat="1" applyFont="1" applyBorder="1" applyProtection="1"/>
    <xf numFmtId="0" fontId="47" fillId="0" borderId="1" xfId="0" applyFont="1" applyBorder="1"/>
    <xf numFmtId="5" fontId="53" fillId="0" borderId="1" xfId="8" applyNumberFormat="1" applyFont="1" applyBorder="1" applyProtection="1"/>
    <xf numFmtId="175" fontId="53" fillId="0" borderId="1" xfId="8" applyNumberFormat="1" applyFont="1" applyBorder="1" applyProtection="1"/>
    <xf numFmtId="0" fontId="43" fillId="7" borderId="0" xfId="0" applyFont="1" applyFill="1"/>
    <xf numFmtId="0" fontId="43" fillId="0" borderId="0" xfId="0" applyFont="1" applyAlignment="1">
      <alignment wrapText="1"/>
    </xf>
    <xf numFmtId="0" fontId="50" fillId="0" borderId="0" xfId="0" applyFont="1" applyAlignment="1">
      <alignment wrapText="1"/>
    </xf>
    <xf numFmtId="5" fontId="53" fillId="0" borderId="0" xfId="0" applyNumberFormat="1" applyFont="1"/>
    <xf numFmtId="0" fontId="44" fillId="0" borderId="21" xfId="4" applyFont="1" applyBorder="1" applyAlignment="1">
      <alignment horizontal="left"/>
    </xf>
    <xf numFmtId="0" fontId="13" fillId="0" borderId="21" xfId="0" applyFont="1" applyBorder="1"/>
    <xf numFmtId="0" fontId="52" fillId="0" borderId="21" xfId="0" applyFont="1" applyBorder="1" applyAlignment="1">
      <alignment horizontal="right"/>
    </xf>
    <xf numFmtId="5" fontId="44" fillId="0" borderId="21" xfId="0" applyNumberFormat="1" applyFont="1" applyBorder="1"/>
    <xf numFmtId="165" fontId="44" fillId="0" borderId="21" xfId="0" applyNumberFormat="1" applyFont="1" applyBorder="1" applyAlignment="1">
      <alignment horizontal="right"/>
    </xf>
    <xf numFmtId="0" fontId="44" fillId="0" borderId="1" xfId="4" applyFont="1" applyBorder="1" applyAlignment="1">
      <alignment horizontal="left"/>
    </xf>
    <xf numFmtId="0" fontId="52" fillId="0" borderId="1" xfId="0" applyFont="1" applyBorder="1" applyAlignment="1">
      <alignment horizontal="right"/>
    </xf>
    <xf numFmtId="5" fontId="44" fillId="0" borderId="1" xfId="0" applyNumberFormat="1" applyFont="1" applyBorder="1"/>
    <xf numFmtId="165" fontId="44" fillId="0" borderId="1" xfId="0" applyNumberFormat="1" applyFont="1" applyBorder="1" applyAlignment="1">
      <alignment horizontal="right"/>
    </xf>
    <xf numFmtId="0" fontId="2" fillId="0" borderId="0" xfId="0" applyFont="1"/>
    <xf numFmtId="0" fontId="56" fillId="0" borderId="5" xfId="0" applyFont="1" applyBorder="1"/>
    <xf numFmtId="2" fontId="53" fillId="4" borderId="0" xfId="7" applyNumberFormat="1" applyFont="1" applyFill="1" applyBorder="1" applyProtection="1">
      <protection locked="0"/>
    </xf>
    <xf numFmtId="2" fontId="53" fillId="0" borderId="0" xfId="7" applyNumberFormat="1" applyFont="1" applyFill="1" applyBorder="1" applyProtection="1">
      <protection locked="0"/>
    </xf>
    <xf numFmtId="171" fontId="43" fillId="4" borderId="0" xfId="4" applyNumberFormat="1" applyFont="1" applyFill="1"/>
    <xf numFmtId="171" fontId="43" fillId="0" borderId="0" xfId="4" applyNumberFormat="1" applyFont="1"/>
    <xf numFmtId="39" fontId="53" fillId="7" borderId="0" xfId="8" applyNumberFormat="1" applyFont="1" applyFill="1" applyBorder="1" applyProtection="1">
      <protection locked="0"/>
    </xf>
    <xf numFmtId="0" fontId="50" fillId="0" borderId="1" xfId="4" applyFont="1" applyBorder="1"/>
    <xf numFmtId="39" fontId="53" fillId="0" borderId="1" xfId="8" applyNumberFormat="1" applyFont="1" applyFill="1" applyBorder="1" applyProtection="1">
      <protection locked="0"/>
    </xf>
    <xf numFmtId="0" fontId="2" fillId="0" borderId="0" xfId="4" applyFont="1"/>
    <xf numFmtId="4" fontId="29" fillId="0" borderId="0" xfId="4" applyNumberFormat="1" applyFont="1"/>
    <xf numFmtId="0" fontId="13" fillId="0" borderId="0" xfId="4" applyFont="1" applyAlignment="1">
      <alignment horizontal="center"/>
    </xf>
    <xf numFmtId="165" fontId="53" fillId="0" borderId="0" xfId="0" applyNumberFormat="1" applyFont="1"/>
    <xf numFmtId="165" fontId="53" fillId="7" borderId="0" xfId="0" applyNumberFormat="1" applyFont="1" applyFill="1"/>
    <xf numFmtId="43" fontId="53" fillId="0" borderId="0" xfId="0" applyNumberFormat="1" applyFont="1"/>
    <xf numFmtId="39" fontId="53" fillId="0" borderId="0" xfId="8" applyNumberFormat="1" applyFont="1" applyFill="1" applyBorder="1"/>
    <xf numFmtId="0" fontId="53" fillId="0" borderId="0" xfId="4" applyFont="1" applyAlignment="1">
      <alignment horizontal="center"/>
    </xf>
    <xf numFmtId="0" fontId="53" fillId="0" borderId="0" xfId="4" applyFont="1"/>
    <xf numFmtId="37" fontId="53" fillId="0" borderId="0" xfId="4" applyNumberFormat="1" applyFont="1"/>
    <xf numFmtId="2" fontId="12" fillId="4" borderId="0" xfId="4" applyNumberFormat="1" applyFont="1" applyFill="1" applyProtection="1">
      <protection locked="0"/>
    </xf>
    <xf numFmtId="0" fontId="12" fillId="4" borderId="0" xfId="4" applyFont="1" applyFill="1" applyProtection="1">
      <protection locked="0"/>
    </xf>
    <xf numFmtId="2" fontId="43" fillId="4" borderId="0" xfId="4" applyNumberFormat="1" applyFont="1" applyFill="1" applyAlignment="1" applyProtection="1">
      <alignment horizontal="right"/>
      <protection locked="0"/>
    </xf>
    <xf numFmtId="0" fontId="43" fillId="4" borderId="0" xfId="4" applyFont="1" applyFill="1" applyAlignment="1" applyProtection="1">
      <alignment horizontal="right"/>
      <protection locked="0"/>
    </xf>
    <xf numFmtId="7" fontId="43" fillId="0" borderId="1" xfId="8" applyNumberFormat="1" applyFont="1" applyFill="1" applyBorder="1"/>
    <xf numFmtId="0" fontId="43" fillId="4" borderId="0" xfId="4" applyFont="1" applyFill="1" applyProtection="1">
      <protection locked="0"/>
    </xf>
    <xf numFmtId="0" fontId="42" fillId="3" borderId="6" xfId="11" applyFont="1" applyFill="1" applyBorder="1" applyAlignment="1">
      <alignment horizontal="center"/>
    </xf>
    <xf numFmtId="0" fontId="42" fillId="3" borderId="0" xfId="11" applyFont="1" applyFill="1" applyAlignment="1">
      <alignment horizontal="center"/>
    </xf>
    <xf numFmtId="0" fontId="43" fillId="0" borderId="0" xfId="11" applyFont="1" applyAlignment="1">
      <alignment horizontal="left" vertical="top" wrapText="1"/>
    </xf>
    <xf numFmtId="0" fontId="45" fillId="2" borderId="26" xfId="2" applyFont="1" applyBorder="1" applyAlignment="1">
      <alignment horizontal="center"/>
    </xf>
    <xf numFmtId="0" fontId="45" fillId="2" borderId="27" xfId="2" applyFont="1" applyBorder="1" applyAlignment="1">
      <alignment horizontal="center"/>
    </xf>
    <xf numFmtId="0" fontId="45" fillId="2" borderId="28" xfId="2" applyFont="1" applyBorder="1" applyAlignment="1">
      <alignment horizontal="center"/>
    </xf>
    <xf numFmtId="0" fontId="43" fillId="0" borderId="0" xfId="10" applyFont="1" applyAlignment="1">
      <alignment horizontal="left" vertical="top" wrapText="1"/>
    </xf>
    <xf numFmtId="0" fontId="67" fillId="0" borderId="0" xfId="9" applyFont="1" applyAlignment="1">
      <alignment horizontal="left" vertical="top" wrapText="1"/>
    </xf>
    <xf numFmtId="0" fontId="30" fillId="0" borderId="0" xfId="9" applyAlignment="1">
      <alignment horizontal="left" vertical="top" wrapText="1"/>
    </xf>
    <xf numFmtId="0" fontId="58" fillId="0" borderId="0" xfId="0" applyFont="1" applyAlignment="1">
      <alignment horizontal="left"/>
    </xf>
    <xf numFmtId="0" fontId="42" fillId="3" borderId="3" xfId="11" applyFont="1" applyFill="1" applyBorder="1" applyAlignment="1">
      <alignment horizontal="left"/>
    </xf>
    <xf numFmtId="0" fontId="42" fillId="3" borderId="4" xfId="11" applyFont="1" applyFill="1" applyBorder="1" applyAlignment="1">
      <alignment horizontal="left"/>
    </xf>
    <xf numFmtId="0" fontId="42" fillId="3" borderId="19" xfId="11" applyFont="1" applyFill="1" applyBorder="1" applyAlignment="1">
      <alignment horizontal="left"/>
    </xf>
    <xf numFmtId="0" fontId="42" fillId="3" borderId="11" xfId="11" applyFont="1" applyFill="1" applyBorder="1" applyAlignment="1">
      <alignment horizontal="left"/>
    </xf>
    <xf numFmtId="0" fontId="42" fillId="3" borderId="12" xfId="11" applyFont="1" applyFill="1" applyBorder="1" applyAlignment="1">
      <alignment horizontal="left"/>
    </xf>
    <xf numFmtId="0" fontId="42" fillId="3" borderId="13" xfId="11" applyFont="1" applyFill="1" applyBorder="1" applyAlignment="1">
      <alignment horizontal="left"/>
    </xf>
    <xf numFmtId="0" fontId="42" fillId="3" borderId="11" xfId="11" applyFont="1" applyFill="1" applyBorder="1" applyAlignment="1">
      <alignment horizontal="center"/>
    </xf>
    <xf numFmtId="0" fontId="42" fillId="3" borderId="12" xfId="11" applyFont="1" applyFill="1" applyBorder="1" applyAlignment="1">
      <alignment horizontal="center"/>
    </xf>
    <xf numFmtId="0" fontId="42" fillId="3" borderId="13" xfId="11" applyFont="1" applyFill="1" applyBorder="1" applyAlignment="1">
      <alignment horizontal="center"/>
    </xf>
    <xf numFmtId="165" fontId="25" fillId="3" borderId="11" xfId="5" applyNumberFormat="1" applyFont="1" applyFill="1" applyBorder="1" applyAlignment="1">
      <alignment horizontal="center"/>
    </xf>
    <xf numFmtId="165" fontId="25" fillId="3" borderId="12" xfId="5" applyNumberFormat="1" applyFont="1" applyFill="1" applyBorder="1" applyAlignment="1">
      <alignment horizontal="center"/>
    </xf>
    <xf numFmtId="165" fontId="25" fillId="3" borderId="13" xfId="5" applyNumberFormat="1" applyFont="1" applyFill="1" applyBorder="1" applyAlignment="1">
      <alignment horizontal="center"/>
    </xf>
    <xf numFmtId="165" fontId="25" fillId="3" borderId="0" xfId="5" applyNumberFormat="1" applyFont="1" applyFill="1" applyBorder="1" applyAlignment="1">
      <alignment horizontal="center"/>
    </xf>
    <xf numFmtId="165" fontId="62" fillId="0" borderId="0" xfId="5" applyNumberFormat="1" applyFont="1" applyFill="1" applyBorder="1" applyAlignment="1">
      <alignment horizontal="left"/>
    </xf>
    <xf numFmtId="0" fontId="15" fillId="5" borderId="11" xfId="0" applyFont="1" applyFill="1" applyBorder="1" applyAlignment="1">
      <alignment horizontal="center"/>
    </xf>
    <xf numFmtId="0" fontId="15" fillId="5" borderId="12" xfId="0" applyFont="1" applyFill="1" applyBorder="1" applyAlignment="1">
      <alignment horizontal="center"/>
    </xf>
    <xf numFmtId="0" fontId="15" fillId="5" borderId="13" xfId="0" applyFont="1" applyFill="1" applyBorder="1" applyAlignment="1">
      <alignment horizontal="center"/>
    </xf>
    <xf numFmtId="0" fontId="15" fillId="6" borderId="4" xfId="0" applyFont="1" applyFill="1" applyBorder="1" applyAlignment="1">
      <alignment horizontal="center"/>
    </xf>
    <xf numFmtId="0" fontId="15" fillId="6" borderId="19" xfId="0" applyFont="1" applyFill="1" applyBorder="1" applyAlignment="1">
      <alignment horizontal="center"/>
    </xf>
    <xf numFmtId="0" fontId="15" fillId="6" borderId="3" xfId="0" applyFont="1" applyFill="1" applyBorder="1" applyAlignment="1">
      <alignment horizontal="center"/>
    </xf>
    <xf numFmtId="0" fontId="15" fillId="0" borderId="0" xfId="0" applyFont="1" applyAlignment="1">
      <alignment horizontal="center"/>
    </xf>
  </cellXfs>
  <cellStyles count="12">
    <cellStyle name="Comma" xfId="6" builtinId="3"/>
    <cellStyle name="Comma 2" xfId="5" xr:uid="{922813C1-A3F0-471A-B10A-2F4F35425305}"/>
    <cellStyle name="Currency" xfId="8" builtinId="4"/>
    <cellStyle name="Hyperlink" xfId="9" builtinId="8"/>
    <cellStyle name="Normal" xfId="0" builtinId="0"/>
    <cellStyle name="Normal 2" xfId="1" xr:uid="{6119C048-0403-44D0-8836-6BBEEC0F799C}"/>
    <cellStyle name="Normal 2 2" xfId="3" xr:uid="{E3FADD63-3B96-423E-93A6-9A77F51BF418}"/>
    <cellStyle name="Normal 2 2 2" xfId="10" xr:uid="{CC81AC76-8837-4D59-A29D-5AF046C71CE9}"/>
    <cellStyle name="Normal 2 2 2 2" xfId="11" xr:uid="{FD386A06-A10C-44C6-96C6-29AF05D2C082}"/>
    <cellStyle name="Normal 3" xfId="4" xr:uid="{A8051FE7-BACF-457C-B580-EDEB95B0C5A3}"/>
    <cellStyle name="Output" xfId="2" builtinId="21"/>
    <cellStyle name="Percent" xfId="7" builtinId="5"/>
  </cellStyles>
  <dxfs count="0"/>
  <tableStyles count="0" defaultTableStyle="TableStyleMedium9" defaultPivotStyle="PivotStyleLight16"/>
  <colors>
    <mruColors>
      <color rgb="FFF1B82D"/>
      <color rgb="FFFF7C80"/>
      <color rgb="FFF15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3724275</xdr:colOff>
      <xdr:row>3</xdr:row>
      <xdr:rowOff>73375</xdr:rowOff>
    </xdr:from>
    <xdr:to>
      <xdr:col>2</xdr:col>
      <xdr:colOff>6019800</xdr:colOff>
      <xdr:row>6</xdr:row>
      <xdr:rowOff>165675</xdr:rowOff>
    </xdr:to>
    <xdr:pic>
      <xdr:nvPicPr>
        <xdr:cNvPr id="2" name="Picture 1">
          <a:extLst>
            <a:ext uri="{FF2B5EF4-FFF2-40B4-BE49-F238E27FC236}">
              <a16:creationId xmlns:a16="http://schemas.microsoft.com/office/drawing/2014/main" id="{8847B991-3188-4C93-8CC5-B084B7684B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3075" y="549625"/>
          <a:ext cx="2295525" cy="720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822921</xdr:colOff>
      <xdr:row>24</xdr:row>
      <xdr:rowOff>190500</xdr:rowOff>
    </xdr:from>
    <xdr:to>
      <xdr:col>7</xdr:col>
      <xdr:colOff>460043</xdr:colOff>
      <xdr:row>40</xdr:row>
      <xdr:rowOff>34635</xdr:rowOff>
    </xdr:to>
    <xdr:pic>
      <xdr:nvPicPr>
        <xdr:cNvPr id="54" name="Picture 53">
          <a:extLst>
            <a:ext uri="{FF2B5EF4-FFF2-40B4-BE49-F238E27FC236}">
              <a16:creationId xmlns:a16="http://schemas.microsoft.com/office/drawing/2014/main" id="{E9798880-7D26-CD1A-D2AE-E9EE2B4A912D}"/>
            </a:ext>
          </a:extLst>
        </xdr:cNvPr>
        <xdr:cNvPicPr>
          <a:picLocks noChangeAspect="1"/>
        </xdr:cNvPicPr>
      </xdr:nvPicPr>
      <xdr:blipFill>
        <a:blip xmlns:r="http://schemas.openxmlformats.org/officeDocument/2006/relationships" r:embed="rId1"/>
        <a:stretch>
          <a:fillRect/>
        </a:stretch>
      </xdr:blipFill>
      <xdr:spPr>
        <a:xfrm>
          <a:off x="1177944" y="5221432"/>
          <a:ext cx="6910758" cy="31692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ilhollinr/Box%20Sync/Crops/Industrial%20Hemp%20-%20MASBDA%20-%202019/Resources%20-%20Proprietary/Budgets/2020%20Industrial%20Hemp%20Budget%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vity list"/>
      <sheetName val="Introduction"/>
      <sheetName val="Hemp for Fiber"/>
      <sheetName val="Hemp for Grain"/>
      <sheetName val="Hemp for Fiber &amp; Grain"/>
      <sheetName val="Hemp for CBD"/>
      <sheetName val="Notes"/>
      <sheetName val="2020 Industrial Hemp Budget FIN"/>
    </sheetNames>
    <sheetDataSet>
      <sheetData sheetId="0">
        <row r="4">
          <cell r="W4" t="str">
            <v>Implement</v>
          </cell>
          <cell r="X4" t="str">
            <v>Cost/unit</v>
          </cell>
          <cell r="Y4" t="str">
            <v>Unit</v>
          </cell>
          <cell r="Z4" t="str">
            <v>Hours/acre</v>
          </cell>
          <cell r="AA4" t="str">
            <v>Something Else</v>
          </cell>
        </row>
        <row r="5">
          <cell r="W5" t="str">
            <v>Moving Large Square Bales</v>
          </cell>
          <cell r="X5">
            <v>0.23</v>
          </cell>
          <cell r="Y5" t="str">
            <v>$/bale/loaded mile</v>
          </cell>
        </row>
        <row r="6">
          <cell r="W6" t="str">
            <v>Hauling Hay</v>
          </cell>
          <cell r="X6">
            <v>55</v>
          </cell>
        </row>
        <row r="7">
          <cell r="W7" t="str">
            <v>Fertilizer application</v>
          </cell>
          <cell r="X7">
            <v>6.75</v>
          </cell>
          <cell r="Y7" t="str">
            <v>acre</v>
          </cell>
        </row>
        <row r="8">
          <cell r="W8" t="str">
            <v>Drying Plant</v>
          </cell>
          <cell r="X8">
            <v>1</v>
          </cell>
        </row>
        <row r="9">
          <cell r="W9" t="str">
            <v>Hauling Grain to bin</v>
          </cell>
          <cell r="X9">
            <v>0.25</v>
          </cell>
          <cell r="Y9" t="str">
            <v>cwt hauled</v>
          </cell>
        </row>
        <row r="10">
          <cell r="W10" t="str">
            <v>Grain Drying</v>
          </cell>
          <cell r="X10">
            <v>0.12</v>
          </cell>
          <cell r="Y10" t="str">
            <v>cwt dried/% moisture</v>
          </cell>
        </row>
        <row r="11">
          <cell r="W11" t="str">
            <v>Hauling grain to market</v>
          </cell>
          <cell r="X11">
            <v>0.45</v>
          </cell>
          <cell r="Y11" t="str">
            <v>cwt hauled</v>
          </cell>
        </row>
        <row r="12">
          <cell r="W12" t="str">
            <v>Hauling hemp for CBD to processor</v>
          </cell>
          <cell r="X12">
            <v>0.2</v>
          </cell>
          <cell r="Y12" t="str">
            <v>$/cwt/loaded mile</v>
          </cell>
        </row>
        <row r="13">
          <cell r="W13" t="str">
            <v>Seed cleaning</v>
          </cell>
          <cell r="X13">
            <v>0.04</v>
          </cell>
          <cell r="Y13" t="str">
            <v>pound cleaned</v>
          </cell>
        </row>
        <row r="14">
          <cell r="W14" t="str">
            <v>Large Square bales</v>
          </cell>
          <cell r="X14">
            <v>17</v>
          </cell>
          <cell r="Y14" t="str">
            <v>one ton bale</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ustom 1">
      <a:majorFont>
        <a:latin typeface="Aptos Black"/>
        <a:ea typeface=""/>
        <a:cs typeface=""/>
      </a:majorFont>
      <a:minorFont>
        <a:latin typeface="Apto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xtension.missouri.edu/publications/mx46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pentairaes.com/sweetwater-rotary-vane-compressors-1-4-to-2-hp.html" TargetMode="External"/><Relationship Id="rId2" Type="http://schemas.openxmlformats.org/officeDocument/2006/relationships/hyperlink" Target="https://www.globalindustrial.com/p/370a-95-1-inch-x-3-4-inch-cast-iron-straight-centrifugal-pump-buna-n-seal-3-4hp-1-phase-motor?referer=L2MvcGx1bWJpbmcvcGx1bWJpbmdfcHVtcHMvY2VudHJpZnVnYWxfcHVtcHM%3D" TargetMode="External"/><Relationship Id="rId1" Type="http://schemas.openxmlformats.org/officeDocument/2006/relationships/hyperlink" Target="https://aquaultraviolet.com/products/ultima-ii-1000-filter?variant=46027804999901" TargetMode="Externa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A5880-2AC8-4422-880C-2D055E2B7CE1}">
  <dimension ref="A2:F16"/>
  <sheetViews>
    <sheetView showGridLines="0" tabSelected="1" topLeftCell="A2" zoomScaleNormal="100" workbookViewId="0">
      <selection activeCell="A2" sqref="A2"/>
    </sheetView>
  </sheetViews>
  <sheetFormatPr defaultColWidth="0" defaultRowHeight="16.5" customHeight="1" zeroHeight="1"/>
  <cols>
    <col min="1" max="1" width="3.33203125" style="154" customWidth="1"/>
    <col min="2" max="2" width="18" style="154" customWidth="1"/>
    <col min="3" max="3" width="74.77734375" style="154" customWidth="1"/>
    <col min="4" max="4" width="9.109375" style="154" customWidth="1"/>
    <col min="5" max="5" width="3.33203125" style="154" customWidth="1"/>
    <col min="6" max="6" width="3.33203125" style="154" hidden="1" customWidth="1"/>
    <col min="7" max="16384" width="8.88671875" style="154" hidden="1"/>
  </cols>
  <sheetData>
    <row r="2" spans="2:4" ht="21">
      <c r="B2" s="590" t="s">
        <v>396</v>
      </c>
      <c r="C2" s="591"/>
      <c r="D2" s="591"/>
    </row>
    <row r="3" spans="2:4" ht="16.5" customHeight="1">
      <c r="B3" s="155"/>
      <c r="C3" s="155"/>
      <c r="D3" s="156" t="s">
        <v>394</v>
      </c>
    </row>
    <row r="4" spans="2:4" ht="16.5" customHeight="1"/>
    <row r="5" spans="2:4" ht="16.5" customHeight="1">
      <c r="B5" s="157" t="s">
        <v>2</v>
      </c>
    </row>
    <row r="6" spans="2:4" ht="16.5" customHeight="1">
      <c r="B6" s="154" t="s">
        <v>397</v>
      </c>
      <c r="D6" s="158"/>
    </row>
    <row r="7" spans="2:4" ht="16.5" customHeight="1">
      <c r="C7" s="159"/>
    </row>
    <row r="8" spans="2:4" ht="16.5" customHeight="1">
      <c r="B8" s="160"/>
    </row>
    <row r="9" spans="2:4" ht="63.75" customHeight="1">
      <c r="B9" s="592" t="s">
        <v>398</v>
      </c>
      <c r="C9" s="592"/>
      <c r="D9" s="592"/>
    </row>
    <row r="10" spans="2:4" ht="16.5" customHeight="1">
      <c r="B10" s="161"/>
      <c r="C10" s="162"/>
    </row>
    <row r="11" spans="2:4" ht="128.25" customHeight="1">
      <c r="B11" s="592" t="s">
        <v>403</v>
      </c>
      <c r="C11" s="592"/>
      <c r="D11" s="592"/>
    </row>
    <row r="12" spans="2:4" ht="16.5" customHeight="1">
      <c r="B12" s="592"/>
      <c r="C12" s="592"/>
      <c r="D12" s="592"/>
    </row>
    <row r="13" spans="2:4" ht="16.5" customHeight="1">
      <c r="B13" s="596" t="s">
        <v>448</v>
      </c>
      <c r="C13" s="596"/>
      <c r="D13" s="596"/>
    </row>
    <row r="14" spans="2:4" ht="16.5" customHeight="1">
      <c r="B14" s="597" t="s">
        <v>449</v>
      </c>
      <c r="C14" s="598"/>
      <c r="D14" s="598"/>
    </row>
    <row r="15" spans="2:4" ht="16.5" customHeight="1">
      <c r="B15" s="163"/>
      <c r="C15" s="162"/>
    </row>
    <row r="16" spans="2:4" ht="16.5" customHeight="1">
      <c r="B16" s="593" t="s">
        <v>395</v>
      </c>
      <c r="C16" s="594"/>
      <c r="D16" s="595"/>
    </row>
  </sheetData>
  <sheetProtection sheet="1" objects="1" scenarios="1"/>
  <mergeCells count="7">
    <mergeCell ref="B2:D2"/>
    <mergeCell ref="B9:D9"/>
    <mergeCell ref="B11:D11"/>
    <mergeCell ref="B16:D16"/>
    <mergeCell ref="B12:D12"/>
    <mergeCell ref="B13:D13"/>
    <mergeCell ref="B14:D14"/>
  </mergeCells>
  <hyperlinks>
    <hyperlink ref="B14:D14" r:id="rId1" display="North Central Regional Aquaculture Industry: Business Models (extension.missouri.edu/publications/mx466)" xr:uid="{11190205-15B2-466F-8764-A8DD465ADF5D}"/>
  </hyperlinks>
  <pageMargins left="0.7" right="0.7" top="0.75" bottom="0.75" header="0.3" footer="0.3"/>
  <pageSetup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A0916-ECA9-4FBC-9D39-1C361463F78E}">
  <dimension ref="A1:X66"/>
  <sheetViews>
    <sheetView showGridLines="0" zoomScaleNormal="100" workbookViewId="0">
      <selection activeCell="L4" sqref="L4"/>
    </sheetView>
  </sheetViews>
  <sheetFormatPr defaultColWidth="11.88671875" defaultRowHeight="16.5" zeroHeight="1"/>
  <cols>
    <col min="1" max="1" width="3.33203125" style="13" customWidth="1"/>
    <col min="2" max="2" width="33.77734375" style="13" customWidth="1"/>
    <col min="3" max="3" width="18.21875" style="13" bestFit="1" customWidth="1"/>
    <col min="4" max="7" width="10.77734375" style="13" customWidth="1"/>
    <col min="8" max="8" width="11.88671875" style="13" customWidth="1"/>
    <col min="9" max="9" width="3.33203125" style="2" customWidth="1"/>
    <col min="10" max="10" width="36" style="2" bestFit="1" customWidth="1"/>
    <col min="11" max="11" width="12.33203125" style="2" customWidth="1"/>
    <col min="12" max="12" width="8.77734375" style="2" customWidth="1"/>
    <col min="13" max="13" width="3.33203125" style="2" customWidth="1"/>
    <col min="14" max="14" width="8.77734375" style="2" customWidth="1"/>
    <col min="15" max="15" width="18.44140625" style="2" customWidth="1"/>
    <col min="16" max="16" width="16.44140625" style="2" customWidth="1"/>
    <col min="17" max="17" width="29" style="2" customWidth="1"/>
    <col min="18" max="18" width="11.88671875" style="2"/>
    <col min="19" max="19" width="35.77734375" style="2" bestFit="1" customWidth="1"/>
    <col min="20" max="20" width="15.6640625" style="2" customWidth="1"/>
    <col min="21" max="16384" width="11.88671875" style="2"/>
  </cols>
  <sheetData>
    <row r="1" spans="1:17">
      <c r="A1" s="2"/>
      <c r="B1" s="2"/>
      <c r="C1" s="2"/>
      <c r="D1" s="2"/>
      <c r="E1" s="2"/>
      <c r="F1" s="2"/>
      <c r="G1" s="2"/>
      <c r="H1" s="2"/>
      <c r="J1" s="13"/>
      <c r="K1" s="13"/>
    </row>
    <row r="2" spans="1:17" ht="18.75">
      <c r="A2" s="2"/>
      <c r="B2" s="612" t="s">
        <v>290</v>
      </c>
      <c r="C2" s="612"/>
      <c r="D2" s="612"/>
      <c r="E2" s="612"/>
      <c r="F2" s="612"/>
      <c r="G2" s="612"/>
      <c r="H2" s="612"/>
      <c r="I2" s="1"/>
      <c r="J2" s="373" t="s">
        <v>446</v>
      </c>
      <c r="K2" s="337"/>
      <c r="L2" s="337"/>
      <c r="M2" s="74"/>
      <c r="N2" s="236" t="s">
        <v>432</v>
      </c>
      <c r="O2" s="236" t="s">
        <v>433</v>
      </c>
      <c r="P2" s="33"/>
    </row>
    <row r="3" spans="1:17" ht="15.75" customHeight="1">
      <c r="A3" s="2"/>
      <c r="B3" s="275"/>
      <c r="C3" s="275"/>
      <c r="D3" s="392"/>
      <c r="E3" s="393"/>
      <c r="F3" s="392"/>
      <c r="G3" s="392"/>
      <c r="H3" s="392"/>
      <c r="I3" s="1"/>
      <c r="J3" s="214" t="s">
        <v>135</v>
      </c>
      <c r="K3" s="214" t="s">
        <v>11</v>
      </c>
      <c r="L3" s="509" t="s">
        <v>45</v>
      </c>
      <c r="M3" s="223"/>
      <c r="N3" s="237" t="s">
        <v>435</v>
      </c>
      <c r="O3" s="237" t="s">
        <v>447</v>
      </c>
      <c r="P3" s="69"/>
    </row>
    <row r="4" spans="1:17" ht="17.25">
      <c r="A4" s="2"/>
      <c r="B4" s="394" t="s">
        <v>197</v>
      </c>
      <c r="C4" s="431" t="s">
        <v>11</v>
      </c>
      <c r="D4" s="433" t="s">
        <v>13</v>
      </c>
      <c r="E4" s="433" t="s">
        <v>426</v>
      </c>
      <c r="F4" s="432" t="s">
        <v>0</v>
      </c>
      <c r="G4" s="432" t="s">
        <v>437</v>
      </c>
      <c r="H4" s="432" t="s">
        <v>137</v>
      </c>
      <c r="I4" s="1"/>
      <c r="J4" s="341" t="s">
        <v>354</v>
      </c>
      <c r="K4" s="359" t="s">
        <v>183</v>
      </c>
      <c r="L4" s="340">
        <v>3</v>
      </c>
      <c r="M4" s="105"/>
      <c r="N4" s="510"/>
      <c r="O4" s="511">
        <f>G34</f>
        <v>0.38657541972464099</v>
      </c>
      <c r="P4" s="87"/>
    </row>
    <row r="5" spans="1:17" ht="17.25">
      <c r="A5" s="2"/>
      <c r="B5" s="395" t="s">
        <v>361</v>
      </c>
      <c r="C5" s="396" t="s">
        <v>191</v>
      </c>
      <c r="D5" s="397">
        <f>D14*L12*L13</f>
        <v>274616.04641062504</v>
      </c>
      <c r="E5" s="435">
        <f>L4</f>
        <v>3</v>
      </c>
      <c r="F5" s="438">
        <f>D5*E5</f>
        <v>823848.13923187507</v>
      </c>
      <c r="G5" s="440">
        <f>E5</f>
        <v>3</v>
      </c>
      <c r="H5" s="400">
        <f>F5/$F$5</f>
        <v>1</v>
      </c>
      <c r="I5" s="1"/>
      <c r="J5" s="341" t="s">
        <v>340</v>
      </c>
      <c r="K5" s="359" t="s">
        <v>182</v>
      </c>
      <c r="L5" s="204">
        <v>3346.5736363636361</v>
      </c>
      <c r="M5" s="105"/>
      <c r="N5" s="511">
        <v>1.5</v>
      </c>
      <c r="O5" s="511">
        <f t="dataTable" ref="O5:O23" dt2D="0" dtr="0" r1="L4"/>
        <v>-1.082262080275358</v>
      </c>
      <c r="P5" s="87"/>
    </row>
    <row r="6" spans="1:17" ht="17.25">
      <c r="A6" s="2"/>
      <c r="B6" s="395" t="s">
        <v>220</v>
      </c>
      <c r="C6" s="396" t="s">
        <v>7</v>
      </c>
      <c r="D6" s="397">
        <f>D5/L22*L21</f>
        <v>54923.209282125004</v>
      </c>
      <c r="E6" s="435">
        <f>'Operating Inputs'!D10</f>
        <v>1.5</v>
      </c>
      <c r="F6" s="469">
        <f t="shared" ref="F6" si="0">D6*E6</f>
        <v>82384.81392318751</v>
      </c>
      <c r="G6" s="470">
        <f>F6/D5</f>
        <v>0.3</v>
      </c>
      <c r="H6" s="468">
        <f t="shared" ref="H6:H11" si="1">F6/$F$5</f>
        <v>0.1</v>
      </c>
      <c r="I6" s="1"/>
      <c r="J6" s="341" t="s">
        <v>341</v>
      </c>
      <c r="K6" s="359" t="s">
        <v>182</v>
      </c>
      <c r="L6" s="204">
        <v>2050.2209090909091</v>
      </c>
      <c r="M6" s="105"/>
      <c r="N6" s="511">
        <v>1.65</v>
      </c>
      <c r="O6" s="511">
        <v>-0.93537833027535833</v>
      </c>
      <c r="P6" s="87"/>
    </row>
    <row r="7" spans="1:17" ht="17.25">
      <c r="A7" s="2"/>
      <c r="B7" s="442" t="s">
        <v>197</v>
      </c>
      <c r="C7" s="396"/>
      <c r="D7" s="397"/>
      <c r="E7" s="353"/>
      <c r="F7" s="439">
        <f>F5-F6</f>
        <v>741463.32530868752</v>
      </c>
      <c r="G7" s="441">
        <f>G5-G6</f>
        <v>2.7</v>
      </c>
      <c r="H7" s="404">
        <f t="shared" si="1"/>
        <v>0.89999999999999991</v>
      </c>
      <c r="I7" s="1"/>
      <c r="J7" s="307" t="s">
        <v>276</v>
      </c>
      <c r="K7" s="359" t="s">
        <v>182</v>
      </c>
      <c r="L7" s="201">
        <v>150</v>
      </c>
      <c r="M7" s="105"/>
      <c r="N7" s="511">
        <v>1.8</v>
      </c>
      <c r="O7" s="511">
        <v>-0.78849458027535768</v>
      </c>
    </row>
    <row r="8" spans="1:17" ht="17.25">
      <c r="A8" s="2"/>
      <c r="B8" s="401"/>
      <c r="C8" s="396"/>
      <c r="D8" s="397"/>
      <c r="E8" s="405"/>
      <c r="F8" s="402"/>
      <c r="G8" s="403"/>
      <c r="H8" s="406"/>
      <c r="I8" s="1"/>
      <c r="J8" s="190" t="s">
        <v>286</v>
      </c>
      <c r="K8" s="359" t="s">
        <v>186</v>
      </c>
      <c r="L8" s="191">
        <v>1.9</v>
      </c>
      <c r="M8" s="105"/>
      <c r="N8" s="511">
        <v>1.95</v>
      </c>
      <c r="O8" s="511">
        <v>-0.64161083027535792</v>
      </c>
      <c r="P8" s="87"/>
    </row>
    <row r="9" spans="1:17" ht="17.25">
      <c r="A9" s="2"/>
      <c r="B9" s="407" t="s">
        <v>10</v>
      </c>
      <c r="C9" s="431" t="s">
        <v>11</v>
      </c>
      <c r="D9" s="433" t="s">
        <v>13</v>
      </c>
      <c r="E9" s="433" t="s">
        <v>426</v>
      </c>
      <c r="F9" s="432" t="s">
        <v>0</v>
      </c>
      <c r="G9" s="432" t="s">
        <v>437</v>
      </c>
      <c r="H9" s="432" t="s">
        <v>137</v>
      </c>
      <c r="I9" s="1"/>
      <c r="J9" s="190" t="s">
        <v>224</v>
      </c>
      <c r="K9" s="359" t="s">
        <v>186</v>
      </c>
      <c r="L9" s="191">
        <v>1.9</v>
      </c>
      <c r="M9" s="105"/>
      <c r="N9" s="511">
        <v>2.1</v>
      </c>
      <c r="O9" s="511">
        <v>-0.49472708027535817</v>
      </c>
      <c r="P9" s="87"/>
    </row>
    <row r="10" spans="1:17" ht="17.25">
      <c r="A10" s="2"/>
      <c r="B10" s="395" t="s">
        <v>14</v>
      </c>
      <c r="C10" s="419"/>
      <c r="D10" s="416"/>
      <c r="E10" s="420"/>
      <c r="F10" s="416"/>
      <c r="G10" s="416"/>
      <c r="H10" s="494"/>
      <c r="I10" s="1"/>
      <c r="J10" s="341" t="s">
        <v>288</v>
      </c>
      <c r="K10" s="359" t="s">
        <v>183</v>
      </c>
      <c r="L10" s="191">
        <v>0.75</v>
      </c>
      <c r="M10" s="105"/>
      <c r="N10" s="511">
        <v>2.25</v>
      </c>
      <c r="O10" s="511">
        <v>-0.34784333027535819</v>
      </c>
      <c r="P10" s="87"/>
    </row>
    <row r="11" spans="1:17" ht="17.25">
      <c r="A11" s="2"/>
      <c r="B11" s="495" t="s">
        <v>228</v>
      </c>
      <c r="C11" s="396" t="s">
        <v>190</v>
      </c>
      <c r="D11" s="410">
        <f>D14*AVERAGE(1,L12)*(L15-L14)*L8/2204.6</f>
        <v>26.734002444457232</v>
      </c>
      <c r="E11" s="435">
        <f>L5</f>
        <v>3346.5736363636361</v>
      </c>
      <c r="F11" s="438">
        <f t="shared" ref="F11" si="2">D11*E11</f>
        <v>89467.307775101581</v>
      </c>
      <c r="G11" s="440">
        <f>F11/$D$5</f>
        <v>0.32579053170594346</v>
      </c>
      <c r="H11" s="400">
        <f t="shared" si="1"/>
        <v>0.10859684390198117</v>
      </c>
      <c r="I11" s="1"/>
      <c r="J11" s="341" t="s">
        <v>336</v>
      </c>
      <c r="K11" s="359" t="s">
        <v>342</v>
      </c>
      <c r="L11" s="191">
        <v>2700</v>
      </c>
      <c r="M11" s="105"/>
      <c r="N11" s="511">
        <v>2.4</v>
      </c>
      <c r="O11" s="511">
        <v>-0.20095958027535846</v>
      </c>
    </row>
    <row r="12" spans="1:17" ht="17.25">
      <c r="A12" s="2"/>
      <c r="B12" s="495" t="s">
        <v>229</v>
      </c>
      <c r="C12" s="396" t="s">
        <v>190</v>
      </c>
      <c r="D12" s="410">
        <f>D14*L12*AVERAGE(1,L13)*(L16-L15)*L9/2204.6</f>
        <v>34.444199455725112</v>
      </c>
      <c r="E12" s="435">
        <f>L6</f>
        <v>2050.2209090909091</v>
      </c>
      <c r="F12" s="438">
        <f t="shared" ref="F12" si="3">D12*E12</f>
        <v>70618.217921025338</v>
      </c>
      <c r="G12" s="440">
        <f>F12/$D$5</f>
        <v>0.2571525547907425</v>
      </c>
      <c r="H12" s="400">
        <f t="shared" ref="H12:H13" si="4">F12/$F$5</f>
        <v>8.571751826358083E-2</v>
      </c>
      <c r="I12" s="1"/>
      <c r="J12" s="190" t="s">
        <v>352</v>
      </c>
      <c r="K12" s="359" t="s">
        <v>156</v>
      </c>
      <c r="L12" s="194">
        <v>0.90466210044534645</v>
      </c>
      <c r="M12" s="224"/>
      <c r="N12" s="511">
        <v>2.5499999999999998</v>
      </c>
      <c r="O12" s="511">
        <v>-5.4075830275357853E-2</v>
      </c>
      <c r="P12" s="87"/>
    </row>
    <row r="13" spans="1:17" ht="17.25">
      <c r="A13" s="2"/>
      <c r="B13" s="409" t="s">
        <v>287</v>
      </c>
      <c r="C13" s="396" t="s">
        <v>190</v>
      </c>
      <c r="D13" s="410">
        <f>SUM(D11:D12)</f>
        <v>61.178201900182344</v>
      </c>
      <c r="E13" s="435">
        <f>L7</f>
        <v>150</v>
      </c>
      <c r="F13" s="438">
        <f>D13*E13</f>
        <v>9176.7302850273518</v>
      </c>
      <c r="G13" s="440">
        <f>F13/$D$5</f>
        <v>3.3416584372879893E-2</v>
      </c>
      <c r="H13" s="400">
        <f t="shared" si="4"/>
        <v>1.1138861457626631E-2</v>
      </c>
      <c r="I13" s="1"/>
      <c r="J13" s="190" t="s">
        <v>353</v>
      </c>
      <c r="K13" s="359" t="s">
        <v>156</v>
      </c>
      <c r="L13" s="194">
        <v>0.94510425448253133</v>
      </c>
      <c r="M13" s="224"/>
      <c r="N13" s="511">
        <v>2.7</v>
      </c>
      <c r="O13" s="511">
        <v>9.2807919724641905E-2</v>
      </c>
      <c r="P13" s="87"/>
    </row>
    <row r="14" spans="1:17" ht="17.25">
      <c r="A14" s="2"/>
      <c r="B14" s="395" t="s">
        <v>9</v>
      </c>
      <c r="C14" s="396" t="s">
        <v>191</v>
      </c>
      <c r="D14" s="412">
        <f>L11*(Grow_out_capacity+'Capital Inputs'!L15)/1000*L23</f>
        <v>321188.35837500001</v>
      </c>
      <c r="E14" s="435">
        <f>L10</f>
        <v>0.75</v>
      </c>
      <c r="F14" s="438">
        <f>D14*E14</f>
        <v>240891.26878124999</v>
      </c>
      <c r="G14" s="440">
        <f t="shared" ref="G14:G31" si="5">F14/$D$5</f>
        <v>0.87719298245614019</v>
      </c>
      <c r="H14" s="400">
        <f t="shared" ref="H14:H23" si="6">F14/$F$5</f>
        <v>0.29239766081871343</v>
      </c>
      <c r="I14" s="1"/>
      <c r="J14" s="190" t="s">
        <v>390</v>
      </c>
      <c r="K14" s="359" t="s">
        <v>184</v>
      </c>
      <c r="L14" s="490">
        <v>1.1023122100918888E-2</v>
      </c>
      <c r="M14" s="476"/>
      <c r="N14" s="511">
        <v>2.85</v>
      </c>
      <c r="O14" s="511">
        <v>0.23969166972464165</v>
      </c>
      <c r="P14" s="87"/>
    </row>
    <row r="15" spans="1:17" ht="17.25">
      <c r="A15" s="2"/>
      <c r="B15" s="395" t="s">
        <v>205</v>
      </c>
      <c r="C15" s="396"/>
      <c r="D15" s="413"/>
      <c r="E15" s="398"/>
      <c r="F15" s="438">
        <f>L19*'Operating Inputs'!D5</f>
        <v>56940</v>
      </c>
      <c r="G15" s="440">
        <f t="shared" si="5"/>
        <v>0.20734403813701166</v>
      </c>
      <c r="H15" s="400">
        <f t="shared" si="6"/>
        <v>6.9114679379003882E-2</v>
      </c>
      <c r="I15" s="1"/>
      <c r="J15" s="190" t="s">
        <v>344</v>
      </c>
      <c r="K15" s="359" t="s">
        <v>184</v>
      </c>
      <c r="L15" s="191">
        <v>0.11243584542937266</v>
      </c>
      <c r="M15" s="105"/>
      <c r="N15" s="511">
        <v>3</v>
      </c>
      <c r="O15" s="511">
        <v>0.38657541972464099</v>
      </c>
      <c r="P15" s="87"/>
    </row>
    <row r="16" spans="1:17" ht="17.25">
      <c r="A16" s="2"/>
      <c r="B16" s="395" t="s">
        <v>115</v>
      </c>
      <c r="C16" s="396"/>
      <c r="D16" s="397"/>
      <c r="E16" s="398"/>
      <c r="F16" s="438">
        <f>'Perch Utilities'!G17+'Perch Utilities'!O3</f>
        <v>14536.02609077606</v>
      </c>
      <c r="G16" s="440">
        <f t="shared" si="5"/>
        <v>5.2932180332393185E-2</v>
      </c>
      <c r="H16" s="400">
        <f t="shared" si="6"/>
        <v>1.7644060110797728E-2</v>
      </c>
      <c r="I16" s="1"/>
      <c r="J16" s="190" t="s">
        <v>351</v>
      </c>
      <c r="K16" s="359" t="s">
        <v>184</v>
      </c>
      <c r="L16" s="191">
        <v>0.25386313465783666</v>
      </c>
      <c r="M16" s="105"/>
      <c r="N16" s="511">
        <v>3.15</v>
      </c>
      <c r="O16" s="511">
        <v>0.53345916972464158</v>
      </c>
      <c r="P16" s="87"/>
      <c r="Q16" s="87"/>
    </row>
    <row r="17" spans="1:24" ht="17.25" customHeight="1">
      <c r="A17" s="2"/>
      <c r="B17" s="395" t="s">
        <v>51</v>
      </c>
      <c r="C17" s="396"/>
      <c r="D17" s="397"/>
      <c r="E17" s="398"/>
      <c r="F17" s="438">
        <f>'Operating Inputs'!D7*12</f>
        <v>8400</v>
      </c>
      <c r="G17" s="440">
        <f t="shared" si="5"/>
        <v>3.0588161579748821E-2</v>
      </c>
      <c r="H17" s="400">
        <f t="shared" si="6"/>
        <v>1.0196053859916274E-2</v>
      </c>
      <c r="I17" s="1"/>
      <c r="J17" s="190" t="s">
        <v>349</v>
      </c>
      <c r="K17" s="359" t="s">
        <v>189</v>
      </c>
      <c r="L17" s="343">
        <f>L11*L16*L12*L13/1000</f>
        <v>0.58604304635761606</v>
      </c>
      <c r="M17" s="105"/>
      <c r="N17" s="511">
        <v>3.3</v>
      </c>
      <c r="O17" s="511">
        <v>0.68034291972464134</v>
      </c>
      <c r="P17" s="124"/>
    </row>
    <row r="18" spans="1:24" ht="17.25">
      <c r="A18" s="2"/>
      <c r="B18" s="395" t="s">
        <v>8</v>
      </c>
      <c r="C18" s="396"/>
      <c r="D18" s="397"/>
      <c r="E18" s="398"/>
      <c r="F18" s="438">
        <f>'Operating Inputs'!D8</f>
        <v>14414</v>
      </c>
      <c r="G18" s="440">
        <f t="shared" si="5"/>
        <v>5.2487828691726128E-2</v>
      </c>
      <c r="H18" s="400">
        <f t="shared" si="6"/>
        <v>1.7495942897242045E-2</v>
      </c>
      <c r="I18" s="1"/>
      <c r="J18" s="341" t="s">
        <v>355</v>
      </c>
      <c r="K18" s="359" t="s">
        <v>137</v>
      </c>
      <c r="L18" s="194">
        <v>0.02</v>
      </c>
      <c r="M18" s="224"/>
      <c r="N18" s="511">
        <v>3.45</v>
      </c>
      <c r="O18" s="511">
        <v>0.82722666972464109</v>
      </c>
      <c r="P18" s="87"/>
    </row>
    <row r="19" spans="1:24" ht="17.25" customHeight="1">
      <c r="A19" s="2"/>
      <c r="B19" s="395" t="s">
        <v>54</v>
      </c>
      <c r="C19" s="396"/>
      <c r="D19" s="397"/>
      <c r="E19" s="414"/>
      <c r="F19" s="438">
        <f>F5*'6- Stocking- Yellow Perch RAS'!L18</f>
        <v>16476.962784637501</v>
      </c>
      <c r="G19" s="440">
        <f t="shared" si="5"/>
        <v>5.9999999999999991E-2</v>
      </c>
      <c r="H19" s="400">
        <f t="shared" si="6"/>
        <v>0.02</v>
      </c>
      <c r="I19" s="1"/>
      <c r="J19" s="190" t="s">
        <v>205</v>
      </c>
      <c r="K19" s="359" t="s">
        <v>327</v>
      </c>
      <c r="L19" s="192">
        <v>2920</v>
      </c>
      <c r="M19" s="226"/>
      <c r="N19" s="511">
        <v>3.6</v>
      </c>
      <c r="O19" s="511">
        <v>0.97411041972464174</v>
      </c>
    </row>
    <row r="20" spans="1:24" ht="17.25">
      <c r="A20" s="2"/>
      <c r="B20" s="395" t="s">
        <v>141</v>
      </c>
      <c r="C20" s="396"/>
      <c r="D20" s="397"/>
      <c r="E20" s="398"/>
      <c r="F20" s="438">
        <f>'Operating Inputs'!D9</f>
        <v>3000</v>
      </c>
      <c r="G20" s="440">
        <f t="shared" si="5"/>
        <v>1.0924343421338864E-2</v>
      </c>
      <c r="H20" s="400">
        <f t="shared" si="6"/>
        <v>3.6414478071129549E-3</v>
      </c>
      <c r="I20" s="1"/>
      <c r="J20" s="345" t="s">
        <v>227</v>
      </c>
      <c r="K20" s="359" t="s">
        <v>240</v>
      </c>
      <c r="L20" s="491">
        <v>12</v>
      </c>
      <c r="M20" s="96"/>
      <c r="N20" s="511">
        <v>3.75</v>
      </c>
      <c r="O20" s="511">
        <v>1.1209941697246415</v>
      </c>
      <c r="P20" s="87"/>
    </row>
    <row r="21" spans="1:24" ht="17.25">
      <c r="A21" s="2"/>
      <c r="B21" s="395" t="s">
        <v>22</v>
      </c>
      <c r="C21" s="396"/>
      <c r="D21" s="397"/>
      <c r="E21" s="398"/>
      <c r="F21" s="492">
        <v>0</v>
      </c>
      <c r="G21" s="440">
        <f t="shared" si="5"/>
        <v>0</v>
      </c>
      <c r="H21" s="400">
        <f t="shared" si="6"/>
        <v>0</v>
      </c>
      <c r="I21" s="1"/>
      <c r="J21" s="345" t="s">
        <v>188</v>
      </c>
      <c r="K21" s="359" t="s">
        <v>187</v>
      </c>
      <c r="L21" s="346">
        <v>400</v>
      </c>
      <c r="M21" s="227"/>
      <c r="N21" s="511">
        <v>3.9</v>
      </c>
      <c r="O21" s="511">
        <v>1.2678779197246421</v>
      </c>
    </row>
    <row r="22" spans="1:24" ht="17.25">
      <c r="A22" s="2"/>
      <c r="B22" s="395" t="s">
        <v>17</v>
      </c>
      <c r="C22" s="396" t="s">
        <v>138</v>
      </c>
      <c r="D22" s="397"/>
      <c r="E22" s="496">
        <f>'Operating Inputs'!D11</f>
        <v>7.7499999999999999E-2</v>
      </c>
      <c r="F22" s="469">
        <f>SUM(F11:F20)*(1-'Operating Inputs'!D12)*E22/L23</f>
        <v>20301.919903465441</v>
      </c>
      <c r="G22" s="470">
        <f t="shared" si="5"/>
        <v>7.3928381712657087E-2</v>
      </c>
      <c r="H22" s="468">
        <f t="shared" si="6"/>
        <v>2.4642793904219029E-2</v>
      </c>
      <c r="I22" s="1"/>
      <c r="J22" s="345" t="s">
        <v>222</v>
      </c>
      <c r="K22" s="359" t="s">
        <v>219</v>
      </c>
      <c r="L22" s="346">
        <v>2000</v>
      </c>
      <c r="M22" s="227"/>
      <c r="N22" s="511">
        <v>4.05</v>
      </c>
      <c r="O22" s="511">
        <v>1.414761669724641</v>
      </c>
    </row>
    <row r="23" spans="1:24" ht="17.25">
      <c r="A23" s="2"/>
      <c r="B23" s="418" t="s">
        <v>16</v>
      </c>
      <c r="C23" s="416"/>
      <c r="D23" s="416"/>
      <c r="E23" s="416"/>
      <c r="F23" s="471">
        <f>SUM(F11:F22)</f>
        <v>544222.43354128336</v>
      </c>
      <c r="G23" s="441">
        <f t="shared" si="5"/>
        <v>1.9817575872005821</v>
      </c>
      <c r="H23" s="404">
        <f t="shared" si="6"/>
        <v>0.66058586240019412</v>
      </c>
      <c r="I23" s="1"/>
      <c r="J23" s="217" t="s">
        <v>57</v>
      </c>
      <c r="K23" s="363" t="s">
        <v>58</v>
      </c>
      <c r="L23" s="348">
        <f>(12/L20)</f>
        <v>1</v>
      </c>
      <c r="M23" s="110"/>
      <c r="N23" s="512">
        <v>4.2</v>
      </c>
      <c r="O23" s="512">
        <v>1.5616454197246423</v>
      </c>
      <c r="P23" s="87"/>
      <c r="Q23" s="90"/>
    </row>
    <row r="24" spans="1:24" ht="17.25">
      <c r="A24" s="2"/>
      <c r="B24" s="418"/>
      <c r="C24" s="418"/>
      <c r="D24" s="418"/>
      <c r="E24" s="418"/>
      <c r="F24" s="417"/>
      <c r="G24" s="403"/>
      <c r="H24" s="406"/>
      <c r="I24" s="1"/>
    </row>
    <row r="25" spans="1:24" ht="17.25">
      <c r="A25" s="2"/>
      <c r="B25" s="407" t="s">
        <v>18</v>
      </c>
      <c r="C25" s="431" t="s">
        <v>11</v>
      </c>
      <c r="D25" s="433" t="s">
        <v>13</v>
      </c>
      <c r="E25" s="433" t="s">
        <v>426</v>
      </c>
      <c r="F25" s="432" t="s">
        <v>0</v>
      </c>
      <c r="G25" s="432" t="s">
        <v>437</v>
      </c>
      <c r="H25" s="432" t="s">
        <v>137</v>
      </c>
      <c r="I25" s="1"/>
    </row>
    <row r="26" spans="1:24" ht="17.25">
      <c r="A26" s="2"/>
      <c r="B26" s="395" t="s">
        <v>6</v>
      </c>
      <c r="C26" s="396" t="s">
        <v>163</v>
      </c>
      <c r="D26" s="421">
        <v>12</v>
      </c>
      <c r="E26" s="398"/>
      <c r="F26" s="438">
        <f>'Operating Inputs'!D15</f>
        <v>3000</v>
      </c>
      <c r="G26" s="440">
        <f t="shared" si="5"/>
        <v>1.0924343421338864E-2</v>
      </c>
      <c r="H26" s="400">
        <f t="shared" ref="H26:H31" si="7">F26/$F$5</f>
        <v>3.6414478071129549E-3</v>
      </c>
      <c r="I26" s="1"/>
    </row>
    <row r="27" spans="1:24" ht="17.25">
      <c r="A27" s="2"/>
      <c r="B27" s="395" t="s">
        <v>5</v>
      </c>
      <c r="C27" s="396" t="s">
        <v>163</v>
      </c>
      <c r="D27" s="421">
        <v>12</v>
      </c>
      <c r="E27" s="398"/>
      <c r="F27" s="438">
        <f>'Operating Inputs'!D16</f>
        <v>1000</v>
      </c>
      <c r="G27" s="440">
        <f t="shared" si="5"/>
        <v>3.6414478071129549E-3</v>
      </c>
      <c r="H27" s="400">
        <f t="shared" si="7"/>
        <v>1.2138159357043183E-3</v>
      </c>
      <c r="I27" s="1"/>
    </row>
    <row r="28" spans="1:24" ht="17.25">
      <c r="A28" s="2"/>
      <c r="B28" s="395" t="s">
        <v>198</v>
      </c>
      <c r="C28" s="396" t="s">
        <v>163</v>
      </c>
      <c r="D28" s="421">
        <v>1</v>
      </c>
      <c r="E28" s="398"/>
      <c r="F28" s="438">
        <f>'Operating Inputs'!D17</f>
        <v>45000</v>
      </c>
      <c r="G28" s="440">
        <f t="shared" si="5"/>
        <v>0.16386515132008297</v>
      </c>
      <c r="H28" s="400">
        <f t="shared" si="7"/>
        <v>5.4621717106694327E-2</v>
      </c>
      <c r="I28" s="1"/>
    </row>
    <row r="29" spans="1:24" ht="17.25">
      <c r="A29" s="2"/>
      <c r="B29" s="395" t="s">
        <v>19</v>
      </c>
      <c r="C29" s="396"/>
      <c r="D29" s="421"/>
      <c r="E29" s="415">
        <f>'Operating Inputs'!D13</f>
        <v>7.2499999999999995E-2</v>
      </c>
      <c r="F29" s="438">
        <f>('Capital Inputs'!F39-(SUMPRODUCT('Capital Inputs'!F5:F16,'Capital Inputs'!H5:H16)+SUMPRODUCT('Capital Inputs'!F21:F38,'Capital Inputs'!H21:H38)))/2*E29</f>
        <v>14349.870625</v>
      </c>
      <c r="G29" s="440">
        <f t="shared" si="5"/>
        <v>5.2254304919760852E-2</v>
      </c>
      <c r="H29" s="400">
        <f t="shared" si="7"/>
        <v>1.7418101639920285E-2</v>
      </c>
      <c r="I29" s="1"/>
    </row>
    <row r="30" spans="1:24" ht="17.25">
      <c r="A30" s="2"/>
      <c r="B30" s="395" t="s">
        <v>20</v>
      </c>
      <c r="C30" s="396"/>
      <c r="D30" s="397"/>
      <c r="E30" s="398"/>
      <c r="F30" s="469">
        <f>'Capital Inputs'!I40</f>
        <v>27731.20773809524</v>
      </c>
      <c r="G30" s="470">
        <f t="shared" si="5"/>
        <v>0.10098174560648071</v>
      </c>
      <c r="H30" s="468">
        <f t="shared" si="7"/>
        <v>3.3660581868826908E-2</v>
      </c>
      <c r="I30" s="1"/>
    </row>
    <row r="31" spans="1:24" ht="17.25">
      <c r="A31" s="2"/>
      <c r="B31" s="418" t="s">
        <v>4</v>
      </c>
      <c r="C31" s="418"/>
      <c r="D31" s="418"/>
      <c r="E31" s="418"/>
      <c r="F31" s="471">
        <f>SUM(F26:F30)</f>
        <v>91081.078363095236</v>
      </c>
      <c r="G31" s="441">
        <f t="shared" si="5"/>
        <v>0.33166699307477632</v>
      </c>
      <c r="H31" s="404">
        <f t="shared" si="7"/>
        <v>0.1105556643582588</v>
      </c>
      <c r="I31" s="1"/>
    </row>
    <row r="32" spans="1:24" ht="17.25">
      <c r="A32" s="2"/>
      <c r="B32" s="395"/>
      <c r="C32" s="396"/>
      <c r="D32" s="422"/>
      <c r="E32" s="422"/>
      <c r="F32" s="438"/>
      <c r="G32" s="440"/>
      <c r="H32" s="423"/>
      <c r="I32" s="1"/>
      <c r="P32" s="13"/>
      <c r="Q32" s="13"/>
      <c r="R32" s="13"/>
      <c r="S32" s="13"/>
      <c r="T32" s="13"/>
      <c r="U32" s="13"/>
      <c r="V32" s="13"/>
      <c r="W32" s="13"/>
      <c r="X32" s="13"/>
    </row>
    <row r="33" spans="1:24" ht="17.25">
      <c r="A33" s="2"/>
      <c r="B33" s="463" t="s">
        <v>3</v>
      </c>
      <c r="C33" s="506"/>
      <c r="D33" s="506"/>
      <c r="E33" s="506"/>
      <c r="F33" s="472">
        <f>SUM(F31,F23)</f>
        <v>635303.51190437865</v>
      </c>
      <c r="G33" s="474">
        <f>F33/$D$5</f>
        <v>2.3134245802753588</v>
      </c>
      <c r="H33" s="465">
        <f>F33/$F$5</f>
        <v>0.77114152675845293</v>
      </c>
      <c r="I33" s="3"/>
      <c r="L33" s="106"/>
      <c r="M33" s="106"/>
      <c r="N33" s="106"/>
      <c r="O33" s="106"/>
      <c r="P33" s="141"/>
      <c r="Q33" s="141"/>
      <c r="R33" s="13"/>
      <c r="S33" s="132"/>
      <c r="T33" s="132"/>
      <c r="U33" s="132"/>
      <c r="V33" s="132"/>
      <c r="W33" s="13"/>
      <c r="X33" s="13"/>
    </row>
    <row r="34" spans="1:24" ht="17.25">
      <c r="A34" s="2"/>
      <c r="B34" s="466" t="s">
        <v>21</v>
      </c>
      <c r="C34" s="507"/>
      <c r="D34" s="507"/>
      <c r="E34" s="507"/>
      <c r="F34" s="473">
        <f>F7-F33</f>
        <v>106159.81340430886</v>
      </c>
      <c r="G34" s="475">
        <f>F34/$D$5</f>
        <v>0.38657541972464099</v>
      </c>
      <c r="H34" s="467">
        <f>F34/$F$5</f>
        <v>0.12885847324154701</v>
      </c>
      <c r="I34" s="19">
        <v>1.3</v>
      </c>
      <c r="P34" s="13"/>
      <c r="Q34" s="152"/>
      <c r="R34" s="13"/>
      <c r="S34" s="133"/>
      <c r="T34" s="134"/>
      <c r="U34" s="133"/>
      <c r="V34" s="134"/>
      <c r="W34" s="13"/>
      <c r="X34" s="13"/>
    </row>
    <row r="35" spans="1:24" ht="17.25">
      <c r="A35" s="2"/>
      <c r="B35" s="455"/>
      <c r="C35" s="455"/>
      <c r="D35" s="455"/>
      <c r="E35" s="455"/>
      <c r="F35" s="456"/>
      <c r="G35" s="456"/>
      <c r="H35" s="456"/>
      <c r="I35" s="20">
        <f>(F5*I34)-(F6*I34)</f>
        <v>963902.32290129398</v>
      </c>
      <c r="P35" s="153"/>
      <c r="Q35" s="152"/>
      <c r="R35" s="13"/>
      <c r="S35" s="133"/>
      <c r="T35" s="134"/>
      <c r="U35" s="133"/>
      <c r="V35" s="134"/>
      <c r="W35" s="13"/>
      <c r="X35" s="13"/>
    </row>
    <row r="36" spans="1:24" ht="17.25">
      <c r="A36" s="2"/>
      <c r="B36" s="447"/>
      <c r="C36" s="418" t="s">
        <v>41</v>
      </c>
      <c r="D36" s="135"/>
      <c r="E36" s="418" t="s">
        <v>42</v>
      </c>
      <c r="F36" s="307"/>
      <c r="G36" s="418" t="s">
        <v>296</v>
      </c>
      <c r="H36" s="444" cm="1">
        <f t="array" aca="1" ref="H36" ca="1">IFERROR(INDEX(_xlfn._xlws.FILTER(B56:B65, F56:F65&gt;0), 1),"Doesn't pay back")</f>
        <v>4</v>
      </c>
      <c r="I36" s="20">
        <f>(F11+F19)*I34+(F23-F11-F19)</f>
        <v>576005.71470920509</v>
      </c>
      <c r="P36" s="153"/>
      <c r="Q36" s="152"/>
      <c r="R36" s="13"/>
      <c r="S36" s="133"/>
      <c r="T36" s="134"/>
      <c r="U36" s="133"/>
      <c r="V36" s="134"/>
      <c r="W36" s="13"/>
      <c r="X36" s="13"/>
    </row>
    <row r="37" spans="1:24" ht="17.25">
      <c r="A37" s="2"/>
      <c r="B37" s="424" t="s">
        <v>31</v>
      </c>
      <c r="C37" s="399">
        <f>F23/D5</f>
        <v>1.9817575872005821</v>
      </c>
      <c r="D37" s="135"/>
      <c r="E37" s="501">
        <f>F23/E5</f>
        <v>181407.47784709444</v>
      </c>
      <c r="F37" s="307"/>
      <c r="G37" s="502" t="s">
        <v>297</v>
      </c>
      <c r="H37" s="503">
        <f ca="1">IFERROR(IRR(E55:E65), "High loss")</f>
        <v>0.31080230615457016</v>
      </c>
      <c r="I37" s="20">
        <f>F31</f>
        <v>91081.078363095236</v>
      </c>
      <c r="P37" s="153"/>
      <c r="Q37" s="152"/>
      <c r="R37" s="13"/>
      <c r="S37" s="133"/>
      <c r="T37" s="134"/>
      <c r="U37" s="133"/>
      <c r="V37" s="134"/>
      <c r="W37" s="13"/>
      <c r="X37" s="13"/>
    </row>
    <row r="38" spans="1:24" ht="17.25">
      <c r="A38" s="2"/>
      <c r="B38" s="458" t="s">
        <v>32</v>
      </c>
      <c r="C38" s="459">
        <f>F33/D5</f>
        <v>2.3134245802753588</v>
      </c>
      <c r="D38" s="450"/>
      <c r="E38" s="508">
        <f>F33/E5</f>
        <v>211767.83730145954</v>
      </c>
      <c r="F38" s="504"/>
      <c r="G38" s="505" t="str">
        <f>"NPV at " &amp; 100*E29 &amp; " % in 10 years"</f>
        <v>NPV at 7.25 % in 10 years</v>
      </c>
      <c r="H38" s="462">
        <f ca="1">NPV(E29,E55:E65)</f>
        <v>624936.59612507641</v>
      </c>
      <c r="P38" s="153"/>
      <c r="Q38" s="152"/>
      <c r="R38" s="13"/>
      <c r="S38" s="133"/>
      <c r="T38" s="134"/>
      <c r="U38" s="133"/>
      <c r="V38" s="134"/>
      <c r="W38" s="13"/>
      <c r="X38" s="13"/>
    </row>
    <row r="39" spans="1:24" ht="17.25">
      <c r="A39" s="2"/>
      <c r="B39" s="497"/>
      <c r="C39" s="497"/>
      <c r="D39" s="497"/>
      <c r="E39" s="497"/>
      <c r="F39" s="497"/>
      <c r="G39" s="497"/>
      <c r="H39" s="497"/>
      <c r="P39" s="153"/>
      <c r="Q39" s="152"/>
      <c r="R39" s="13"/>
      <c r="S39" s="133"/>
      <c r="T39" s="134"/>
      <c r="U39" s="133"/>
      <c r="V39" s="134"/>
      <c r="W39" s="13"/>
      <c r="X39" s="13"/>
    </row>
    <row r="40" spans="1:24" ht="17.25">
      <c r="A40" s="2"/>
      <c r="B40" s="200" t="s">
        <v>438</v>
      </c>
      <c r="C40" s="446"/>
      <c r="D40" s="446"/>
      <c r="E40" s="446"/>
      <c r="F40" s="498"/>
      <c r="G40" s="499">
        <v>0.7</v>
      </c>
      <c r="H40" s="499">
        <v>1</v>
      </c>
      <c r="P40" s="153"/>
      <c r="Q40" s="152"/>
      <c r="R40" s="13"/>
      <c r="S40" s="133"/>
      <c r="T40" s="134"/>
      <c r="U40" s="133"/>
      <c r="V40" s="134"/>
      <c r="W40" s="13"/>
      <c r="X40" s="13"/>
    </row>
    <row r="41" spans="1:24" ht="17.25">
      <c r="A41" s="2"/>
      <c r="B41" s="329"/>
      <c r="C41" s="487">
        <v>-0.3</v>
      </c>
      <c r="D41" s="488" t="s">
        <v>134</v>
      </c>
      <c r="E41" s="487">
        <v>0.3</v>
      </c>
      <c r="F41" s="429" t="s">
        <v>55</v>
      </c>
      <c r="G41" s="500">
        <f>(F5*G40)-(F6*G40)</f>
        <v>519024.32771608129</v>
      </c>
      <c r="H41" s="500">
        <f>F7</f>
        <v>741463.32530868752</v>
      </c>
      <c r="P41" s="153"/>
      <c r="Q41" s="152"/>
      <c r="R41" s="13"/>
      <c r="S41" s="133"/>
      <c r="T41" s="134"/>
      <c r="U41" s="133"/>
      <c r="V41" s="134"/>
      <c r="W41" s="13"/>
      <c r="X41" s="13"/>
    </row>
    <row r="42" spans="1:24" ht="17.25">
      <c r="A42" s="2"/>
      <c r="B42" s="307" t="s">
        <v>192</v>
      </c>
      <c r="C42" s="308">
        <f>(G41-G42-G43)/'Capital Inputs'!$F$39</f>
        <v>-0.1872065856053324</v>
      </c>
      <c r="D42" s="308">
        <f>(H41-H42-H43)/'Capital Inputs'!$F$39</f>
        <v>0.23520449495790871</v>
      </c>
      <c r="E42" s="308">
        <f>(I35-I36-I37)/'Capital Inputs'!$F$39</f>
        <v>0.65761557552115035</v>
      </c>
      <c r="F42" s="429" t="s">
        <v>59</v>
      </c>
      <c r="G42" s="500">
        <f>(F11+F19)*G40+(F23-F11-F19)</f>
        <v>512439.15237336163</v>
      </c>
      <c r="H42" s="500">
        <f>F23</f>
        <v>544222.43354128336</v>
      </c>
      <c r="P42" s="153"/>
      <c r="Q42" s="152"/>
      <c r="R42" s="13"/>
      <c r="S42" s="133"/>
      <c r="T42" s="134"/>
      <c r="U42" s="133"/>
      <c r="V42" s="134"/>
      <c r="W42" s="13"/>
      <c r="X42" s="13"/>
    </row>
    <row r="43" spans="1:24" ht="17.25">
      <c r="A43" s="2"/>
      <c r="B43" s="307" t="s">
        <v>193</v>
      </c>
      <c r="C43" s="207">
        <f>(G41-G42)/G41</f>
        <v>1.2687604397460731E-2</v>
      </c>
      <c r="D43" s="207">
        <f t="shared" ref="D43" si="8">(H41-H42)/H41</f>
        <v>0.26601570844422878</v>
      </c>
      <c r="E43" s="207">
        <f>(I35-I36)/I35</f>
        <v>0.40242314908479632</v>
      </c>
      <c r="F43" s="429" t="s">
        <v>60</v>
      </c>
      <c r="G43" s="500">
        <f>F31</f>
        <v>91081.078363095236</v>
      </c>
      <c r="H43" s="500">
        <f>F31</f>
        <v>91081.078363095236</v>
      </c>
      <c r="P43" s="153"/>
      <c r="Q43" s="152"/>
      <c r="R43" s="13"/>
      <c r="S43" s="133"/>
      <c r="T43" s="134"/>
      <c r="U43" s="133"/>
      <c r="V43" s="133"/>
      <c r="W43" s="13"/>
      <c r="X43" s="13"/>
    </row>
    <row r="44" spans="1:24">
      <c r="A44" s="2"/>
      <c r="B44" s="307" t="s">
        <v>21</v>
      </c>
      <c r="C44" s="309">
        <f>G41-G42-G43</f>
        <v>-84495.903020375583</v>
      </c>
      <c r="D44" s="309">
        <f t="shared" ref="D44" si="9">H41-H42-H43</f>
        <v>106159.81340430892</v>
      </c>
      <c r="E44" s="309">
        <f>I35-I36-I37</f>
        <v>296815.52982899366</v>
      </c>
      <c r="F44" s="353"/>
      <c r="G44" s="353"/>
      <c r="H44" s="353"/>
      <c r="P44" s="153"/>
      <c r="Q44" s="152"/>
      <c r="R44" s="13"/>
      <c r="S44" s="13"/>
      <c r="T44" s="13"/>
      <c r="U44" s="13"/>
      <c r="V44" s="13"/>
      <c r="W44" s="13"/>
      <c r="X44" s="13"/>
    </row>
    <row r="45" spans="1:24">
      <c r="A45" s="2"/>
      <c r="B45" s="310" t="s">
        <v>221</v>
      </c>
      <c r="C45" s="588">
        <f>(G42+G43)/($D$5*G40)</f>
        <v>3.1395534582336788</v>
      </c>
      <c r="D45" s="588">
        <f>(H42+H43)/($D$5*H40)</f>
        <v>2.3134245802753588</v>
      </c>
      <c r="E45" s="588">
        <f>(I36+I37)/($D$5*I34)</f>
        <v>1.8685859536824161</v>
      </c>
      <c r="F45" s="353"/>
      <c r="G45" s="353"/>
      <c r="H45" s="353"/>
      <c r="P45" s="153"/>
      <c r="Q45" s="152"/>
      <c r="R45" s="13"/>
      <c r="S45" s="13"/>
      <c r="T45" s="13"/>
      <c r="U45" s="13"/>
      <c r="V45" s="13"/>
      <c r="W45" s="13"/>
      <c r="X45" s="13"/>
    </row>
    <row r="46" spans="1:24" ht="19.5" customHeight="1">
      <c r="A46" s="2"/>
      <c r="B46" s="312" t="s">
        <v>271</v>
      </c>
      <c r="C46" s="313"/>
      <c r="D46" s="313"/>
      <c r="E46" s="313"/>
      <c r="F46" s="353"/>
      <c r="G46" s="353"/>
      <c r="H46" s="353"/>
      <c r="P46" s="153"/>
      <c r="Q46" s="152"/>
      <c r="R46" s="13"/>
      <c r="S46" s="13"/>
      <c r="T46" s="13"/>
      <c r="U46" s="13"/>
      <c r="V46" s="13"/>
      <c r="W46" s="13"/>
      <c r="X46" s="13"/>
    </row>
    <row r="47" spans="1:24" ht="16.5" hidden="1" customHeight="1">
      <c r="A47" s="2"/>
      <c r="B47" s="307"/>
      <c r="C47" s="313"/>
      <c r="D47" s="313"/>
      <c r="E47" s="313"/>
      <c r="F47" s="353"/>
      <c r="G47" s="353"/>
      <c r="H47" s="353"/>
      <c r="P47" s="153"/>
      <c r="Q47" s="152"/>
      <c r="R47" s="13"/>
      <c r="S47" s="13"/>
      <c r="T47" s="13"/>
      <c r="U47" s="13"/>
      <c r="V47" s="13"/>
      <c r="W47" s="13"/>
      <c r="X47" s="13"/>
    </row>
    <row r="48" spans="1:24" ht="16.5" hidden="1" customHeight="1">
      <c r="A48" s="2"/>
      <c r="B48" s="307"/>
      <c r="C48" s="313"/>
      <c r="D48" s="313"/>
      <c r="E48" s="313"/>
      <c r="F48" s="353"/>
      <c r="G48" s="353"/>
      <c r="H48" s="353"/>
      <c r="P48" s="153"/>
      <c r="Q48" s="152"/>
      <c r="R48" s="13"/>
      <c r="S48" s="13"/>
      <c r="T48" s="13"/>
      <c r="U48" s="13"/>
      <c r="V48" s="13"/>
      <c r="W48" s="13"/>
      <c r="X48" s="13"/>
    </row>
    <row r="49" spans="1:24" ht="16.5" hidden="1" customHeight="1">
      <c r="A49" s="2"/>
      <c r="B49" s="96"/>
      <c r="C49" s="97"/>
      <c r="D49" s="97"/>
      <c r="E49" s="97"/>
      <c r="F49" s="2"/>
      <c r="G49" s="2"/>
      <c r="H49" s="2"/>
      <c r="P49" s="153"/>
      <c r="Q49" s="152"/>
      <c r="R49" s="13"/>
      <c r="S49" s="13"/>
      <c r="T49" s="13"/>
      <c r="U49" s="13"/>
      <c r="V49" s="13"/>
      <c r="W49" s="13"/>
      <c r="X49" s="13"/>
    </row>
    <row r="50" spans="1:24" ht="16.5" hidden="1" customHeight="1">
      <c r="A50" s="2"/>
      <c r="B50" s="96"/>
      <c r="C50" s="97"/>
      <c r="D50" s="97"/>
      <c r="E50" s="97"/>
      <c r="F50" s="2"/>
      <c r="G50" s="2"/>
      <c r="H50" s="2"/>
      <c r="P50" s="153"/>
      <c r="Q50" s="152"/>
      <c r="R50" s="13"/>
      <c r="S50" s="13"/>
      <c r="T50" s="13"/>
      <c r="U50" s="13"/>
      <c r="V50" s="13"/>
      <c r="W50" s="13"/>
      <c r="X50" s="13"/>
    </row>
    <row r="51" spans="1:24" ht="16.5" hidden="1" customHeight="1">
      <c r="A51" s="2"/>
      <c r="B51" s="96"/>
      <c r="C51" s="97"/>
      <c r="D51" s="97"/>
      <c r="E51" s="97"/>
      <c r="F51" s="2"/>
      <c r="G51" s="2"/>
      <c r="H51" s="2"/>
      <c r="P51" s="153"/>
      <c r="Q51" s="152"/>
      <c r="R51" s="13"/>
      <c r="S51" s="13"/>
      <c r="T51" s="13"/>
      <c r="U51" s="13"/>
      <c r="V51" s="13"/>
      <c r="W51" s="13"/>
      <c r="X51" s="13"/>
    </row>
    <row r="52" spans="1:24" ht="16.5" hidden="1" customHeight="1">
      <c r="B52" s="135"/>
      <c r="C52" s="140"/>
      <c r="D52" s="140"/>
      <c r="E52" s="140"/>
      <c r="P52" s="153"/>
      <c r="Q52" s="152"/>
      <c r="R52" s="13"/>
      <c r="S52" s="13"/>
      <c r="T52" s="13"/>
      <c r="U52" s="13"/>
      <c r="V52" s="13"/>
      <c r="W52" s="13"/>
      <c r="X52" s="13"/>
    </row>
    <row r="53" spans="1:24" ht="16.5" hidden="1" customHeight="1">
      <c r="B53" s="135" t="str">
        <f>'2- Food- Trout RAS'!B50</f>
        <v>Year</v>
      </c>
      <c r="C53" s="135"/>
      <c r="D53" s="135"/>
      <c r="E53" s="135"/>
      <c r="F53" s="135"/>
      <c r="G53" s="135"/>
      <c r="H53" s="135"/>
      <c r="I53" s="96"/>
      <c r="P53" s="153"/>
      <c r="Q53" s="152"/>
      <c r="R53" s="13"/>
      <c r="S53" s="13"/>
      <c r="T53" s="13"/>
      <c r="U53" s="13"/>
      <c r="V53" s="13"/>
      <c r="W53" s="13"/>
      <c r="X53" s="13"/>
    </row>
    <row r="54" spans="1:24" ht="16.5" hidden="1" customHeight="1">
      <c r="B54" s="135" t="str">
        <f>'2- Food- Trout RAS'!B51</f>
        <v>Year</v>
      </c>
      <c r="C54" s="135" t="str">
        <f>'2- Food- Trout RAS'!C51</f>
        <v>Investment</v>
      </c>
      <c r="D54" s="135" t="str">
        <f>'2- Food- Trout RAS'!D51</f>
        <v>Revenue - Cash Costs</v>
      </c>
      <c r="E54" s="135" t="str">
        <f>'2- Food- Trout RAS'!E51</f>
        <v>Net cash flow</v>
      </c>
      <c r="F54" s="135" t="str">
        <f>'2- Food- Trout RAS'!F51</f>
        <v>Cumulated cash flow</v>
      </c>
      <c r="G54" s="135"/>
      <c r="H54" s="135"/>
      <c r="I54" s="96"/>
      <c r="P54" s="13"/>
      <c r="Q54" s="13"/>
      <c r="R54" s="13"/>
      <c r="S54" s="13"/>
      <c r="T54" s="13"/>
      <c r="U54" s="13"/>
      <c r="V54" s="13"/>
      <c r="W54" s="13"/>
      <c r="X54" s="13"/>
    </row>
    <row r="55" spans="1:24" ht="16.5" hidden="1" customHeight="1">
      <c r="B55" s="135">
        <f>'2- Food- Trout RAS'!B52</f>
        <v>0</v>
      </c>
      <c r="C55" s="135">
        <f>'2- Food- Trout RAS'!C52</f>
        <v>451351.125</v>
      </c>
      <c r="D55" s="135">
        <f>'3- Stocking- Trout RAS'!D51</f>
        <v>0</v>
      </c>
      <c r="E55" s="135">
        <f>D55-C55</f>
        <v>-451351.125</v>
      </c>
      <c r="F55" s="136">
        <f>E55</f>
        <v>-451351.125</v>
      </c>
      <c r="G55" s="135"/>
      <c r="H55" s="135"/>
      <c r="I55" s="96"/>
      <c r="P55" s="13"/>
      <c r="Q55" s="13"/>
      <c r="R55" s="13"/>
      <c r="S55" s="13"/>
      <c r="T55" s="13"/>
      <c r="U55" s="13"/>
      <c r="V55" s="13"/>
      <c r="W55" s="13"/>
      <c r="X55" s="13"/>
    </row>
    <row r="56" spans="1:24" ht="16.5" hidden="1" customHeight="1">
      <c r="B56" s="135">
        <f>'2- Food- Trout RAS'!B53</f>
        <v>1</v>
      </c>
      <c r="C56" s="137">
        <f ca="1">'2- Food- Trout RAS'!C53</f>
        <v>0</v>
      </c>
      <c r="D56" s="137">
        <f>F7-F23-F26-F27-F28</f>
        <v>148240.89176740416</v>
      </c>
      <c r="E56" s="135">
        <f t="shared" ref="E56:E64" ca="1" si="10">D56-C56</f>
        <v>148240.89176740416</v>
      </c>
      <c r="F56" s="136">
        <f ca="1">F55+E56</f>
        <v>-303110.23323259584</v>
      </c>
      <c r="G56" s="135"/>
      <c r="H56" s="135"/>
      <c r="I56" s="96"/>
    </row>
    <row r="57" spans="1:24" ht="16.5" hidden="1" customHeight="1">
      <c r="B57" s="135">
        <f>'2- Food- Trout RAS'!B54</f>
        <v>2</v>
      </c>
      <c r="C57" s="137">
        <f ca="1">'2- Food- Trout RAS'!C54</f>
        <v>6150</v>
      </c>
      <c r="D57" s="137">
        <f>D56</f>
        <v>148240.89176740416</v>
      </c>
      <c r="E57" s="135">
        <f t="shared" ca="1" si="10"/>
        <v>142090.89176740416</v>
      </c>
      <c r="F57" s="136">
        <f t="shared" ref="F57:F64" ca="1" si="11">F56+E57</f>
        <v>-161019.34146519168</v>
      </c>
      <c r="G57" s="135"/>
      <c r="H57" s="135"/>
      <c r="I57" s="96"/>
    </row>
    <row r="58" spans="1:24" ht="16.5" hidden="1" customHeight="1">
      <c r="B58" s="135">
        <f>'2- Food- Trout RAS'!B55</f>
        <v>3</v>
      </c>
      <c r="C58" s="137">
        <f>'2- Food- Trout RAS'!C55</f>
        <v>200</v>
      </c>
      <c r="D58" s="137">
        <f t="shared" ref="D58:D65" si="12">D57</f>
        <v>148240.89176740416</v>
      </c>
      <c r="E58" s="135">
        <f t="shared" si="10"/>
        <v>148040.89176740416</v>
      </c>
      <c r="F58" s="136">
        <f t="shared" ca="1" si="11"/>
        <v>-12978.449697787524</v>
      </c>
      <c r="G58" s="135"/>
      <c r="H58" s="135"/>
      <c r="I58" s="96"/>
    </row>
    <row r="59" spans="1:24" ht="16.5" hidden="1" customHeight="1">
      <c r="B59" s="135">
        <f>'2- Food- Trout RAS'!B56</f>
        <v>4</v>
      </c>
      <c r="C59" s="137">
        <f ca="1">'2- Food- Trout RAS'!C56</f>
        <v>0</v>
      </c>
      <c r="D59" s="137">
        <f t="shared" si="12"/>
        <v>148240.89176740416</v>
      </c>
      <c r="E59" s="135">
        <f t="shared" ca="1" si="10"/>
        <v>148240.89176740416</v>
      </c>
      <c r="F59" s="136">
        <f t="shared" ca="1" si="11"/>
        <v>135262.44206961663</v>
      </c>
      <c r="G59" s="135"/>
      <c r="H59" s="135"/>
      <c r="I59" s="96"/>
    </row>
    <row r="60" spans="1:24" ht="16.5" hidden="1" customHeight="1">
      <c r="B60" s="135">
        <f>'2- Food- Trout RAS'!B57</f>
        <v>5</v>
      </c>
      <c r="C60" s="137">
        <f ca="1">'2- Food- Trout RAS'!C57</f>
        <v>19444.800000000003</v>
      </c>
      <c r="D60" s="137">
        <f t="shared" si="12"/>
        <v>148240.89176740416</v>
      </c>
      <c r="E60" s="135">
        <f t="shared" ca="1" si="10"/>
        <v>128796.09176740416</v>
      </c>
      <c r="F60" s="136">
        <f t="shared" ca="1" si="11"/>
        <v>264058.5338370208</v>
      </c>
      <c r="G60" s="135"/>
      <c r="H60" s="135"/>
      <c r="I60" s="96"/>
    </row>
    <row r="61" spans="1:24" ht="16.5" hidden="1" customHeight="1">
      <c r="B61" s="135">
        <f>'2- Food- Trout RAS'!B58</f>
        <v>6</v>
      </c>
      <c r="C61" s="137">
        <f ca="1">'2- Food- Trout RAS'!C58</f>
        <v>0</v>
      </c>
      <c r="D61" s="137">
        <f t="shared" si="12"/>
        <v>148240.89176740416</v>
      </c>
      <c r="E61" s="135">
        <f t="shared" ca="1" si="10"/>
        <v>148240.89176740416</v>
      </c>
      <c r="F61" s="136">
        <f t="shared" ca="1" si="11"/>
        <v>412299.42560442496</v>
      </c>
      <c r="G61" s="135"/>
      <c r="H61" s="135"/>
      <c r="I61" s="96"/>
      <c r="J61" s="96"/>
      <c r="K61" s="96"/>
      <c r="L61" s="96"/>
      <c r="M61" s="96"/>
      <c r="N61" s="96"/>
      <c r="O61" s="96"/>
      <c r="P61" s="96"/>
      <c r="Q61" s="96"/>
    </row>
    <row r="62" spans="1:24" ht="16.5" hidden="1" customHeight="1">
      <c r="B62" s="135">
        <f>'2- Food- Trout RAS'!B59</f>
        <v>7</v>
      </c>
      <c r="C62" s="137">
        <f ca="1">'2- Food- Trout RAS'!C59</f>
        <v>990</v>
      </c>
      <c r="D62" s="137">
        <f t="shared" si="12"/>
        <v>148240.89176740416</v>
      </c>
      <c r="E62" s="135">
        <f t="shared" ca="1" si="10"/>
        <v>147250.89176740416</v>
      </c>
      <c r="F62" s="136">
        <f t="shared" ca="1" si="11"/>
        <v>559550.31737182918</v>
      </c>
      <c r="G62" s="135"/>
      <c r="H62" s="135"/>
      <c r="I62" s="96"/>
      <c r="J62" s="96"/>
      <c r="K62" s="96"/>
      <c r="L62" s="96"/>
      <c r="M62" s="96"/>
      <c r="N62" s="96"/>
      <c r="O62" s="96"/>
      <c r="P62" s="96"/>
      <c r="Q62" s="96"/>
      <c r="R62" s="96"/>
      <c r="S62" s="96"/>
      <c r="T62" s="96"/>
      <c r="U62" s="96"/>
      <c r="V62" s="96"/>
    </row>
    <row r="63" spans="1:24" ht="16.5" hidden="1" customHeight="1">
      <c r="B63" s="135">
        <f>'2- Food- Trout RAS'!B60</f>
        <v>8</v>
      </c>
      <c r="C63" s="137">
        <f ca="1">'2- Food- Trout RAS'!C60</f>
        <v>0</v>
      </c>
      <c r="D63" s="137">
        <f t="shared" si="12"/>
        <v>148240.89176740416</v>
      </c>
      <c r="E63" s="135">
        <f t="shared" ca="1" si="10"/>
        <v>148240.89176740416</v>
      </c>
      <c r="F63" s="136">
        <f t="shared" ca="1" si="11"/>
        <v>707791.20913923334</v>
      </c>
      <c r="G63" s="135"/>
      <c r="H63" s="135"/>
      <c r="I63" s="96"/>
      <c r="J63" s="96"/>
      <c r="K63" s="96"/>
      <c r="L63" s="96"/>
      <c r="M63" s="96"/>
      <c r="N63" s="96"/>
      <c r="O63" s="96"/>
      <c r="P63" s="96"/>
      <c r="Q63" s="96"/>
      <c r="R63" s="96"/>
      <c r="S63" s="96"/>
      <c r="T63" s="96"/>
      <c r="U63" s="96"/>
      <c r="V63" s="96"/>
    </row>
    <row r="64" spans="1:24" ht="16.5" hidden="1" customHeight="1">
      <c r="B64" s="135">
        <f>'2- Food- Trout RAS'!B61</f>
        <v>9</v>
      </c>
      <c r="C64" s="137">
        <f ca="1">'2- Food- Trout RAS'!C61</f>
        <v>0</v>
      </c>
      <c r="D64" s="137">
        <f t="shared" si="12"/>
        <v>148240.89176740416</v>
      </c>
      <c r="E64" s="135">
        <f t="shared" ca="1" si="10"/>
        <v>148240.89176740416</v>
      </c>
      <c r="F64" s="136">
        <f t="shared" ca="1" si="11"/>
        <v>856032.1009066375</v>
      </c>
      <c r="G64" s="135"/>
      <c r="H64" s="135"/>
      <c r="I64" s="96"/>
      <c r="J64" s="96"/>
      <c r="K64" s="96"/>
      <c r="L64" s="96"/>
      <c r="M64" s="96"/>
      <c r="N64" s="96"/>
      <c r="O64" s="96"/>
      <c r="P64" s="96"/>
      <c r="Q64" s="96"/>
    </row>
    <row r="65" spans="2:17" ht="16.5" hidden="1" customHeight="1">
      <c r="B65" s="135">
        <f>'2- Food- Trout RAS'!B62</f>
        <v>10</v>
      </c>
      <c r="C65" s="137">
        <f ca="1">'2- Food- Trout RAS'!C62</f>
        <v>93157</v>
      </c>
      <c r="D65" s="137">
        <f t="shared" si="12"/>
        <v>148240.89176740416</v>
      </c>
      <c r="E65" s="137">
        <f ca="1">D65-C65+D66</f>
        <v>374082.93938645173</v>
      </c>
      <c r="F65" s="136">
        <f ca="1">F64+E65</f>
        <v>1230115.0402930891</v>
      </c>
      <c r="G65" s="135"/>
      <c r="H65" s="135"/>
      <c r="I65" s="96"/>
      <c r="J65" s="96"/>
      <c r="K65" s="96"/>
      <c r="L65" s="96"/>
      <c r="M65" s="96"/>
      <c r="N65" s="96"/>
      <c r="O65" s="96"/>
      <c r="P65" s="96"/>
      <c r="Q65" s="96"/>
    </row>
    <row r="66" spans="2:17" ht="17.25" hidden="1">
      <c r="B66" s="135" t="str">
        <f>'2- Food- Trout RAS'!B63</f>
        <v>Residual value at year 10</v>
      </c>
      <c r="C66" s="135"/>
      <c r="D66" s="137">
        <f>'2- Food- Trout RAS'!D63</f>
        <v>318999.04761904757</v>
      </c>
      <c r="E66" s="135"/>
      <c r="F66" s="135"/>
      <c r="G66" s="135"/>
      <c r="H66" s="135"/>
      <c r="I66" s="96"/>
      <c r="J66" s="96"/>
      <c r="K66" s="96"/>
      <c r="L66" s="96"/>
      <c r="M66" s="96"/>
      <c r="N66" s="96"/>
      <c r="O66" s="96"/>
      <c r="P66" s="96"/>
      <c r="Q66" s="96"/>
    </row>
  </sheetData>
  <sheetProtection sheet="1" objects="1" scenarios="1"/>
  <mergeCells count="1">
    <mergeCell ref="B2:H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ECE01-C272-4A2A-8936-8F8CD5A22353}">
  <dimension ref="A1:U37"/>
  <sheetViews>
    <sheetView zoomScale="80" zoomScaleNormal="80" workbookViewId="0">
      <selection activeCell="C14" sqref="C14"/>
    </sheetView>
  </sheetViews>
  <sheetFormatPr defaultColWidth="0" defaultRowHeight="17.25" customHeight="1" zeroHeight="1"/>
  <cols>
    <col min="1" max="1" width="28.5546875" style="22" bestFit="1" customWidth="1"/>
    <col min="2" max="2" width="14.5546875" style="22" bestFit="1" customWidth="1"/>
    <col min="3" max="3" width="10" style="22" customWidth="1"/>
    <col min="4" max="4" width="3.77734375" style="22" customWidth="1"/>
    <col min="5" max="5" width="25.77734375" style="22" customWidth="1"/>
    <col min="6" max="17" width="12.77734375" style="22" customWidth="1"/>
    <col min="18" max="18" width="3.77734375" style="22" customWidth="1"/>
    <col min="19" max="21" width="0" style="22" hidden="1" customWidth="1"/>
    <col min="22" max="16384" width="8.88671875" style="22" hidden="1"/>
  </cols>
  <sheetData>
    <row r="1" spans="1:20">
      <c r="A1" s="614" t="s">
        <v>195</v>
      </c>
      <c r="B1" s="615"/>
      <c r="C1" s="616"/>
      <c r="D1" s="43"/>
      <c r="E1" s="614" t="s">
        <v>172</v>
      </c>
      <c r="F1" s="615"/>
      <c r="G1" s="616"/>
      <c r="I1" s="614" t="s">
        <v>174</v>
      </c>
      <c r="J1" s="615"/>
      <c r="K1" s="615"/>
      <c r="M1" s="620" t="s">
        <v>207</v>
      </c>
      <c r="N1" s="620"/>
      <c r="O1" s="620"/>
    </row>
    <row r="2" spans="1:20">
      <c r="A2" s="28" t="s">
        <v>12</v>
      </c>
      <c r="B2" s="28" t="s">
        <v>11</v>
      </c>
      <c r="C2" s="45" t="s">
        <v>13</v>
      </c>
      <c r="E2" s="44" t="s">
        <v>96</v>
      </c>
      <c r="F2" s="49" t="s">
        <v>176</v>
      </c>
      <c r="G2" s="45" t="s">
        <v>144</v>
      </c>
      <c r="I2" s="49" t="s">
        <v>180</v>
      </c>
      <c r="J2" s="49"/>
      <c r="K2" s="49"/>
      <c r="M2" s="22" t="s">
        <v>208</v>
      </c>
      <c r="N2" s="22" t="s">
        <v>209</v>
      </c>
      <c r="O2" s="22" t="s">
        <v>144</v>
      </c>
    </row>
    <row r="3" spans="1:20">
      <c r="A3" s="23" t="s">
        <v>140</v>
      </c>
      <c r="B3" s="40" t="s">
        <v>152</v>
      </c>
      <c r="C3" s="42">
        <f>'Capital Inputs'!D6+'Capital Inputs'!$D$9</f>
        <v>8900</v>
      </c>
      <c r="D3" s="33"/>
      <c r="E3" s="23" t="s">
        <v>15</v>
      </c>
      <c r="F3" s="60">
        <f>SUM($F$24:$Q$24)/G14/K13</f>
        <v>32526.968719739391</v>
      </c>
      <c r="G3" s="42">
        <f>F3*K4</f>
        <v>3577.9665591713328</v>
      </c>
      <c r="I3" s="23" t="s">
        <v>88</v>
      </c>
      <c r="J3" s="57" t="s">
        <v>171</v>
      </c>
      <c r="K3" s="52">
        <f>'Operating Inputs'!D21</f>
        <v>53.6</v>
      </c>
      <c r="M3" s="22" t="s">
        <v>247</v>
      </c>
      <c r="N3" s="67">
        <f>'4- Stocking- Walleye RA'!D5*'4- Stocking- Walleye RA'!L11*'Walleye Utilities'!$B$37/(24*365)</f>
        <v>3.4191407656814636</v>
      </c>
      <c r="O3" s="67">
        <f t="shared" ref="O3" si="0">N3/1.33*24*365*$K$4</f>
        <v>2477.2060464741794</v>
      </c>
    </row>
    <row r="4" spans="1:20">
      <c r="A4" s="23" t="s">
        <v>92</v>
      </c>
      <c r="B4" s="40" t="s">
        <v>167</v>
      </c>
      <c r="C4" s="42">
        <f>'Operating Inputs'!D26</f>
        <v>10</v>
      </c>
      <c r="E4" s="23" t="s">
        <v>52</v>
      </c>
      <c r="F4" s="60">
        <f>SUM($F$24:$Q$24)/G15/K14/10</f>
        <v>112.96787357565977</v>
      </c>
      <c r="G4" s="42">
        <f>F4*K7</f>
        <v>1751.0020404227264</v>
      </c>
      <c r="I4" s="23" t="s">
        <v>107</v>
      </c>
      <c r="J4" s="57" t="s">
        <v>179</v>
      </c>
      <c r="K4" s="52">
        <f>'Operating Inputs'!D20</f>
        <v>0.11</v>
      </c>
      <c r="N4" s="67"/>
      <c r="O4" s="67"/>
    </row>
    <row r="5" spans="1:20" ht="18" thickBot="1">
      <c r="A5" s="23" t="s">
        <v>61</v>
      </c>
      <c r="B5" s="40" t="s">
        <v>65</v>
      </c>
      <c r="C5" s="42">
        <f>'Operating Inputs'!G24</f>
        <v>63</v>
      </c>
      <c r="E5" s="32" t="s">
        <v>97</v>
      </c>
      <c r="F5" s="60">
        <f>SUM($F$24:$Q$24)/G16/K15</f>
        <v>1280.2745830469189</v>
      </c>
      <c r="G5" s="54">
        <f>F5*K9</f>
        <v>2368.5079786368001</v>
      </c>
      <c r="I5" s="49" t="s">
        <v>181</v>
      </c>
      <c r="J5" s="49"/>
      <c r="K5" s="49"/>
      <c r="N5" s="67"/>
      <c r="O5" s="67"/>
    </row>
    <row r="6" spans="1:20">
      <c r="A6" s="23" t="s">
        <v>114</v>
      </c>
      <c r="B6" s="40"/>
      <c r="C6" s="24" t="str">
        <f>'Operating Inputs'!D19</f>
        <v>Natural gas</v>
      </c>
      <c r="E6" s="614" t="s">
        <v>173</v>
      </c>
      <c r="F6" s="615"/>
      <c r="G6" s="616"/>
      <c r="I6" s="23" t="s">
        <v>88</v>
      </c>
      <c r="J6" s="57" t="s">
        <v>89</v>
      </c>
      <c r="K6" s="52">
        <f>'Operating Inputs'!D23</f>
        <v>53.6</v>
      </c>
      <c r="N6" s="67"/>
      <c r="O6" s="67"/>
    </row>
    <row r="7" spans="1:20">
      <c r="A7" s="23" t="s">
        <v>64</v>
      </c>
      <c r="B7" s="40" t="s">
        <v>131</v>
      </c>
      <c r="C7" s="34">
        <v>0.5</v>
      </c>
      <c r="E7" s="44" t="s">
        <v>12</v>
      </c>
      <c r="F7" s="44" t="s">
        <v>104</v>
      </c>
      <c r="G7" s="45" t="s">
        <v>144</v>
      </c>
      <c r="I7" s="23" t="s">
        <v>100</v>
      </c>
      <c r="J7" s="57" t="s">
        <v>178</v>
      </c>
      <c r="K7" s="52">
        <f>'Operating Inputs'!D22</f>
        <v>15.5</v>
      </c>
      <c r="M7" s="620"/>
      <c r="N7" s="620"/>
      <c r="O7" s="620"/>
      <c r="P7" s="33"/>
    </row>
    <row r="8" spans="1:20">
      <c r="A8" s="23" t="s">
        <v>116</v>
      </c>
      <c r="B8" s="40" t="s">
        <v>117</v>
      </c>
      <c r="C8" s="31">
        <v>0.02</v>
      </c>
      <c r="E8" s="23" t="s">
        <v>101</v>
      </c>
      <c r="F8" s="59" t="str">
        <f>ROUND(B25*B26*24*365/1000,0) &amp; " kWh"</f>
        <v>16368 kWh</v>
      </c>
      <c r="G8" s="42">
        <f>B25*B26*24*365/1000*K4</f>
        <v>1800.4850746268653</v>
      </c>
      <c r="I8" s="49" t="s">
        <v>97</v>
      </c>
      <c r="J8" s="49"/>
      <c r="K8" s="49"/>
    </row>
    <row r="9" spans="1:20" ht="18" thickBot="1">
      <c r="A9" s="23" t="s">
        <v>94</v>
      </c>
      <c r="B9" s="40" t="s">
        <v>168</v>
      </c>
      <c r="C9" s="31">
        <v>0.25</v>
      </c>
      <c r="E9" s="23" t="s">
        <v>102</v>
      </c>
      <c r="F9" s="40" t="str">
        <f>C12 &amp; " hours per day"</f>
        <v>16 hours per day</v>
      </c>
      <c r="G9" s="42">
        <f>C12*C3*C13/1000*K4*365</f>
        <v>7146.7000000000007</v>
      </c>
      <c r="I9" s="32" t="s">
        <v>99</v>
      </c>
      <c r="J9" s="58" t="s">
        <v>177</v>
      </c>
      <c r="K9" s="53">
        <f>'Operating Inputs'!D24</f>
        <v>1.85</v>
      </c>
    </row>
    <row r="10" spans="1:20" ht="18" thickBot="1">
      <c r="A10" s="23" t="s">
        <v>130</v>
      </c>
      <c r="B10" s="40" t="s">
        <v>131</v>
      </c>
      <c r="C10" s="65">
        <v>1</v>
      </c>
      <c r="E10" s="23" t="s">
        <v>63</v>
      </c>
      <c r="F10" s="40" t="str">
        <f>ROUND(B21,0) &amp; " CFM"</f>
        <v>757 CFM</v>
      </c>
      <c r="G10" s="42">
        <f>B21/C16*24*365*K4</f>
        <v>540.18896447467887</v>
      </c>
      <c r="T10" s="26"/>
    </row>
    <row r="11" spans="1:20" ht="18" thickBot="1">
      <c r="A11" s="23" t="s">
        <v>202</v>
      </c>
      <c r="B11" s="40" t="s">
        <v>203</v>
      </c>
      <c r="C11" s="65">
        <v>5</v>
      </c>
      <c r="E11" s="32" t="s">
        <v>103</v>
      </c>
      <c r="F11" s="41" t="str">
        <f>C14 &amp; " kWh"</f>
        <v>2500 kWh</v>
      </c>
      <c r="G11" s="54">
        <f>C14*K4</f>
        <v>275</v>
      </c>
      <c r="I11" s="614" t="s">
        <v>175</v>
      </c>
      <c r="J11" s="615"/>
      <c r="K11" s="616"/>
      <c r="T11" s="35"/>
    </row>
    <row r="12" spans="1:20" ht="18" thickBot="1">
      <c r="A12" s="23" t="s">
        <v>151</v>
      </c>
      <c r="B12" s="40" t="s">
        <v>105</v>
      </c>
      <c r="C12" s="61">
        <f>'Operating Inputs'!D33</f>
        <v>16</v>
      </c>
      <c r="E12" s="617" t="s">
        <v>196</v>
      </c>
      <c r="F12" s="617"/>
      <c r="G12" s="618"/>
      <c r="I12" s="28" t="s">
        <v>96</v>
      </c>
      <c r="J12" s="28" t="s">
        <v>11</v>
      </c>
      <c r="K12" s="45" t="s">
        <v>13</v>
      </c>
    </row>
    <row r="13" spans="1:20">
      <c r="A13" s="23" t="s">
        <v>108</v>
      </c>
      <c r="B13" s="40" t="s">
        <v>170</v>
      </c>
      <c r="C13" s="46">
        <v>1.25</v>
      </c>
      <c r="E13" s="44" t="s">
        <v>62</v>
      </c>
      <c r="F13" s="44" t="s">
        <v>11</v>
      </c>
      <c r="G13" s="45" t="s">
        <v>106</v>
      </c>
      <c r="I13" s="23" t="s">
        <v>98</v>
      </c>
      <c r="J13" s="40" t="s">
        <v>156</v>
      </c>
      <c r="K13" s="31">
        <v>0.95</v>
      </c>
    </row>
    <row r="14" spans="1:20">
      <c r="A14" s="23" t="s">
        <v>109</v>
      </c>
      <c r="B14" s="40" t="s">
        <v>110</v>
      </c>
      <c r="C14" s="48">
        <v>2500</v>
      </c>
      <c r="E14" s="23" t="s">
        <v>15</v>
      </c>
      <c r="F14" s="40" t="s">
        <v>86</v>
      </c>
      <c r="G14" s="79">
        <v>3412</v>
      </c>
      <c r="I14" s="23" t="s">
        <v>52</v>
      </c>
      <c r="J14" s="40" t="s">
        <v>156</v>
      </c>
      <c r="K14" s="31">
        <v>0.9</v>
      </c>
    </row>
    <row r="15" spans="1:20" ht="18" thickBot="1">
      <c r="A15" s="23" t="s">
        <v>83</v>
      </c>
      <c r="B15" s="40" t="s">
        <v>56</v>
      </c>
      <c r="C15" s="62">
        <v>0.24</v>
      </c>
      <c r="E15" s="23" t="s">
        <v>52</v>
      </c>
      <c r="F15" s="40" t="s">
        <v>90</v>
      </c>
      <c r="G15" s="79">
        <v>103700</v>
      </c>
      <c r="I15" s="32" t="s">
        <v>97</v>
      </c>
      <c r="J15" s="41" t="s">
        <v>156</v>
      </c>
      <c r="K15" s="56">
        <v>0.9</v>
      </c>
    </row>
    <row r="16" spans="1:20" ht="18" thickBot="1">
      <c r="A16" s="32" t="s">
        <v>111</v>
      </c>
      <c r="B16" s="41" t="s">
        <v>112</v>
      </c>
      <c r="C16" s="47">
        <v>1350</v>
      </c>
      <c r="E16" s="32" t="s">
        <v>99</v>
      </c>
      <c r="F16" s="41" t="s">
        <v>87</v>
      </c>
      <c r="G16" s="80">
        <v>91502</v>
      </c>
    </row>
    <row r="17" spans="1:17">
      <c r="A17" s="33"/>
      <c r="C17" s="37"/>
      <c r="F17" s="38" t="s">
        <v>113</v>
      </c>
      <c r="G17" s="55">
        <f>IF(C6=E3,G3,IF(C6=E4,G4,G5))+SUM(G8:G11)+K3*12+K6*12</f>
        <v>12799.776079524274</v>
      </c>
    </row>
    <row r="18" spans="1:17" ht="18" thickBot="1">
      <c r="C18" s="37"/>
    </row>
    <row r="19" spans="1:17" ht="18" thickBot="1">
      <c r="A19" s="22" t="s">
        <v>79</v>
      </c>
      <c r="B19" s="50">
        <f>C3*C4</f>
        <v>89000</v>
      </c>
      <c r="E19" s="619" t="s">
        <v>78</v>
      </c>
      <c r="F19" s="617"/>
      <c r="G19" s="617"/>
      <c r="H19" s="617"/>
      <c r="I19" s="617"/>
      <c r="J19" s="617"/>
      <c r="K19" s="617"/>
      <c r="L19" s="617"/>
      <c r="M19" s="617"/>
      <c r="N19" s="617"/>
      <c r="O19" s="617"/>
      <c r="P19" s="617"/>
      <c r="Q19" s="618"/>
    </row>
    <row r="20" spans="1:17">
      <c r="A20" s="22" t="s">
        <v>80</v>
      </c>
      <c r="B20" s="50">
        <f>B19*24*(C7)/(1-C8)</f>
        <v>1089795.918367347</v>
      </c>
      <c r="E20" s="23"/>
      <c r="F20" s="63" t="s">
        <v>66</v>
      </c>
      <c r="G20" s="63" t="s">
        <v>67</v>
      </c>
      <c r="H20" s="63" t="s">
        <v>68</v>
      </c>
      <c r="I20" s="63" t="s">
        <v>69</v>
      </c>
      <c r="J20" s="63" t="s">
        <v>70</v>
      </c>
      <c r="K20" s="63" t="s">
        <v>71</v>
      </c>
      <c r="L20" s="63" t="s">
        <v>72</v>
      </c>
      <c r="M20" s="63" t="s">
        <v>73</v>
      </c>
      <c r="N20" s="63" t="s">
        <v>74</v>
      </c>
      <c r="O20" s="63" t="s">
        <v>75</v>
      </c>
      <c r="P20" s="63" t="s">
        <v>76</v>
      </c>
      <c r="Q20" s="64" t="s">
        <v>77</v>
      </c>
    </row>
    <row r="21" spans="1:17">
      <c r="A21" s="22" t="s">
        <v>93</v>
      </c>
      <c r="B21" s="50">
        <f>B20/24/60</f>
        <v>756.80272108843542</v>
      </c>
      <c r="E21" s="25" t="s">
        <v>81</v>
      </c>
      <c r="F21" s="22">
        <f>'Operating Inputs'!G4</f>
        <v>30</v>
      </c>
      <c r="G21" s="22">
        <f>'Operating Inputs'!G5</f>
        <v>34</v>
      </c>
      <c r="H21" s="22">
        <f>'Operating Inputs'!G6</f>
        <v>44</v>
      </c>
      <c r="I21" s="22">
        <f>'Operating Inputs'!G7</f>
        <v>55</v>
      </c>
      <c r="J21" s="22">
        <f>'Operating Inputs'!G8</f>
        <v>63</v>
      </c>
      <c r="K21" s="22">
        <f>'Operating Inputs'!G9</f>
        <v>73</v>
      </c>
      <c r="L21" s="22">
        <f>'Operating Inputs'!G10</f>
        <v>77</v>
      </c>
      <c r="M21" s="22">
        <f>'Operating Inputs'!G11</f>
        <v>76</v>
      </c>
      <c r="N21" s="22">
        <f>'Operating Inputs'!G12</f>
        <v>67</v>
      </c>
      <c r="O21" s="22">
        <f>'Operating Inputs'!G13</f>
        <v>56</v>
      </c>
      <c r="P21" s="22">
        <f>'Operating Inputs'!G14</f>
        <v>44</v>
      </c>
      <c r="Q21" s="24">
        <f>'Operating Inputs'!G15</f>
        <v>33</v>
      </c>
    </row>
    <row r="22" spans="1:17">
      <c r="A22" s="22" t="s">
        <v>83</v>
      </c>
      <c r="B22" s="22">
        <f>C15</f>
        <v>0.24</v>
      </c>
      <c r="E22" s="25" t="s">
        <v>85</v>
      </c>
      <c r="F22" s="29">
        <v>31</v>
      </c>
      <c r="G22" s="51">
        <v>28.25</v>
      </c>
      <c r="H22" s="29">
        <v>31</v>
      </c>
      <c r="I22" s="29">
        <v>30</v>
      </c>
      <c r="J22" s="29">
        <v>31</v>
      </c>
      <c r="K22" s="29">
        <v>30</v>
      </c>
      <c r="L22" s="29">
        <v>31</v>
      </c>
      <c r="M22" s="29">
        <v>31</v>
      </c>
      <c r="N22" s="29">
        <v>30</v>
      </c>
      <c r="O22" s="29">
        <v>31</v>
      </c>
      <c r="P22" s="29">
        <v>30</v>
      </c>
      <c r="Q22" s="30">
        <v>31</v>
      </c>
    </row>
    <row r="23" spans="1:17">
      <c r="A23" s="22" t="s">
        <v>91</v>
      </c>
      <c r="B23" s="37">
        <f>MAX(F24:Q24)/31/24</f>
        <v>28051.346938775507</v>
      </c>
      <c r="E23" s="25" t="s">
        <v>82</v>
      </c>
      <c r="F23" s="22">
        <v>7.8E-2</v>
      </c>
      <c r="G23" s="22">
        <v>7.8E-2</v>
      </c>
      <c r="H23" s="22">
        <v>7.5999999999999998E-2</v>
      </c>
      <c r="I23" s="22">
        <v>7.3999999999999996E-2</v>
      </c>
      <c r="J23" s="22">
        <v>7.2999999999999995E-2</v>
      </c>
      <c r="K23" s="22">
        <v>7.1999999999999995E-2</v>
      </c>
      <c r="L23" s="22">
        <v>7.0999999999999994E-2</v>
      </c>
      <c r="M23" s="22">
        <v>7.0999999999999994E-2</v>
      </c>
      <c r="N23" s="22">
        <v>7.2999999999999995E-2</v>
      </c>
      <c r="O23" s="22">
        <v>7.3999999999999996E-2</v>
      </c>
      <c r="P23" s="22">
        <v>7.5999999999999998E-2</v>
      </c>
      <c r="Q23" s="24">
        <v>7.8E-2</v>
      </c>
    </row>
    <row r="24" spans="1:17">
      <c r="A24" s="22" t="s">
        <v>95</v>
      </c>
      <c r="B24" s="37">
        <f>B23*(1+C9)</f>
        <v>35064.183673469386</v>
      </c>
      <c r="E24" s="25" t="s">
        <v>84</v>
      </c>
      <c r="F24" s="37">
        <f t="shared" ref="F24:Q24" si="1">IF(F25=$F$28,ABS(($C$5-F21)*$B$22*F23*$B$20*F22),0)</f>
        <v>20870202.122448977</v>
      </c>
      <c r="G24" s="37">
        <f t="shared" si="1"/>
        <v>16713502.530612245</v>
      </c>
      <c r="H24" s="37">
        <f t="shared" si="1"/>
        <v>11708069.877551021</v>
      </c>
      <c r="I24" s="37">
        <f t="shared" si="1"/>
        <v>4645146.1224489789</v>
      </c>
      <c r="J24" s="37">
        <f t="shared" si="1"/>
        <v>0</v>
      </c>
      <c r="K24" s="37">
        <f t="shared" si="1"/>
        <v>5649502.0408163266</v>
      </c>
      <c r="L24" s="37">
        <f t="shared" si="1"/>
        <v>8059433.1428571418</v>
      </c>
      <c r="M24" s="37">
        <f t="shared" si="1"/>
        <v>7483759.3469387759</v>
      </c>
      <c r="N24" s="37">
        <f t="shared" si="1"/>
        <v>0</v>
      </c>
      <c r="O24" s="37">
        <f t="shared" si="1"/>
        <v>0</v>
      </c>
      <c r="P24" s="37">
        <f t="shared" si="1"/>
        <v>11330390.204081632</v>
      </c>
      <c r="Q24" s="36">
        <f t="shared" si="1"/>
        <v>18972911.020408161</v>
      </c>
    </row>
    <row r="25" spans="1:17" ht="18" customHeight="1" thickBot="1">
      <c r="A25" s="22" t="s">
        <v>201</v>
      </c>
      <c r="B25" s="66">
        <f>C11*B26/3960/1.34/B26*1000</f>
        <v>0.94225840494497204</v>
      </c>
      <c r="E25" s="27" t="s">
        <v>249</v>
      </c>
      <c r="F25" s="99" t="str">
        <f>IF(ABS($C$5-F21)&gt;'Operating Inputs'!$G$25,"Yes","No")</f>
        <v>Yes</v>
      </c>
      <c r="G25" s="99" t="str">
        <f>IF(ABS($C$5-G21)&gt;'Operating Inputs'!$G$25,"Yes","No")</f>
        <v>Yes</v>
      </c>
      <c r="H25" s="99" t="str">
        <f>IF(ABS($C$5-H21)&gt;'Operating Inputs'!$G$25,"Yes","No")</f>
        <v>Yes</v>
      </c>
      <c r="I25" s="99" t="str">
        <f>IF(ABS($C$5-I21)&gt;'Operating Inputs'!$G$25,"Yes","No")</f>
        <v>Yes</v>
      </c>
      <c r="J25" s="99" t="str">
        <f>IF(ABS($C$5-J21)&gt;'Operating Inputs'!$G$25,"Yes","No")</f>
        <v>No</v>
      </c>
      <c r="K25" s="99" t="str">
        <f>IF(ABS($C$5-K21)&gt;'Operating Inputs'!$G$25,"Yes","No")</f>
        <v>Yes</v>
      </c>
      <c r="L25" s="99" t="str">
        <f>IF(ABS($C$5-L21)&gt;'Operating Inputs'!$G$25,"Yes","No")</f>
        <v>Yes</v>
      </c>
      <c r="M25" s="99" t="str">
        <f>IF(ABS($C$5-M21)&gt;'Operating Inputs'!$G$25,"Yes","No")</f>
        <v>Yes</v>
      </c>
      <c r="N25" s="99" t="str">
        <f>IF(ABS($C$5-N21)&gt;'Operating Inputs'!$G$25,"Yes","No")</f>
        <v>No</v>
      </c>
      <c r="O25" s="99" t="str">
        <f>IF(ABS($C$5-O21)&gt;'Operating Inputs'!$G$25,"Yes","No")</f>
        <v>No</v>
      </c>
      <c r="P25" s="99" t="str">
        <f>IF(ABS($C$5-P21)&gt;'Operating Inputs'!$G$25,"Yes","No")</f>
        <v>Yes</v>
      </c>
      <c r="Q25" s="100" t="str">
        <f>IF(ABS($C$5-Q21)&gt;'Operating Inputs'!$G$25,"Yes","No")</f>
        <v>Yes</v>
      </c>
    </row>
    <row r="26" spans="1:17">
      <c r="A26" s="23" t="s">
        <v>204</v>
      </c>
      <c r="B26" s="22">
        <f>ROUNDUP(C10*('Capital Inputs'!L16+'Capital Inputs'!L15)/60,0)</f>
        <v>1983</v>
      </c>
      <c r="E26" s="40" t="s">
        <v>169</v>
      </c>
    </row>
    <row r="28" spans="1:17" hidden="1">
      <c r="F28" s="39" t="s">
        <v>147</v>
      </c>
    </row>
    <row r="29" spans="1:17" hidden="1">
      <c r="F29" s="39" t="s">
        <v>148</v>
      </c>
    </row>
    <row r="37" spans="1:2">
      <c r="A37" s="22" t="s">
        <v>206</v>
      </c>
      <c r="B37" s="22">
        <v>0.25</v>
      </c>
    </row>
  </sheetData>
  <mergeCells count="9">
    <mergeCell ref="I11:K11"/>
    <mergeCell ref="E12:G12"/>
    <mergeCell ref="E19:Q19"/>
    <mergeCell ref="A1:C1"/>
    <mergeCell ref="E1:G1"/>
    <mergeCell ref="I1:K1"/>
    <mergeCell ref="M1:O1"/>
    <mergeCell ref="E6:G6"/>
    <mergeCell ref="M7:O7"/>
  </mergeCells>
  <dataValidations disablePrompts="1" count="2">
    <dataValidation type="list" allowBlank="1" showInputMessage="1" showErrorMessage="1" sqref="C6" xr:uid="{0B3EF009-BB6B-43ED-BA08-78A7ED7051AC}">
      <formula1>$E$3:$E$5</formula1>
    </dataValidation>
    <dataValidation type="list" allowBlank="1" showInputMessage="1" showErrorMessage="1" sqref="F25:Q25" xr:uid="{3772D90D-F956-4575-ABF9-678E305CAB69}">
      <formula1>$F$28:$F$29</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A9A52-F91B-43F6-AECD-8068630B7F7A}">
  <dimension ref="A1:U37"/>
  <sheetViews>
    <sheetView zoomScale="80" zoomScaleNormal="80" workbookViewId="0">
      <selection activeCell="I26" sqref="I26"/>
    </sheetView>
  </sheetViews>
  <sheetFormatPr defaultColWidth="0" defaultRowHeight="17.25" zeroHeight="1"/>
  <cols>
    <col min="1" max="1" width="28.5546875" style="22" bestFit="1" customWidth="1"/>
    <col min="2" max="2" width="14.5546875" style="22" bestFit="1" customWidth="1"/>
    <col min="3" max="3" width="10" style="22" customWidth="1"/>
    <col min="4" max="4" width="3.77734375" style="22" customWidth="1"/>
    <col min="5" max="5" width="25.33203125" style="22" customWidth="1"/>
    <col min="6" max="17" width="12.77734375" style="22" customWidth="1"/>
    <col min="18" max="18" width="3.77734375" style="22" customWidth="1"/>
    <col min="19" max="21" width="0" style="22" hidden="1" customWidth="1"/>
    <col min="22" max="16384" width="8.88671875" style="22" hidden="1"/>
  </cols>
  <sheetData>
    <row r="1" spans="1:20">
      <c r="A1" s="614" t="s">
        <v>195</v>
      </c>
      <c r="B1" s="615"/>
      <c r="C1" s="616"/>
      <c r="D1" s="43"/>
      <c r="E1" s="614" t="s">
        <v>172</v>
      </c>
      <c r="F1" s="615"/>
      <c r="G1" s="616"/>
      <c r="I1" s="614" t="s">
        <v>174</v>
      </c>
      <c r="J1" s="615"/>
      <c r="K1" s="615"/>
      <c r="M1" s="620" t="s">
        <v>207</v>
      </c>
      <c r="N1" s="620"/>
      <c r="O1" s="620"/>
    </row>
    <row r="2" spans="1:20">
      <c r="A2" s="28" t="s">
        <v>12</v>
      </c>
      <c r="B2" s="28" t="s">
        <v>11</v>
      </c>
      <c r="C2" s="45" t="s">
        <v>13</v>
      </c>
      <c r="E2" s="44" t="s">
        <v>96</v>
      </c>
      <c r="F2" s="49" t="s">
        <v>176</v>
      </c>
      <c r="G2" s="45" t="s">
        <v>144</v>
      </c>
      <c r="I2" s="49" t="s">
        <v>180</v>
      </c>
      <c r="J2" s="49"/>
      <c r="K2" s="49"/>
      <c r="M2" s="22" t="s">
        <v>208</v>
      </c>
      <c r="N2" s="22" t="s">
        <v>209</v>
      </c>
      <c r="O2" s="22" t="s">
        <v>144</v>
      </c>
    </row>
    <row r="3" spans="1:20">
      <c r="A3" s="23" t="s">
        <v>140</v>
      </c>
      <c r="B3" s="40" t="s">
        <v>152</v>
      </c>
      <c r="C3" s="42">
        <f>'Capital Inputs'!D6+'Capital Inputs'!$D$9</f>
        <v>8900</v>
      </c>
      <c r="D3" s="33"/>
      <c r="E3" s="23" t="s">
        <v>15</v>
      </c>
      <c r="F3" s="60">
        <f>SUM($F$24:$Q$24)/G14/K13</f>
        <v>29030.83993688794</v>
      </c>
      <c r="G3" s="42">
        <f>F3*K4</f>
        <v>3193.3923930576734</v>
      </c>
      <c r="I3" s="23" t="s">
        <v>88</v>
      </c>
      <c r="J3" s="57" t="s">
        <v>171</v>
      </c>
      <c r="K3" s="52">
        <f>'Operating Inputs'!D21</f>
        <v>53.6</v>
      </c>
      <c r="M3" s="22" t="s">
        <v>226</v>
      </c>
      <c r="N3" s="67">
        <f>'2- Food- Trout RAS'!D5*'Trout Utilities'!B37/(24*365)</f>
        <v>2.1818809166871578</v>
      </c>
      <c r="O3" s="67">
        <f>N3/1.33*24*365*$K$4</f>
        <v>1580.7973318193574</v>
      </c>
    </row>
    <row r="4" spans="1:20">
      <c r="A4" s="23" t="s">
        <v>92</v>
      </c>
      <c r="B4" s="40" t="s">
        <v>167</v>
      </c>
      <c r="C4" s="42">
        <f>'Operating Inputs'!D26</f>
        <v>10</v>
      </c>
      <c r="E4" s="23" t="s">
        <v>52</v>
      </c>
      <c r="F4" s="60">
        <f>SUM($F$24:$Q$24)/G15/K14/10</f>
        <v>100.82563438490149</v>
      </c>
      <c r="G4" s="42">
        <f>F4*K7</f>
        <v>1562.7973329659731</v>
      </c>
      <c r="I4" s="23" t="s">
        <v>107</v>
      </c>
      <c r="J4" s="57" t="s">
        <v>179</v>
      </c>
      <c r="K4" s="52">
        <f>'Operating Inputs'!D20</f>
        <v>0.11</v>
      </c>
      <c r="N4" s="67"/>
      <c r="O4" s="67"/>
    </row>
    <row r="5" spans="1:20" ht="18" thickBot="1">
      <c r="A5" s="23" t="s">
        <v>61</v>
      </c>
      <c r="B5" s="40" t="s">
        <v>65</v>
      </c>
      <c r="C5" s="42">
        <f>'Operating Inputs'!G18</f>
        <v>58</v>
      </c>
      <c r="E5" s="32" t="s">
        <v>97</v>
      </c>
      <c r="F5" s="60">
        <f>SUM($F$24:$Q$24)/G16/K15</f>
        <v>1142.6655467327803</v>
      </c>
      <c r="G5" s="54">
        <f>F5*K9</f>
        <v>2113.9312614556438</v>
      </c>
      <c r="I5" s="49" t="s">
        <v>181</v>
      </c>
      <c r="J5" s="49"/>
      <c r="K5" s="49"/>
      <c r="N5" s="67"/>
      <c r="O5" s="67"/>
    </row>
    <row r="6" spans="1:20">
      <c r="A6" s="23" t="s">
        <v>114</v>
      </c>
      <c r="B6" s="40"/>
      <c r="C6" s="24" t="str">
        <f>'Operating Inputs'!D19</f>
        <v>Natural gas</v>
      </c>
      <c r="E6" s="614" t="s">
        <v>173</v>
      </c>
      <c r="F6" s="615"/>
      <c r="G6" s="616"/>
      <c r="I6" s="23" t="s">
        <v>88</v>
      </c>
      <c r="J6" s="57" t="s">
        <v>89</v>
      </c>
      <c r="K6" s="52">
        <f>'Operating Inputs'!D23</f>
        <v>53.6</v>
      </c>
      <c r="N6" s="67"/>
      <c r="O6" s="67"/>
    </row>
    <row r="7" spans="1:20">
      <c r="A7" s="23" t="s">
        <v>64</v>
      </c>
      <c r="B7" s="40" t="s">
        <v>131</v>
      </c>
      <c r="C7" s="34">
        <v>0.5</v>
      </c>
      <c r="E7" s="44" t="s">
        <v>12</v>
      </c>
      <c r="F7" s="44" t="s">
        <v>104</v>
      </c>
      <c r="G7" s="45" t="s">
        <v>144</v>
      </c>
      <c r="I7" s="23" t="s">
        <v>100</v>
      </c>
      <c r="J7" s="57" t="s">
        <v>178</v>
      </c>
      <c r="K7" s="52">
        <f>'Operating Inputs'!D22</f>
        <v>15.5</v>
      </c>
      <c r="M7" s="620"/>
      <c r="N7" s="620"/>
      <c r="O7" s="620"/>
      <c r="P7" s="33"/>
    </row>
    <row r="8" spans="1:20">
      <c r="A8" s="23" t="s">
        <v>116</v>
      </c>
      <c r="B8" s="40" t="s">
        <v>117</v>
      </c>
      <c r="C8" s="31">
        <v>0.02</v>
      </c>
      <c r="E8" s="23" t="s">
        <v>101</v>
      </c>
      <c r="F8" s="59" t="str">
        <f>ROUND(B25*B26*24*365/1000,0) &amp; " kWh"</f>
        <v>16368 kWh</v>
      </c>
      <c r="G8" s="42">
        <f>B25*B26*24*365/1000*K4</f>
        <v>1800.4850746268653</v>
      </c>
      <c r="I8" s="49" t="s">
        <v>97</v>
      </c>
      <c r="J8" s="49"/>
      <c r="K8" s="49"/>
    </row>
    <row r="9" spans="1:20" ht="18" thickBot="1">
      <c r="A9" s="23" t="s">
        <v>94</v>
      </c>
      <c r="B9" s="40" t="s">
        <v>168</v>
      </c>
      <c r="C9" s="31">
        <v>0.25</v>
      </c>
      <c r="E9" s="23" t="s">
        <v>102</v>
      </c>
      <c r="F9" s="40" t="str">
        <f>C12 &amp; " hours per day"</f>
        <v>16 hours per day</v>
      </c>
      <c r="G9" s="42">
        <f>C12*C3*C13/1000*K4*365</f>
        <v>7146.7000000000007</v>
      </c>
      <c r="I9" s="32" t="s">
        <v>99</v>
      </c>
      <c r="J9" s="58" t="s">
        <v>177</v>
      </c>
      <c r="K9" s="53">
        <f>'Operating Inputs'!D24</f>
        <v>1.85</v>
      </c>
    </row>
    <row r="10" spans="1:20" ht="18" thickBot="1">
      <c r="A10" s="23" t="s">
        <v>130</v>
      </c>
      <c r="B10" s="40" t="s">
        <v>131</v>
      </c>
      <c r="C10" s="65">
        <v>1</v>
      </c>
      <c r="E10" s="23" t="s">
        <v>63</v>
      </c>
      <c r="F10" s="40" t="str">
        <f>ROUND(B21,0) &amp; " CFM"</f>
        <v>757 CFM</v>
      </c>
      <c r="G10" s="42">
        <f>B21/C16*24*365*K4</f>
        <v>540.18896447467887</v>
      </c>
      <c r="T10" s="26"/>
    </row>
    <row r="11" spans="1:20" ht="18" thickBot="1">
      <c r="A11" s="23" t="s">
        <v>202</v>
      </c>
      <c r="B11" s="40" t="s">
        <v>203</v>
      </c>
      <c r="C11" s="65">
        <v>5</v>
      </c>
      <c r="E11" s="32" t="s">
        <v>103</v>
      </c>
      <c r="F11" s="41" t="str">
        <f>C14 &amp; " kWh"</f>
        <v>2500 kWh</v>
      </c>
      <c r="G11" s="54">
        <f>C14*K4</f>
        <v>275</v>
      </c>
      <c r="I11" s="614" t="s">
        <v>175</v>
      </c>
      <c r="J11" s="615"/>
      <c r="K11" s="616"/>
      <c r="T11" s="35"/>
    </row>
    <row r="12" spans="1:20" ht="18" thickBot="1">
      <c r="A12" s="23" t="s">
        <v>151</v>
      </c>
      <c r="B12" s="40" t="s">
        <v>105</v>
      </c>
      <c r="C12" s="61">
        <f>'Operating Inputs'!D33</f>
        <v>16</v>
      </c>
      <c r="E12" s="617" t="s">
        <v>196</v>
      </c>
      <c r="F12" s="617"/>
      <c r="G12" s="618"/>
      <c r="I12" s="28" t="s">
        <v>96</v>
      </c>
      <c r="J12" s="28" t="s">
        <v>11</v>
      </c>
      <c r="K12" s="45" t="s">
        <v>13</v>
      </c>
    </row>
    <row r="13" spans="1:20">
      <c r="A13" s="23" t="s">
        <v>108</v>
      </c>
      <c r="B13" s="40" t="s">
        <v>170</v>
      </c>
      <c r="C13" s="46">
        <v>1.25</v>
      </c>
      <c r="E13" s="44" t="s">
        <v>62</v>
      </c>
      <c r="F13" s="44" t="s">
        <v>11</v>
      </c>
      <c r="G13" s="45" t="s">
        <v>106</v>
      </c>
      <c r="I13" s="23" t="s">
        <v>98</v>
      </c>
      <c r="J13" s="40" t="s">
        <v>156</v>
      </c>
      <c r="K13" s="31">
        <v>0.95</v>
      </c>
    </row>
    <row r="14" spans="1:20">
      <c r="A14" s="23" t="s">
        <v>109</v>
      </c>
      <c r="B14" s="40" t="s">
        <v>110</v>
      </c>
      <c r="C14" s="48">
        <v>2500</v>
      </c>
      <c r="E14" s="23" t="s">
        <v>15</v>
      </c>
      <c r="F14" s="40" t="s">
        <v>86</v>
      </c>
      <c r="G14" s="79">
        <v>3412</v>
      </c>
      <c r="I14" s="23" t="s">
        <v>52</v>
      </c>
      <c r="J14" s="40" t="s">
        <v>156</v>
      </c>
      <c r="K14" s="31">
        <v>0.9</v>
      </c>
    </row>
    <row r="15" spans="1:20" ht="18" thickBot="1">
      <c r="A15" s="23" t="s">
        <v>83</v>
      </c>
      <c r="B15" s="40" t="s">
        <v>56</v>
      </c>
      <c r="C15" s="62">
        <v>0.24</v>
      </c>
      <c r="E15" s="23" t="s">
        <v>52</v>
      </c>
      <c r="F15" s="40" t="s">
        <v>90</v>
      </c>
      <c r="G15" s="79">
        <v>103700</v>
      </c>
      <c r="I15" s="32" t="s">
        <v>97</v>
      </c>
      <c r="J15" s="41" t="s">
        <v>156</v>
      </c>
      <c r="K15" s="56">
        <v>0.9</v>
      </c>
    </row>
    <row r="16" spans="1:20" ht="18" thickBot="1">
      <c r="A16" s="32" t="s">
        <v>111</v>
      </c>
      <c r="B16" s="41" t="s">
        <v>112</v>
      </c>
      <c r="C16" s="47">
        <v>1350</v>
      </c>
      <c r="E16" s="32" t="s">
        <v>99</v>
      </c>
      <c r="F16" s="41" t="s">
        <v>87</v>
      </c>
      <c r="G16" s="80">
        <v>91502</v>
      </c>
    </row>
    <row r="17" spans="1:17">
      <c r="A17" s="33"/>
      <c r="C17" s="37"/>
      <c r="F17" s="38" t="s">
        <v>113</v>
      </c>
      <c r="G17" s="55">
        <f>IF(C6=E3,G3,IF(C6=E4,G4,G5))+SUM(G8:G11)+K3*12+K6*12</f>
        <v>12611.571372067519</v>
      </c>
    </row>
    <row r="18" spans="1:17" ht="18" thickBot="1">
      <c r="C18" s="37"/>
    </row>
    <row r="19" spans="1:17" ht="18" thickBot="1">
      <c r="A19" s="22" t="s">
        <v>79</v>
      </c>
      <c r="B19" s="50">
        <f>C3*C4</f>
        <v>89000</v>
      </c>
      <c r="E19" s="619" t="s">
        <v>78</v>
      </c>
      <c r="F19" s="617"/>
      <c r="G19" s="617"/>
      <c r="H19" s="617"/>
      <c r="I19" s="617"/>
      <c r="J19" s="617"/>
      <c r="K19" s="617"/>
      <c r="L19" s="617"/>
      <c r="M19" s="617"/>
      <c r="N19" s="617"/>
      <c r="O19" s="617"/>
      <c r="P19" s="617"/>
      <c r="Q19" s="618"/>
    </row>
    <row r="20" spans="1:17">
      <c r="A20" s="22" t="s">
        <v>80</v>
      </c>
      <c r="B20" s="50">
        <f>B19*24*(C7)/(1-C8)</f>
        <v>1089795.918367347</v>
      </c>
      <c r="E20" s="23"/>
      <c r="F20" s="63" t="s">
        <v>66</v>
      </c>
      <c r="G20" s="63" t="s">
        <v>67</v>
      </c>
      <c r="H20" s="63" t="s">
        <v>68</v>
      </c>
      <c r="I20" s="63" t="s">
        <v>69</v>
      </c>
      <c r="J20" s="63" t="s">
        <v>70</v>
      </c>
      <c r="K20" s="63" t="s">
        <v>71</v>
      </c>
      <c r="L20" s="63" t="s">
        <v>72</v>
      </c>
      <c r="M20" s="63" t="s">
        <v>73</v>
      </c>
      <c r="N20" s="63" t="s">
        <v>74</v>
      </c>
      <c r="O20" s="63" t="s">
        <v>75</v>
      </c>
      <c r="P20" s="63" t="s">
        <v>76</v>
      </c>
      <c r="Q20" s="64" t="s">
        <v>77</v>
      </c>
    </row>
    <row r="21" spans="1:17">
      <c r="A21" s="22" t="s">
        <v>93</v>
      </c>
      <c r="B21" s="50">
        <f>B20/24/60</f>
        <v>756.80272108843542</v>
      </c>
      <c r="E21" s="25" t="s">
        <v>81</v>
      </c>
      <c r="F21" s="22">
        <f>'Operating Inputs'!G4</f>
        <v>30</v>
      </c>
      <c r="G21" s="22">
        <f>'Operating Inputs'!G5</f>
        <v>34</v>
      </c>
      <c r="H21" s="22">
        <f>'Operating Inputs'!G6</f>
        <v>44</v>
      </c>
      <c r="I21" s="22">
        <f>'Operating Inputs'!G7</f>
        <v>55</v>
      </c>
      <c r="J21" s="22">
        <f>'Operating Inputs'!G8</f>
        <v>63</v>
      </c>
      <c r="K21" s="22">
        <f>'Operating Inputs'!G9</f>
        <v>73</v>
      </c>
      <c r="L21" s="22">
        <f>'Operating Inputs'!G10</f>
        <v>77</v>
      </c>
      <c r="M21" s="22">
        <f>'Operating Inputs'!G11</f>
        <v>76</v>
      </c>
      <c r="N21" s="22">
        <f>'Operating Inputs'!G12</f>
        <v>67</v>
      </c>
      <c r="O21" s="22">
        <f>'Operating Inputs'!G13</f>
        <v>56</v>
      </c>
      <c r="P21" s="22">
        <f>'Operating Inputs'!G14</f>
        <v>44</v>
      </c>
      <c r="Q21" s="24">
        <f>'Operating Inputs'!G15</f>
        <v>33</v>
      </c>
    </row>
    <row r="22" spans="1:17">
      <c r="A22" s="22" t="s">
        <v>83</v>
      </c>
      <c r="B22" s="22">
        <f>C15</f>
        <v>0.24</v>
      </c>
      <c r="E22" s="25" t="s">
        <v>85</v>
      </c>
      <c r="F22" s="29">
        <v>31</v>
      </c>
      <c r="G22" s="51">
        <v>28.25</v>
      </c>
      <c r="H22" s="29">
        <v>31</v>
      </c>
      <c r="I22" s="29">
        <v>30</v>
      </c>
      <c r="J22" s="29">
        <v>31</v>
      </c>
      <c r="K22" s="29">
        <v>30</v>
      </c>
      <c r="L22" s="29">
        <v>31</v>
      </c>
      <c r="M22" s="29">
        <v>31</v>
      </c>
      <c r="N22" s="29">
        <v>30</v>
      </c>
      <c r="O22" s="29">
        <v>31</v>
      </c>
      <c r="P22" s="29">
        <v>30</v>
      </c>
      <c r="Q22" s="30">
        <v>31</v>
      </c>
    </row>
    <row r="23" spans="1:17">
      <c r="A23" s="22" t="s">
        <v>91</v>
      </c>
      <c r="B23" s="37">
        <f>MAX(F24:Q24)/31/24</f>
        <v>23801.142857142855</v>
      </c>
      <c r="E23" s="25" t="s">
        <v>82</v>
      </c>
      <c r="F23" s="22">
        <v>7.8E-2</v>
      </c>
      <c r="G23" s="22">
        <v>7.8E-2</v>
      </c>
      <c r="H23" s="22">
        <v>7.5999999999999998E-2</v>
      </c>
      <c r="I23" s="22">
        <v>7.3999999999999996E-2</v>
      </c>
      <c r="J23" s="22">
        <v>7.2999999999999995E-2</v>
      </c>
      <c r="K23" s="22">
        <v>7.1999999999999995E-2</v>
      </c>
      <c r="L23" s="22">
        <v>7.0999999999999994E-2</v>
      </c>
      <c r="M23" s="22">
        <v>7.0999999999999994E-2</v>
      </c>
      <c r="N23" s="22">
        <v>7.2999999999999995E-2</v>
      </c>
      <c r="O23" s="22">
        <v>7.3999999999999996E-2</v>
      </c>
      <c r="P23" s="22">
        <v>7.5999999999999998E-2</v>
      </c>
      <c r="Q23" s="24">
        <v>7.8E-2</v>
      </c>
    </row>
    <row r="24" spans="1:17">
      <c r="A24" s="22" t="s">
        <v>95</v>
      </c>
      <c r="B24" s="37">
        <f>B23*(1+C9)</f>
        <v>29751.428571428569</v>
      </c>
      <c r="E24" s="25" t="s">
        <v>84</v>
      </c>
      <c r="F24" s="37">
        <f t="shared" ref="F24:Q24" si="0">IF(F25=$F$28,ABS(($C$5-F21)*$B$22*F23*$B$20*F22),0)</f>
        <v>17708050.285714284</v>
      </c>
      <c r="G24" s="37">
        <f t="shared" si="0"/>
        <v>13831864.163265305</v>
      </c>
      <c r="H24" s="37">
        <f t="shared" si="0"/>
        <v>8626998.8571428563</v>
      </c>
      <c r="I24" s="37">
        <f t="shared" si="0"/>
        <v>0</v>
      </c>
      <c r="J24" s="37">
        <f t="shared" si="0"/>
        <v>0</v>
      </c>
      <c r="K24" s="37">
        <f t="shared" si="0"/>
        <v>8474253.0612244885</v>
      </c>
      <c r="L24" s="37">
        <f t="shared" si="0"/>
        <v>10937802.122448977</v>
      </c>
      <c r="M24" s="37">
        <f t="shared" si="0"/>
        <v>10362128.326530613</v>
      </c>
      <c r="N24" s="37">
        <f t="shared" si="0"/>
        <v>0</v>
      </c>
      <c r="O24" s="37">
        <f t="shared" si="0"/>
        <v>0</v>
      </c>
      <c r="P24" s="37">
        <f t="shared" si="0"/>
        <v>8348708.5714285709</v>
      </c>
      <c r="Q24" s="36">
        <f t="shared" si="0"/>
        <v>15810759.183673469</v>
      </c>
    </row>
    <row r="25" spans="1:17" ht="18" customHeight="1" thickBot="1">
      <c r="A25" s="22" t="s">
        <v>201</v>
      </c>
      <c r="B25" s="66">
        <f>C11*B26/3960/1.34/B26*1000</f>
        <v>0.94225840494497204</v>
      </c>
      <c r="E25" s="27" t="s">
        <v>249</v>
      </c>
      <c r="F25" s="99" t="str">
        <f>IF(ABS($C$5-F21)&gt;'Operating Inputs'!$G$19,"Yes","No")</f>
        <v>Yes</v>
      </c>
      <c r="G25" s="99" t="str">
        <f>IF(ABS($C$5-G21)&gt;'Operating Inputs'!$G$19,"Yes","No")</f>
        <v>Yes</v>
      </c>
      <c r="H25" s="99" t="str">
        <f>IF(ABS($C$5-H21)&gt;'Operating Inputs'!$G$19,"Yes","No")</f>
        <v>Yes</v>
      </c>
      <c r="I25" s="99" t="str">
        <f>IF(ABS($C$5-I21)&gt;'Operating Inputs'!$G$19,"Yes","No")</f>
        <v>No</v>
      </c>
      <c r="J25" s="99" t="str">
        <f>IF(ABS($C$5-J21)&gt;'Operating Inputs'!$G$19,"Yes","No")</f>
        <v>No</v>
      </c>
      <c r="K25" s="99" t="str">
        <f>IF(ABS($C$5-K21)&gt;'Operating Inputs'!$G$19,"Yes","No")</f>
        <v>Yes</v>
      </c>
      <c r="L25" s="99" t="str">
        <f>IF(ABS($C$5-L21)&gt;'Operating Inputs'!$G$19,"Yes","No")</f>
        <v>Yes</v>
      </c>
      <c r="M25" s="99" t="str">
        <f>IF(ABS($C$5-M21)&gt;'Operating Inputs'!$G$19,"Yes","No")</f>
        <v>Yes</v>
      </c>
      <c r="N25" s="99" t="str">
        <f>IF(ABS($C$5-N21)&gt;'Operating Inputs'!$G$19,"Yes","No")</f>
        <v>No</v>
      </c>
      <c r="O25" s="99" t="str">
        <f>IF(ABS($C$5-O21)&gt;'Operating Inputs'!$G$19,"Yes","No")</f>
        <v>No</v>
      </c>
      <c r="P25" s="99" t="str">
        <f>IF(ABS($C$5-P21)&gt;'Operating Inputs'!$G$19,"Yes","No")</f>
        <v>Yes</v>
      </c>
      <c r="Q25" s="100" t="str">
        <f>IF(ABS($C$5-Q21)&gt;'Operating Inputs'!$G$19,"Yes","No")</f>
        <v>Yes</v>
      </c>
    </row>
    <row r="26" spans="1:17">
      <c r="A26" s="23" t="s">
        <v>204</v>
      </c>
      <c r="B26" s="22">
        <f>ROUNDUP(C10*('Capital Inputs'!L16+'Capital Inputs'!L15)/60,0)</f>
        <v>1983</v>
      </c>
      <c r="E26" s="40" t="s">
        <v>169</v>
      </c>
    </row>
    <row r="28" spans="1:17" hidden="1">
      <c r="F28" s="39" t="s">
        <v>147</v>
      </c>
    </row>
    <row r="29" spans="1:17" hidden="1">
      <c r="F29" s="39" t="s">
        <v>148</v>
      </c>
    </row>
    <row r="37" spans="1:2">
      <c r="A37" s="22" t="s">
        <v>206</v>
      </c>
      <c r="B37" s="22">
        <v>0.25</v>
      </c>
    </row>
  </sheetData>
  <mergeCells count="9">
    <mergeCell ref="E19:Q19"/>
    <mergeCell ref="A1:C1"/>
    <mergeCell ref="E1:G1"/>
    <mergeCell ref="E6:G6"/>
    <mergeCell ref="E12:G12"/>
    <mergeCell ref="I11:K11"/>
    <mergeCell ref="I1:K1"/>
    <mergeCell ref="M1:O1"/>
    <mergeCell ref="M7:O7"/>
  </mergeCells>
  <dataValidations count="2">
    <dataValidation type="list" allowBlank="1" showInputMessage="1" showErrorMessage="1" sqref="C6" xr:uid="{7C8009EB-6057-441C-88CC-F9ED411E9C41}">
      <formula1>$E$3:$E$5</formula1>
    </dataValidation>
    <dataValidation type="list" allowBlank="1" showInputMessage="1" showErrorMessage="1" sqref="F25:Q25" xr:uid="{C08FC9D0-A097-4C5B-AF56-941519ACF351}">
      <formula1>$F$28:$F$29</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86F32-2885-4540-8E68-56B053327D08}">
  <dimension ref="A1:U37"/>
  <sheetViews>
    <sheetView zoomScale="80" zoomScaleNormal="80" workbookViewId="0">
      <selection activeCell="B26" sqref="B26"/>
    </sheetView>
  </sheetViews>
  <sheetFormatPr defaultColWidth="0" defaultRowHeight="17.25" customHeight="1" zeroHeight="1"/>
  <cols>
    <col min="1" max="1" width="28.5546875" style="22" bestFit="1" customWidth="1"/>
    <col min="2" max="2" width="14.5546875" style="22" bestFit="1" customWidth="1"/>
    <col min="3" max="3" width="10" style="22" customWidth="1"/>
    <col min="4" max="4" width="3.77734375" style="22" customWidth="1"/>
    <col min="5" max="5" width="23.5546875" style="22" customWidth="1"/>
    <col min="6" max="17" width="12.77734375" style="22" customWidth="1"/>
    <col min="18" max="18" width="3.77734375" style="22" customWidth="1"/>
    <col min="19" max="21" width="0" style="22" hidden="1" customWidth="1"/>
    <col min="22" max="16384" width="8.88671875" style="22" hidden="1"/>
  </cols>
  <sheetData>
    <row r="1" spans="1:20">
      <c r="A1" s="614" t="s">
        <v>195</v>
      </c>
      <c r="B1" s="615"/>
      <c r="C1" s="616"/>
      <c r="D1" s="43"/>
      <c r="E1" s="614" t="s">
        <v>172</v>
      </c>
      <c r="F1" s="615"/>
      <c r="G1" s="616"/>
      <c r="I1" s="614" t="s">
        <v>174</v>
      </c>
      <c r="J1" s="615"/>
      <c r="K1" s="615"/>
      <c r="M1" s="620" t="s">
        <v>207</v>
      </c>
      <c r="N1" s="620"/>
      <c r="O1" s="620"/>
    </row>
    <row r="2" spans="1:20">
      <c r="A2" s="28" t="s">
        <v>12</v>
      </c>
      <c r="B2" s="28" t="s">
        <v>11</v>
      </c>
      <c r="C2" s="45" t="s">
        <v>13</v>
      </c>
      <c r="E2" s="44" t="s">
        <v>96</v>
      </c>
      <c r="F2" s="49" t="s">
        <v>176</v>
      </c>
      <c r="G2" s="45" t="s">
        <v>144</v>
      </c>
      <c r="I2" s="49" t="s">
        <v>180</v>
      </c>
      <c r="J2" s="49"/>
      <c r="K2" s="49"/>
      <c r="M2" s="22" t="s">
        <v>208</v>
      </c>
      <c r="N2" s="22" t="s">
        <v>209</v>
      </c>
      <c r="O2" s="22" t="s">
        <v>144</v>
      </c>
    </row>
    <row r="3" spans="1:20">
      <c r="A3" s="23" t="s">
        <v>140</v>
      </c>
      <c r="B3" s="40" t="s">
        <v>152</v>
      </c>
      <c r="C3" s="42">
        <f>'Capital Inputs'!D6+'Capital Inputs'!$D$9</f>
        <v>8900</v>
      </c>
      <c r="D3" s="33"/>
      <c r="E3" s="23" t="s">
        <v>15</v>
      </c>
      <c r="F3" s="60">
        <f>SUM($F$24:$Q$24)/G14/K13</f>
        <v>35414.689193256141</v>
      </c>
      <c r="G3" s="42">
        <f>F3*K4</f>
        <v>3895.6158112581757</v>
      </c>
      <c r="I3" s="23" t="s">
        <v>88</v>
      </c>
      <c r="J3" s="57" t="s">
        <v>171</v>
      </c>
      <c r="K3" s="52">
        <f>'Operating Inputs'!D21</f>
        <v>53.6</v>
      </c>
      <c r="M3" s="22" t="s">
        <v>250</v>
      </c>
      <c r="N3" s="67">
        <f>'2- Food- Trout RAS'!$D$5*'Perch Utilities'!$B$37/(24*365)</f>
        <v>2.1818809166871578</v>
      </c>
      <c r="O3" s="67">
        <f t="shared" ref="O3" si="0">N3/1.33*24*365*$K$4</f>
        <v>1580.7973318193574</v>
      </c>
    </row>
    <row r="4" spans="1:20">
      <c r="A4" s="23" t="s">
        <v>92</v>
      </c>
      <c r="B4" s="40" t="s">
        <v>167</v>
      </c>
      <c r="C4" s="42">
        <f>'Operating Inputs'!D26</f>
        <v>10</v>
      </c>
      <c r="E4" s="23" t="s">
        <v>52</v>
      </c>
      <c r="F4" s="60">
        <f>SUM($F$24:$Q$24)/G15/K14/10</f>
        <v>122.99707870033262</v>
      </c>
      <c r="G4" s="42">
        <f>F4*K7</f>
        <v>1906.4547198551556</v>
      </c>
      <c r="I4" s="23" t="s">
        <v>107</v>
      </c>
      <c r="J4" s="57" t="s">
        <v>179</v>
      </c>
      <c r="K4" s="52">
        <f>'Operating Inputs'!D20</f>
        <v>0.11</v>
      </c>
      <c r="N4" s="67"/>
      <c r="O4" s="67"/>
    </row>
    <row r="5" spans="1:20" ht="18" thickBot="1">
      <c r="A5" s="23" t="s">
        <v>61</v>
      </c>
      <c r="B5" s="40" t="s">
        <v>65</v>
      </c>
      <c r="C5" s="42">
        <f>'Operating Inputs'!G20</f>
        <v>68</v>
      </c>
      <c r="E5" s="32" t="s">
        <v>97</v>
      </c>
      <c r="F5" s="60">
        <f>SUM($F$24:$Q$24)/G16/K15</f>
        <v>1393.9364233814008</v>
      </c>
      <c r="G5" s="54">
        <f>F5*K9</f>
        <v>2578.7823832555914</v>
      </c>
      <c r="I5" s="49" t="s">
        <v>181</v>
      </c>
      <c r="J5" s="49"/>
      <c r="K5" s="49"/>
      <c r="N5" s="67"/>
      <c r="O5" s="67"/>
    </row>
    <row r="6" spans="1:20">
      <c r="A6" s="23" t="s">
        <v>114</v>
      </c>
      <c r="B6" s="40"/>
      <c r="C6" s="24" t="str">
        <f>'Operating Inputs'!D19</f>
        <v>Natural gas</v>
      </c>
      <c r="E6" s="614" t="s">
        <v>173</v>
      </c>
      <c r="F6" s="615"/>
      <c r="G6" s="616"/>
      <c r="I6" s="23" t="s">
        <v>88</v>
      </c>
      <c r="J6" s="57" t="s">
        <v>89</v>
      </c>
      <c r="K6" s="52">
        <f>'Operating Inputs'!D23</f>
        <v>53.6</v>
      </c>
      <c r="N6" s="67"/>
      <c r="O6" s="67"/>
    </row>
    <row r="7" spans="1:20">
      <c r="A7" s="23" t="s">
        <v>64</v>
      </c>
      <c r="B7" s="40" t="s">
        <v>131</v>
      </c>
      <c r="C7" s="34">
        <v>0.5</v>
      </c>
      <c r="E7" s="44" t="s">
        <v>12</v>
      </c>
      <c r="F7" s="44" t="s">
        <v>104</v>
      </c>
      <c r="G7" s="45" t="s">
        <v>144</v>
      </c>
      <c r="I7" s="23" t="s">
        <v>100</v>
      </c>
      <c r="J7" s="57" t="s">
        <v>178</v>
      </c>
      <c r="K7" s="52">
        <f>'Operating Inputs'!D22</f>
        <v>15.5</v>
      </c>
      <c r="M7" s="620"/>
      <c r="N7" s="620"/>
      <c r="O7" s="620"/>
      <c r="P7" s="33"/>
    </row>
    <row r="8" spans="1:20">
      <c r="A8" s="23" t="s">
        <v>116</v>
      </c>
      <c r="B8" s="40" t="s">
        <v>117</v>
      </c>
      <c r="C8" s="31">
        <v>0.02</v>
      </c>
      <c r="E8" s="23" t="s">
        <v>101</v>
      </c>
      <c r="F8" s="59" t="str">
        <f>ROUND(B25*B26*24*365/1000,0) &amp; " kWh"</f>
        <v>16368 kWh</v>
      </c>
      <c r="G8" s="42">
        <f>B25*B26*24*365/1000*K4</f>
        <v>1800.4850746268653</v>
      </c>
      <c r="I8" s="49" t="s">
        <v>97</v>
      </c>
      <c r="J8" s="49"/>
      <c r="K8" s="49"/>
    </row>
    <row r="9" spans="1:20" ht="18" thickBot="1">
      <c r="A9" s="23" t="s">
        <v>94</v>
      </c>
      <c r="B9" s="40" t="s">
        <v>168</v>
      </c>
      <c r="C9" s="31">
        <v>0.25</v>
      </c>
      <c r="E9" s="23" t="s">
        <v>102</v>
      </c>
      <c r="F9" s="40" t="str">
        <f>C12 &amp; " hours per day"</f>
        <v>16 hours per day</v>
      </c>
      <c r="G9" s="42">
        <f>C12*C3*C13/1000*K4*365</f>
        <v>7146.7000000000007</v>
      </c>
      <c r="I9" s="32" t="s">
        <v>99</v>
      </c>
      <c r="J9" s="58" t="s">
        <v>177</v>
      </c>
      <c r="K9" s="53">
        <f>'Operating Inputs'!D24</f>
        <v>1.85</v>
      </c>
    </row>
    <row r="10" spans="1:20" ht="18" thickBot="1">
      <c r="A10" s="23" t="s">
        <v>130</v>
      </c>
      <c r="B10" s="40" t="s">
        <v>131</v>
      </c>
      <c r="C10" s="65">
        <v>1</v>
      </c>
      <c r="E10" s="23" t="s">
        <v>63</v>
      </c>
      <c r="F10" s="40" t="str">
        <f>ROUND(B21,0) &amp; " CFM"</f>
        <v>757 CFM</v>
      </c>
      <c r="G10" s="42">
        <f>B21/C16*24*365*K4</f>
        <v>540.18896447467887</v>
      </c>
      <c r="T10" s="26"/>
    </row>
    <row r="11" spans="1:20" ht="18" thickBot="1">
      <c r="A11" s="23" t="s">
        <v>202</v>
      </c>
      <c r="B11" s="40" t="s">
        <v>203</v>
      </c>
      <c r="C11" s="65">
        <v>5</v>
      </c>
      <c r="E11" s="32" t="s">
        <v>103</v>
      </c>
      <c r="F11" s="41" t="str">
        <f>C14 &amp; " kWh"</f>
        <v>2500 kWh</v>
      </c>
      <c r="G11" s="54">
        <f>C14*K4</f>
        <v>275</v>
      </c>
      <c r="I11" s="614" t="s">
        <v>175</v>
      </c>
      <c r="J11" s="615"/>
      <c r="K11" s="616"/>
      <c r="T11" s="35"/>
    </row>
    <row r="12" spans="1:20" ht="18" thickBot="1">
      <c r="A12" s="23" t="s">
        <v>151</v>
      </c>
      <c r="B12" s="40" t="s">
        <v>105</v>
      </c>
      <c r="C12" s="61">
        <f>'Operating Inputs'!D33</f>
        <v>16</v>
      </c>
      <c r="E12" s="617" t="s">
        <v>196</v>
      </c>
      <c r="F12" s="617"/>
      <c r="G12" s="618"/>
      <c r="I12" s="28" t="s">
        <v>96</v>
      </c>
      <c r="J12" s="28" t="s">
        <v>11</v>
      </c>
      <c r="K12" s="45" t="s">
        <v>13</v>
      </c>
    </row>
    <row r="13" spans="1:20">
      <c r="A13" s="23" t="s">
        <v>108</v>
      </c>
      <c r="B13" s="40" t="s">
        <v>170</v>
      </c>
      <c r="C13" s="46">
        <v>1.25</v>
      </c>
      <c r="E13" s="44" t="s">
        <v>62</v>
      </c>
      <c r="F13" s="44" t="s">
        <v>11</v>
      </c>
      <c r="G13" s="45" t="s">
        <v>106</v>
      </c>
      <c r="I13" s="23" t="s">
        <v>98</v>
      </c>
      <c r="J13" s="40" t="s">
        <v>156</v>
      </c>
      <c r="K13" s="31">
        <v>0.95</v>
      </c>
    </row>
    <row r="14" spans="1:20">
      <c r="A14" s="23" t="s">
        <v>109</v>
      </c>
      <c r="B14" s="40" t="s">
        <v>110</v>
      </c>
      <c r="C14" s="48">
        <v>2500</v>
      </c>
      <c r="E14" s="23" t="s">
        <v>15</v>
      </c>
      <c r="F14" s="40" t="s">
        <v>86</v>
      </c>
      <c r="G14" s="79">
        <v>3412</v>
      </c>
      <c r="I14" s="23" t="s">
        <v>52</v>
      </c>
      <c r="J14" s="40" t="s">
        <v>156</v>
      </c>
      <c r="K14" s="31">
        <v>0.9</v>
      </c>
    </row>
    <row r="15" spans="1:20" ht="18" thickBot="1">
      <c r="A15" s="23" t="s">
        <v>83</v>
      </c>
      <c r="B15" s="40" t="s">
        <v>56</v>
      </c>
      <c r="C15" s="62">
        <v>0.24</v>
      </c>
      <c r="E15" s="23" t="s">
        <v>52</v>
      </c>
      <c r="F15" s="40" t="s">
        <v>90</v>
      </c>
      <c r="G15" s="79">
        <v>103700</v>
      </c>
      <c r="I15" s="32" t="s">
        <v>97</v>
      </c>
      <c r="J15" s="41" t="s">
        <v>156</v>
      </c>
      <c r="K15" s="56">
        <v>0.9</v>
      </c>
    </row>
    <row r="16" spans="1:20" ht="18" thickBot="1">
      <c r="A16" s="32" t="s">
        <v>111</v>
      </c>
      <c r="B16" s="41" t="s">
        <v>112</v>
      </c>
      <c r="C16" s="47">
        <v>1350</v>
      </c>
      <c r="E16" s="32" t="s">
        <v>99</v>
      </c>
      <c r="F16" s="41" t="s">
        <v>87</v>
      </c>
      <c r="G16" s="80">
        <v>91502</v>
      </c>
    </row>
    <row r="17" spans="1:17">
      <c r="A17" s="33"/>
      <c r="C17" s="37"/>
      <c r="F17" s="38" t="s">
        <v>113</v>
      </c>
      <c r="G17" s="55">
        <f>IF(C6=E3,G3,IF(C6=E4,G4,G5))+SUM(G8:G11)+K3*12+K6*12</f>
        <v>12955.228758956702</v>
      </c>
    </row>
    <row r="18" spans="1:17" ht="18" thickBot="1">
      <c r="C18" s="37"/>
    </row>
    <row r="19" spans="1:17" ht="18" thickBot="1">
      <c r="A19" s="22" t="s">
        <v>79</v>
      </c>
      <c r="B19" s="50">
        <f>C3*C4</f>
        <v>89000</v>
      </c>
      <c r="E19" s="619" t="s">
        <v>78</v>
      </c>
      <c r="F19" s="617"/>
      <c r="G19" s="617"/>
      <c r="H19" s="617"/>
      <c r="I19" s="617"/>
      <c r="J19" s="617"/>
      <c r="K19" s="617"/>
      <c r="L19" s="617"/>
      <c r="M19" s="617"/>
      <c r="N19" s="617"/>
      <c r="O19" s="617"/>
      <c r="P19" s="617"/>
      <c r="Q19" s="618"/>
    </row>
    <row r="20" spans="1:17">
      <c r="A20" s="22" t="s">
        <v>80</v>
      </c>
      <c r="B20" s="50">
        <f>B19*24*(C7)/(1-C8)</f>
        <v>1089795.918367347</v>
      </c>
      <c r="E20" s="23"/>
      <c r="F20" s="63" t="s">
        <v>66</v>
      </c>
      <c r="G20" s="63" t="s">
        <v>67</v>
      </c>
      <c r="H20" s="63" t="s">
        <v>68</v>
      </c>
      <c r="I20" s="63" t="s">
        <v>69</v>
      </c>
      <c r="J20" s="63" t="s">
        <v>70</v>
      </c>
      <c r="K20" s="63" t="s">
        <v>71</v>
      </c>
      <c r="L20" s="63" t="s">
        <v>72</v>
      </c>
      <c r="M20" s="63" t="s">
        <v>73</v>
      </c>
      <c r="N20" s="63" t="s">
        <v>74</v>
      </c>
      <c r="O20" s="63" t="s">
        <v>75</v>
      </c>
      <c r="P20" s="63" t="s">
        <v>76</v>
      </c>
      <c r="Q20" s="64" t="s">
        <v>77</v>
      </c>
    </row>
    <row r="21" spans="1:17">
      <c r="A21" s="22" t="s">
        <v>93</v>
      </c>
      <c r="B21" s="50">
        <f>B20/24/60</f>
        <v>756.80272108843542</v>
      </c>
      <c r="E21" s="25" t="s">
        <v>81</v>
      </c>
      <c r="F21" s="22">
        <f>'Operating Inputs'!G4</f>
        <v>30</v>
      </c>
      <c r="G21" s="22">
        <f>'Operating Inputs'!G5</f>
        <v>34</v>
      </c>
      <c r="H21" s="22">
        <f>'Operating Inputs'!G6</f>
        <v>44</v>
      </c>
      <c r="I21" s="22">
        <f>'Operating Inputs'!G7</f>
        <v>55</v>
      </c>
      <c r="J21" s="22">
        <f>'Operating Inputs'!G8</f>
        <v>63</v>
      </c>
      <c r="K21" s="22">
        <f>'Operating Inputs'!G9</f>
        <v>73</v>
      </c>
      <c r="L21" s="22">
        <f>'Operating Inputs'!G10</f>
        <v>77</v>
      </c>
      <c r="M21" s="22">
        <f>'Operating Inputs'!G11</f>
        <v>76</v>
      </c>
      <c r="N21" s="22">
        <f>'Operating Inputs'!G12</f>
        <v>67</v>
      </c>
      <c r="O21" s="22">
        <f>'Operating Inputs'!G13</f>
        <v>56</v>
      </c>
      <c r="P21" s="22">
        <f>'Operating Inputs'!G14</f>
        <v>44</v>
      </c>
      <c r="Q21" s="24">
        <f>'Operating Inputs'!G15</f>
        <v>33</v>
      </c>
    </row>
    <row r="22" spans="1:17">
      <c r="A22" s="22" t="s">
        <v>83</v>
      </c>
      <c r="B22" s="22">
        <f>C15</f>
        <v>0.24</v>
      </c>
      <c r="E22" s="25" t="s">
        <v>85</v>
      </c>
      <c r="F22" s="29">
        <v>31</v>
      </c>
      <c r="G22" s="51">
        <v>28.25</v>
      </c>
      <c r="H22" s="29">
        <v>31</v>
      </c>
      <c r="I22" s="29">
        <v>30</v>
      </c>
      <c r="J22" s="29">
        <v>31</v>
      </c>
      <c r="K22" s="29">
        <v>30</v>
      </c>
      <c r="L22" s="29">
        <v>31</v>
      </c>
      <c r="M22" s="29">
        <v>31</v>
      </c>
      <c r="N22" s="29">
        <v>30</v>
      </c>
      <c r="O22" s="29">
        <v>31</v>
      </c>
      <c r="P22" s="29">
        <v>30</v>
      </c>
      <c r="Q22" s="30">
        <v>31</v>
      </c>
    </row>
    <row r="23" spans="1:17">
      <c r="A23" s="22" t="s">
        <v>91</v>
      </c>
      <c r="B23" s="37">
        <f>MAX(F24:Q24)/31/24</f>
        <v>32301.551020408166</v>
      </c>
      <c r="E23" s="25" t="s">
        <v>82</v>
      </c>
      <c r="F23" s="22">
        <v>7.8E-2</v>
      </c>
      <c r="G23" s="22">
        <v>7.8E-2</v>
      </c>
      <c r="H23" s="22">
        <v>7.5999999999999998E-2</v>
      </c>
      <c r="I23" s="22">
        <v>7.3999999999999996E-2</v>
      </c>
      <c r="J23" s="22">
        <v>7.2999999999999995E-2</v>
      </c>
      <c r="K23" s="22">
        <v>7.1999999999999995E-2</v>
      </c>
      <c r="L23" s="22">
        <v>7.0999999999999994E-2</v>
      </c>
      <c r="M23" s="22">
        <v>7.0999999999999994E-2</v>
      </c>
      <c r="N23" s="22">
        <v>7.2999999999999995E-2</v>
      </c>
      <c r="O23" s="22">
        <v>7.3999999999999996E-2</v>
      </c>
      <c r="P23" s="22">
        <v>7.5999999999999998E-2</v>
      </c>
      <c r="Q23" s="24">
        <v>7.8E-2</v>
      </c>
    </row>
    <row r="24" spans="1:17">
      <c r="A24" s="22" t="s">
        <v>95</v>
      </c>
      <c r="B24" s="37">
        <f>B23*(1+C9)</f>
        <v>40376.938775510207</v>
      </c>
      <c r="E24" s="25" t="s">
        <v>84</v>
      </c>
      <c r="F24" s="37">
        <f t="shared" ref="F24:Q24" si="1">IF(F25=$F$28,ABS(($C$5-F21)*$B$22*F23*$B$20*F22),0)</f>
        <v>24032353.959183674</v>
      </c>
      <c r="G24" s="37">
        <f t="shared" si="1"/>
        <v>19595140.897959188</v>
      </c>
      <c r="H24" s="37">
        <f t="shared" si="1"/>
        <v>14789140.897959184</v>
      </c>
      <c r="I24" s="37">
        <f t="shared" si="1"/>
        <v>7548362.448979592</v>
      </c>
      <c r="J24" s="37">
        <f t="shared" si="1"/>
        <v>0</v>
      </c>
      <c r="K24" s="37">
        <f t="shared" si="1"/>
        <v>0</v>
      </c>
      <c r="L24" s="37">
        <f t="shared" si="1"/>
        <v>5181064.1632653065</v>
      </c>
      <c r="M24" s="37">
        <f t="shared" si="1"/>
        <v>0</v>
      </c>
      <c r="N24" s="37">
        <f t="shared" si="1"/>
        <v>0</v>
      </c>
      <c r="O24" s="37">
        <f t="shared" si="1"/>
        <v>7199976.4897959176</v>
      </c>
      <c r="P24" s="37">
        <f t="shared" si="1"/>
        <v>14312071.836734695</v>
      </c>
      <c r="Q24" s="36">
        <f t="shared" si="1"/>
        <v>22135062.857142858</v>
      </c>
    </row>
    <row r="25" spans="1:17" ht="18" customHeight="1" thickBot="1">
      <c r="A25" s="22" t="s">
        <v>201</v>
      </c>
      <c r="B25" s="66">
        <f>C11*B26/3960/1.34/B26*1000</f>
        <v>0.94225840494497204</v>
      </c>
      <c r="E25" s="27" t="s">
        <v>146</v>
      </c>
      <c r="F25" s="99" t="str">
        <f>IF(ABS($C$5-F21)&gt;'Operating Inputs'!$G$21,"Yes","No")</f>
        <v>Yes</v>
      </c>
      <c r="G25" s="99" t="str">
        <f>IF(ABS($C$5-G21)&gt;'Operating Inputs'!$G$21,"Yes","No")</f>
        <v>Yes</v>
      </c>
      <c r="H25" s="99" t="str">
        <f>IF(ABS($C$5-H21)&gt;'Operating Inputs'!$G$21,"Yes","No")</f>
        <v>Yes</v>
      </c>
      <c r="I25" s="99" t="str">
        <f>IF(ABS($C$5-I21)&gt;'Operating Inputs'!$G$21,"Yes","No")</f>
        <v>Yes</v>
      </c>
      <c r="J25" s="99" t="str">
        <f>IF(ABS($C$5-J21)&gt;'Operating Inputs'!$G$21,"Yes","No")</f>
        <v>No</v>
      </c>
      <c r="K25" s="99" t="str">
        <f>IF(ABS($C$5-K21)&gt;'Operating Inputs'!$G$21,"Yes","No")</f>
        <v>No</v>
      </c>
      <c r="L25" s="99" t="str">
        <f>IF(ABS($C$5-L21)&gt;'Operating Inputs'!$G$21,"Yes","No")</f>
        <v>Yes</v>
      </c>
      <c r="M25" s="99" t="str">
        <f>IF(ABS($C$5-M21)&gt;'Operating Inputs'!$G$21,"Yes","No")</f>
        <v>No</v>
      </c>
      <c r="N25" s="99" t="str">
        <f>IF(ABS($C$5-N21)&gt;'Operating Inputs'!$G$21,"Yes","No")</f>
        <v>No</v>
      </c>
      <c r="O25" s="99" t="str">
        <f>IF(ABS($C$5-O21)&gt;'Operating Inputs'!$G$21,"Yes","No")</f>
        <v>Yes</v>
      </c>
      <c r="P25" s="99" t="str">
        <f>IF(ABS($C$5-P21)&gt;'Operating Inputs'!$G$21,"Yes","No")</f>
        <v>Yes</v>
      </c>
      <c r="Q25" s="100" t="str">
        <f>IF(ABS($C$5-Q21)&gt;'Operating Inputs'!$G$21,"Yes","No")</f>
        <v>Yes</v>
      </c>
    </row>
    <row r="26" spans="1:17">
      <c r="A26" s="23" t="s">
        <v>204</v>
      </c>
      <c r="B26" s="22">
        <f>ROUNDUP(C10*('Capital Inputs'!L16+'Capital Inputs'!L15)/60,0)</f>
        <v>1983</v>
      </c>
      <c r="E26" s="40" t="s">
        <v>169</v>
      </c>
    </row>
    <row r="28" spans="1:17" hidden="1">
      <c r="F28" s="39" t="s">
        <v>147</v>
      </c>
    </row>
    <row r="29" spans="1:17" hidden="1">
      <c r="F29" s="39" t="s">
        <v>148</v>
      </c>
    </row>
    <row r="37" spans="1:2">
      <c r="A37" s="22" t="s">
        <v>206</v>
      </c>
      <c r="B37" s="22">
        <v>0.25</v>
      </c>
    </row>
  </sheetData>
  <mergeCells count="9">
    <mergeCell ref="I11:K11"/>
    <mergeCell ref="E12:G12"/>
    <mergeCell ref="E19:Q19"/>
    <mergeCell ref="A1:C1"/>
    <mergeCell ref="E1:G1"/>
    <mergeCell ref="I1:K1"/>
    <mergeCell ref="M1:O1"/>
    <mergeCell ref="E6:G6"/>
    <mergeCell ref="M7:O7"/>
  </mergeCells>
  <dataValidations count="2">
    <dataValidation type="list" allowBlank="1" showInputMessage="1" showErrorMessage="1" sqref="F25:Q25" xr:uid="{B8CC5B02-F3DB-4CA3-8DC0-B3675EA66D41}">
      <formula1>$F$28:$F$29</formula1>
    </dataValidation>
    <dataValidation type="list" allowBlank="1" showInputMessage="1" showErrorMessage="1" sqref="C6" xr:uid="{EA5B27DE-8A76-42A8-9436-5DB0A394974B}">
      <formula1>$E$3:$E$5</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4A3CC-AB6F-4A48-8574-8B60B84465B9}">
  <dimension ref="A1:U37"/>
  <sheetViews>
    <sheetView topLeftCell="B1" zoomScale="80" zoomScaleNormal="80" workbookViewId="0">
      <selection activeCell="N13" sqref="N13"/>
    </sheetView>
  </sheetViews>
  <sheetFormatPr defaultColWidth="0" defaultRowHeight="17.25" customHeight="1" zeroHeight="1"/>
  <cols>
    <col min="1" max="1" width="28.5546875" style="22" bestFit="1" customWidth="1"/>
    <col min="2" max="2" width="14.5546875" style="22" bestFit="1" customWidth="1"/>
    <col min="3" max="3" width="10" style="22" customWidth="1"/>
    <col min="4" max="4" width="3.77734375" style="22" customWidth="1"/>
    <col min="5" max="5" width="23.5546875" style="22" customWidth="1"/>
    <col min="6" max="17" width="12.77734375" style="22" customWidth="1"/>
    <col min="18" max="18" width="3.77734375" style="22" customWidth="1"/>
    <col min="19" max="21" width="0" style="22" hidden="1" customWidth="1"/>
    <col min="22" max="16384" width="8.88671875" style="22" hidden="1"/>
  </cols>
  <sheetData>
    <row r="1" spans="1:20">
      <c r="A1" s="614" t="s">
        <v>195</v>
      </c>
      <c r="B1" s="615"/>
      <c r="C1" s="616"/>
      <c r="D1" s="43"/>
      <c r="E1" s="614" t="s">
        <v>172</v>
      </c>
      <c r="F1" s="615"/>
      <c r="G1" s="616"/>
      <c r="I1" s="614" t="s">
        <v>174</v>
      </c>
      <c r="J1" s="615"/>
      <c r="K1" s="615"/>
      <c r="M1" s="620" t="s">
        <v>207</v>
      </c>
      <c r="N1" s="620"/>
      <c r="O1" s="620"/>
    </row>
    <row r="2" spans="1:20">
      <c r="A2" s="28" t="s">
        <v>12</v>
      </c>
      <c r="B2" s="28" t="s">
        <v>11</v>
      </c>
      <c r="C2" s="45" t="s">
        <v>13</v>
      </c>
      <c r="E2" s="44" t="s">
        <v>96</v>
      </c>
      <c r="F2" s="49" t="s">
        <v>176</v>
      </c>
      <c r="G2" s="45" t="s">
        <v>144</v>
      </c>
      <c r="I2" s="49" t="s">
        <v>180</v>
      </c>
      <c r="J2" s="49"/>
      <c r="K2" s="49"/>
      <c r="M2" s="22" t="s">
        <v>208</v>
      </c>
      <c r="N2" s="22" t="s">
        <v>209</v>
      </c>
      <c r="O2" s="22" t="s">
        <v>144</v>
      </c>
    </row>
    <row r="3" spans="1:20">
      <c r="A3" s="23" t="s">
        <v>140</v>
      </c>
      <c r="B3" s="40" t="s">
        <v>152</v>
      </c>
      <c r="C3" s="42">
        <f>'Capital Inputs'!D6+'Capital Inputs'!$D$9</f>
        <v>8900</v>
      </c>
      <c r="D3" s="33"/>
      <c r="E3" s="23" t="s">
        <v>15</v>
      </c>
      <c r="F3" s="60">
        <f>SUM($F$24:$Q$24)/G14/K13</f>
        <v>32218.528300318711</v>
      </c>
      <c r="G3" s="42">
        <f>F3*K4</f>
        <v>3544.0381130350584</v>
      </c>
      <c r="I3" s="23" t="s">
        <v>88</v>
      </c>
      <c r="J3" s="57" t="s">
        <v>171</v>
      </c>
      <c r="K3" s="52">
        <f>'Operating Inputs'!D21</f>
        <v>53.6</v>
      </c>
      <c r="M3" s="22" t="s">
        <v>248</v>
      </c>
      <c r="N3" s="67">
        <f>'1- Food - Salmon RAS'!L14*'1- Food - Salmon RAS'!D5*'Salmon Utilities'!$B$37/(24*365)*4</f>
        <v>2.0691283547533081</v>
      </c>
      <c r="O3" s="67">
        <f>N3/1.33*24*365*$K$4</f>
        <v>1499.1068290528478</v>
      </c>
    </row>
    <row r="4" spans="1:20">
      <c r="A4" s="23" t="s">
        <v>92</v>
      </c>
      <c r="B4" s="40" t="s">
        <v>167</v>
      </c>
      <c r="C4" s="42">
        <f>'Operating Inputs'!D26</f>
        <v>10</v>
      </c>
      <c r="E4" s="23" t="s">
        <v>52</v>
      </c>
      <c r="F4" s="60">
        <f>SUM($F$24:$Q$24)/G15/K14/10</f>
        <v>111.89664377226302</v>
      </c>
      <c r="G4" s="42">
        <f>F4*K7</f>
        <v>1734.3979784700769</v>
      </c>
      <c r="I4" s="23" t="s">
        <v>107</v>
      </c>
      <c r="J4" s="57" t="s">
        <v>179</v>
      </c>
      <c r="K4" s="52">
        <f>'Operating Inputs'!D20</f>
        <v>0.11</v>
      </c>
      <c r="N4" s="67"/>
      <c r="O4" s="67"/>
    </row>
    <row r="5" spans="1:20" ht="18" thickBot="1">
      <c r="A5" s="23" t="s">
        <v>61</v>
      </c>
      <c r="B5" s="40" t="s">
        <v>65</v>
      </c>
      <c r="C5" s="42">
        <f>'Operating Inputs'!G22</f>
        <v>50</v>
      </c>
      <c r="E5" s="32" t="s">
        <v>97</v>
      </c>
      <c r="F5" s="60">
        <f>SUM($F$24:$Q$24)/G16/K15</f>
        <v>1268.1342439710249</v>
      </c>
      <c r="G5" s="54">
        <f>F5*K9</f>
        <v>2346.0483513463964</v>
      </c>
      <c r="I5" s="49" t="s">
        <v>181</v>
      </c>
      <c r="J5" s="49"/>
      <c r="K5" s="49"/>
      <c r="N5" s="67"/>
      <c r="O5" s="67"/>
    </row>
    <row r="6" spans="1:20">
      <c r="A6" s="23" t="s">
        <v>114</v>
      </c>
      <c r="B6" s="40"/>
      <c r="C6" s="24" t="str">
        <f>'Operating Inputs'!D19</f>
        <v>Natural gas</v>
      </c>
      <c r="E6" s="614" t="s">
        <v>173</v>
      </c>
      <c r="F6" s="615"/>
      <c r="G6" s="616"/>
      <c r="I6" s="23" t="s">
        <v>88</v>
      </c>
      <c r="J6" s="57" t="s">
        <v>89</v>
      </c>
      <c r="K6" s="52">
        <f>'Operating Inputs'!D23</f>
        <v>53.6</v>
      </c>
      <c r="N6" s="67"/>
      <c r="O6" s="67"/>
    </row>
    <row r="7" spans="1:20">
      <c r="A7" s="23" t="s">
        <v>64</v>
      </c>
      <c r="B7" s="40" t="s">
        <v>131</v>
      </c>
      <c r="C7" s="34">
        <v>0.5</v>
      </c>
      <c r="E7" s="44" t="s">
        <v>12</v>
      </c>
      <c r="F7" s="44" t="s">
        <v>104</v>
      </c>
      <c r="G7" s="45" t="s">
        <v>144</v>
      </c>
      <c r="I7" s="23" t="s">
        <v>100</v>
      </c>
      <c r="J7" s="57" t="s">
        <v>178</v>
      </c>
      <c r="K7" s="52">
        <f>'Operating Inputs'!D22</f>
        <v>15.5</v>
      </c>
      <c r="M7" s="620"/>
      <c r="N7" s="620"/>
      <c r="O7" s="620"/>
      <c r="P7" s="33"/>
    </row>
    <row r="8" spans="1:20">
      <c r="A8" s="23" t="s">
        <v>116</v>
      </c>
      <c r="B8" s="40" t="s">
        <v>117</v>
      </c>
      <c r="C8" s="31">
        <v>0.02</v>
      </c>
      <c r="E8" s="23" t="s">
        <v>101</v>
      </c>
      <c r="F8" s="59" t="str">
        <f>ROUND(B25*B26*24*365/1000,0) &amp; " kWh"</f>
        <v>16368 kWh</v>
      </c>
      <c r="G8" s="42">
        <f>B25*B26*24*365/1000*K4</f>
        <v>1800.4850746268653</v>
      </c>
      <c r="I8" s="49" t="s">
        <v>97</v>
      </c>
      <c r="J8" s="49"/>
      <c r="K8" s="49"/>
    </row>
    <row r="9" spans="1:20" ht="18" thickBot="1">
      <c r="A9" s="23" t="s">
        <v>94</v>
      </c>
      <c r="B9" s="40" t="s">
        <v>168</v>
      </c>
      <c r="C9" s="31">
        <v>0.25</v>
      </c>
      <c r="E9" s="23" t="s">
        <v>102</v>
      </c>
      <c r="F9" s="40" t="str">
        <f>C12 &amp; " hours per day"</f>
        <v>16 hours per day</v>
      </c>
      <c r="G9" s="42">
        <f>C12*C3*C13/1000*K4*365</f>
        <v>7146.7000000000007</v>
      </c>
      <c r="I9" s="32" t="s">
        <v>99</v>
      </c>
      <c r="J9" s="58" t="s">
        <v>177</v>
      </c>
      <c r="K9" s="53">
        <f>'Operating Inputs'!D24</f>
        <v>1.85</v>
      </c>
    </row>
    <row r="10" spans="1:20" ht="18" thickBot="1">
      <c r="A10" s="23" t="s">
        <v>130</v>
      </c>
      <c r="B10" s="40" t="s">
        <v>131</v>
      </c>
      <c r="C10" s="65">
        <v>1</v>
      </c>
      <c r="E10" s="23" t="s">
        <v>63</v>
      </c>
      <c r="F10" s="40" t="str">
        <f>ROUND(B21,0) &amp; " CFM"</f>
        <v>757 CFM</v>
      </c>
      <c r="G10" s="42">
        <f>B21/C16*24*365*K4</f>
        <v>540.18896447467887</v>
      </c>
      <c r="T10" s="26"/>
    </row>
    <row r="11" spans="1:20" ht="18" thickBot="1">
      <c r="A11" s="23" t="s">
        <v>202</v>
      </c>
      <c r="B11" s="40" t="s">
        <v>203</v>
      </c>
      <c r="C11" s="65">
        <v>5</v>
      </c>
      <c r="E11" s="32" t="s">
        <v>103</v>
      </c>
      <c r="F11" s="41" t="str">
        <f>C14 &amp; " kWh"</f>
        <v>2500 kWh</v>
      </c>
      <c r="G11" s="54">
        <f>C14*K4</f>
        <v>275</v>
      </c>
      <c r="I11" s="614" t="s">
        <v>175</v>
      </c>
      <c r="J11" s="615"/>
      <c r="K11" s="616"/>
      <c r="T11" s="35"/>
    </row>
    <row r="12" spans="1:20" ht="18" thickBot="1">
      <c r="A12" s="23" t="s">
        <v>151</v>
      </c>
      <c r="B12" s="40" t="s">
        <v>105</v>
      </c>
      <c r="C12" s="61">
        <f>'Operating Inputs'!D33</f>
        <v>16</v>
      </c>
      <c r="E12" s="617" t="s">
        <v>196</v>
      </c>
      <c r="F12" s="617"/>
      <c r="G12" s="618"/>
      <c r="I12" s="28" t="s">
        <v>96</v>
      </c>
      <c r="J12" s="28" t="s">
        <v>11</v>
      </c>
      <c r="K12" s="45" t="s">
        <v>13</v>
      </c>
    </row>
    <row r="13" spans="1:20">
      <c r="A13" s="23" t="s">
        <v>108</v>
      </c>
      <c r="B13" s="40" t="s">
        <v>170</v>
      </c>
      <c r="C13" s="46">
        <v>1.25</v>
      </c>
      <c r="E13" s="44" t="s">
        <v>62</v>
      </c>
      <c r="F13" s="44" t="s">
        <v>11</v>
      </c>
      <c r="G13" s="45" t="s">
        <v>106</v>
      </c>
      <c r="I13" s="23" t="s">
        <v>98</v>
      </c>
      <c r="J13" s="40" t="s">
        <v>156</v>
      </c>
      <c r="K13" s="31">
        <v>0.95</v>
      </c>
    </row>
    <row r="14" spans="1:20">
      <c r="A14" s="23" t="s">
        <v>109</v>
      </c>
      <c r="B14" s="40" t="s">
        <v>110</v>
      </c>
      <c r="C14" s="48">
        <v>2500</v>
      </c>
      <c r="E14" s="23" t="s">
        <v>15</v>
      </c>
      <c r="F14" s="40" t="s">
        <v>86</v>
      </c>
      <c r="G14" s="79">
        <v>3412</v>
      </c>
      <c r="I14" s="23" t="s">
        <v>52</v>
      </c>
      <c r="J14" s="40" t="s">
        <v>156</v>
      </c>
      <c r="K14" s="31">
        <v>0.9</v>
      </c>
    </row>
    <row r="15" spans="1:20" ht="18" thickBot="1">
      <c r="A15" s="23" t="s">
        <v>83</v>
      </c>
      <c r="B15" s="40" t="s">
        <v>56</v>
      </c>
      <c r="C15" s="62">
        <v>0.24</v>
      </c>
      <c r="E15" s="23" t="s">
        <v>52</v>
      </c>
      <c r="F15" s="40" t="s">
        <v>90</v>
      </c>
      <c r="G15" s="79">
        <v>103700</v>
      </c>
      <c r="I15" s="32" t="s">
        <v>97</v>
      </c>
      <c r="J15" s="41" t="s">
        <v>156</v>
      </c>
      <c r="K15" s="56">
        <v>0.9</v>
      </c>
    </row>
    <row r="16" spans="1:20" ht="18" thickBot="1">
      <c r="A16" s="32" t="s">
        <v>111</v>
      </c>
      <c r="B16" s="41" t="s">
        <v>112</v>
      </c>
      <c r="C16" s="47">
        <v>1350</v>
      </c>
      <c r="E16" s="32" t="s">
        <v>99</v>
      </c>
      <c r="F16" s="41" t="s">
        <v>87</v>
      </c>
      <c r="G16" s="80">
        <v>91502</v>
      </c>
    </row>
    <row r="17" spans="1:17">
      <c r="A17" s="33"/>
      <c r="C17" s="37"/>
      <c r="F17" s="38" t="s">
        <v>113</v>
      </c>
      <c r="G17" s="55">
        <f>IF(C6=E3,G3,IF(C6=E4,G4,G5))+SUM(G8:G11)+K3*12+K6*12</f>
        <v>12783.172017571624</v>
      </c>
    </row>
    <row r="18" spans="1:17" ht="18" thickBot="1">
      <c r="C18" s="37"/>
    </row>
    <row r="19" spans="1:17" ht="18" thickBot="1">
      <c r="A19" s="22" t="s">
        <v>79</v>
      </c>
      <c r="B19" s="50">
        <f>C3*C4</f>
        <v>89000</v>
      </c>
      <c r="E19" s="619" t="s">
        <v>78</v>
      </c>
      <c r="F19" s="617"/>
      <c r="G19" s="617"/>
      <c r="H19" s="617"/>
      <c r="I19" s="617"/>
      <c r="J19" s="617"/>
      <c r="K19" s="617"/>
      <c r="L19" s="617"/>
      <c r="M19" s="617"/>
      <c r="N19" s="617"/>
      <c r="O19" s="617"/>
      <c r="P19" s="617"/>
      <c r="Q19" s="618"/>
    </row>
    <row r="20" spans="1:17">
      <c r="A20" s="22" t="s">
        <v>80</v>
      </c>
      <c r="B20" s="50">
        <f>B19*24*(C7)/(1-C8)</f>
        <v>1089795.918367347</v>
      </c>
      <c r="E20" s="23"/>
      <c r="F20" s="63" t="s">
        <v>66</v>
      </c>
      <c r="G20" s="63" t="s">
        <v>67</v>
      </c>
      <c r="H20" s="63" t="s">
        <v>68</v>
      </c>
      <c r="I20" s="63" t="s">
        <v>69</v>
      </c>
      <c r="J20" s="63" t="s">
        <v>70</v>
      </c>
      <c r="K20" s="63" t="s">
        <v>71</v>
      </c>
      <c r="L20" s="63" t="s">
        <v>72</v>
      </c>
      <c r="M20" s="63" t="s">
        <v>73</v>
      </c>
      <c r="N20" s="63" t="s">
        <v>74</v>
      </c>
      <c r="O20" s="63" t="s">
        <v>75</v>
      </c>
      <c r="P20" s="63" t="s">
        <v>76</v>
      </c>
      <c r="Q20" s="64" t="s">
        <v>77</v>
      </c>
    </row>
    <row r="21" spans="1:17">
      <c r="A21" s="22" t="s">
        <v>93</v>
      </c>
      <c r="B21" s="50">
        <f>B20/24/60</f>
        <v>756.80272108843542</v>
      </c>
      <c r="E21" s="25" t="s">
        <v>81</v>
      </c>
      <c r="F21" s="22">
        <f>'Operating Inputs'!G4</f>
        <v>30</v>
      </c>
      <c r="G21" s="22">
        <f>'Operating Inputs'!G5</f>
        <v>34</v>
      </c>
      <c r="H21" s="22">
        <f>'Operating Inputs'!G6</f>
        <v>44</v>
      </c>
      <c r="I21" s="22">
        <f>'Operating Inputs'!G7</f>
        <v>55</v>
      </c>
      <c r="J21" s="22">
        <f>'Operating Inputs'!G8</f>
        <v>63</v>
      </c>
      <c r="K21" s="22">
        <f>'Operating Inputs'!G9</f>
        <v>73</v>
      </c>
      <c r="L21" s="22">
        <f>'Operating Inputs'!G10</f>
        <v>77</v>
      </c>
      <c r="M21" s="22">
        <f>'Operating Inputs'!G11</f>
        <v>76</v>
      </c>
      <c r="N21" s="22">
        <f>'Operating Inputs'!G12</f>
        <v>67</v>
      </c>
      <c r="O21" s="22">
        <f>'Operating Inputs'!G13</f>
        <v>56</v>
      </c>
      <c r="P21" s="22">
        <f>'Operating Inputs'!G14</f>
        <v>44</v>
      </c>
      <c r="Q21" s="24">
        <f>'Operating Inputs'!G15</f>
        <v>33</v>
      </c>
    </row>
    <row r="22" spans="1:17">
      <c r="A22" s="22" t="s">
        <v>83</v>
      </c>
      <c r="B22" s="22">
        <f>C15</f>
        <v>0.24</v>
      </c>
      <c r="E22" s="25" t="s">
        <v>85</v>
      </c>
      <c r="F22" s="29">
        <v>31</v>
      </c>
      <c r="G22" s="51">
        <v>28.25</v>
      </c>
      <c r="H22" s="29">
        <v>31</v>
      </c>
      <c r="I22" s="29">
        <v>30</v>
      </c>
      <c r="J22" s="29">
        <v>31</v>
      </c>
      <c r="K22" s="29">
        <v>30</v>
      </c>
      <c r="L22" s="29">
        <v>31</v>
      </c>
      <c r="M22" s="29">
        <v>31</v>
      </c>
      <c r="N22" s="29">
        <v>30</v>
      </c>
      <c r="O22" s="29">
        <v>31</v>
      </c>
      <c r="P22" s="29">
        <v>30</v>
      </c>
      <c r="Q22" s="30">
        <v>31</v>
      </c>
    </row>
    <row r="23" spans="1:17">
      <c r="A23" s="22" t="s">
        <v>91</v>
      </c>
      <c r="B23" s="37">
        <f>MAX(F24:Q24)/31/24</f>
        <v>20891.387755102038</v>
      </c>
      <c r="E23" s="25" t="s">
        <v>82</v>
      </c>
      <c r="F23" s="22">
        <v>7.8E-2</v>
      </c>
      <c r="G23" s="22">
        <v>7.8E-2</v>
      </c>
      <c r="H23" s="22">
        <v>7.5999999999999998E-2</v>
      </c>
      <c r="I23" s="22">
        <v>7.3999999999999996E-2</v>
      </c>
      <c r="J23" s="22">
        <v>7.2999999999999995E-2</v>
      </c>
      <c r="K23" s="22">
        <v>7.1999999999999995E-2</v>
      </c>
      <c r="L23" s="22">
        <v>7.0999999999999994E-2</v>
      </c>
      <c r="M23" s="22">
        <v>7.0999999999999994E-2</v>
      </c>
      <c r="N23" s="22">
        <v>7.2999999999999995E-2</v>
      </c>
      <c r="O23" s="22">
        <v>7.3999999999999996E-2</v>
      </c>
      <c r="P23" s="22">
        <v>7.5999999999999998E-2</v>
      </c>
      <c r="Q23" s="24">
        <v>7.8E-2</v>
      </c>
    </row>
    <row r="24" spans="1:17">
      <c r="A24" s="22" t="s">
        <v>95</v>
      </c>
      <c r="B24" s="37">
        <f>B23*(1+C9)</f>
        <v>26114.234693877548</v>
      </c>
      <c r="E24" s="25" t="s">
        <v>84</v>
      </c>
      <c r="F24" s="37">
        <f t="shared" ref="F24:Q24" si="0">IF(F25=$F$28,ABS(($C$5-F21)*$B$22*F23*$B$20*F22),0)</f>
        <v>12648607.346938776</v>
      </c>
      <c r="G24" s="37">
        <f t="shared" si="0"/>
        <v>9221242.7755102031</v>
      </c>
      <c r="H24" s="37">
        <f t="shared" si="0"/>
        <v>3697285.224489796</v>
      </c>
      <c r="I24" s="37">
        <f t="shared" si="0"/>
        <v>0</v>
      </c>
      <c r="J24" s="37">
        <f t="shared" si="0"/>
        <v>7694569.4693877548</v>
      </c>
      <c r="K24" s="37">
        <f t="shared" si="0"/>
        <v>12993854.69387755</v>
      </c>
      <c r="L24" s="37">
        <f t="shared" si="0"/>
        <v>15543192.489795918</v>
      </c>
      <c r="M24" s="37">
        <f t="shared" si="0"/>
        <v>14967518.693877552</v>
      </c>
      <c r="N24" s="37">
        <f t="shared" si="0"/>
        <v>9737544.4897959176</v>
      </c>
      <c r="O24" s="37">
        <f t="shared" si="0"/>
        <v>3599988.2448979588</v>
      </c>
      <c r="P24" s="37">
        <f t="shared" si="0"/>
        <v>3578017.9591836738</v>
      </c>
      <c r="Q24" s="36">
        <f t="shared" si="0"/>
        <v>10751316.244897962</v>
      </c>
    </row>
    <row r="25" spans="1:17" ht="18" customHeight="1" thickBot="1">
      <c r="A25" s="22" t="s">
        <v>201</v>
      </c>
      <c r="B25" s="66">
        <f>C11*B26/3960/1.34/B26*1000</f>
        <v>0.94225840494497204</v>
      </c>
      <c r="E25" s="27" t="s">
        <v>249</v>
      </c>
      <c r="F25" s="99" t="str">
        <f>IF(ABS($C$5-F21)&gt;'Operating Inputs'!$G$23,"Yes","No")</f>
        <v>Yes</v>
      </c>
      <c r="G25" s="99" t="str">
        <f>IF(ABS($C$5-G21)&gt;'Operating Inputs'!$G$23,"Yes","No")</f>
        <v>Yes</v>
      </c>
      <c r="H25" s="99" t="str">
        <f>IF(ABS($C$5-H21)&gt;'Operating Inputs'!$G$23,"Yes","No")</f>
        <v>Yes</v>
      </c>
      <c r="I25" s="99" t="str">
        <f>IF(ABS($C$5-I21)&gt;'Operating Inputs'!$G$23,"Yes","No")</f>
        <v>No</v>
      </c>
      <c r="J25" s="99" t="str">
        <f>IF(ABS($C$5-J21)&gt;'Operating Inputs'!$G$23,"Yes","No")</f>
        <v>Yes</v>
      </c>
      <c r="K25" s="99" t="str">
        <f>IF(ABS($C$5-K21)&gt;'Operating Inputs'!$G$23,"Yes","No")</f>
        <v>Yes</v>
      </c>
      <c r="L25" s="99" t="str">
        <f>IF(ABS($C$5-L21)&gt;'Operating Inputs'!$G$23,"Yes","No")</f>
        <v>Yes</v>
      </c>
      <c r="M25" s="99" t="str">
        <f>IF(ABS($C$5-M21)&gt;'Operating Inputs'!$G$23,"Yes","No")</f>
        <v>Yes</v>
      </c>
      <c r="N25" s="99" t="str">
        <f>IF(ABS($C$5-N21)&gt;'Operating Inputs'!$G$23,"Yes","No")</f>
        <v>Yes</v>
      </c>
      <c r="O25" s="99" t="str">
        <f>IF(ABS($C$5-O21)&gt;'Operating Inputs'!$G$23,"Yes","No")</f>
        <v>Yes</v>
      </c>
      <c r="P25" s="99" t="str">
        <f>IF(ABS($C$5-P21)&gt;'Operating Inputs'!$G$23,"Yes","No")</f>
        <v>Yes</v>
      </c>
      <c r="Q25" s="100" t="str">
        <f>IF(ABS($C$5-Q21)&gt;'Operating Inputs'!$G$23,"Yes","No")</f>
        <v>Yes</v>
      </c>
    </row>
    <row r="26" spans="1:17">
      <c r="A26" s="23" t="s">
        <v>204</v>
      </c>
      <c r="B26" s="22">
        <f>ROUNDUP(C10*('Capital Inputs'!L16+'Capital Inputs'!L15)/60,0)</f>
        <v>1983</v>
      </c>
      <c r="E26" s="40" t="s">
        <v>169</v>
      </c>
    </row>
    <row r="28" spans="1:17" hidden="1">
      <c r="F28" s="39" t="s">
        <v>147</v>
      </c>
    </row>
    <row r="29" spans="1:17" hidden="1">
      <c r="F29" s="39" t="s">
        <v>148</v>
      </c>
    </row>
    <row r="37" spans="1:2">
      <c r="A37" s="22" t="s">
        <v>206</v>
      </c>
      <c r="B37" s="22">
        <v>0.25</v>
      </c>
    </row>
  </sheetData>
  <mergeCells count="9">
    <mergeCell ref="I11:K11"/>
    <mergeCell ref="E12:G12"/>
    <mergeCell ref="E19:Q19"/>
    <mergeCell ref="A1:C1"/>
    <mergeCell ref="E1:G1"/>
    <mergeCell ref="I1:K1"/>
    <mergeCell ref="M1:O1"/>
    <mergeCell ref="E6:G6"/>
    <mergeCell ref="M7:O7"/>
  </mergeCells>
  <dataValidations count="2">
    <dataValidation type="list" allowBlank="1" showInputMessage="1" showErrorMessage="1" sqref="F25:Q25" xr:uid="{E18C93F0-D2FA-46FD-BE5A-79D499E49E59}">
      <formula1>$F$28:$F$29</formula1>
    </dataValidation>
    <dataValidation type="list" allowBlank="1" showInputMessage="1" showErrorMessage="1" sqref="C6" xr:uid="{5A463FB4-BA09-426B-9A0D-8ABBBC0C62FF}">
      <formula1>$E$3:$E$5</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2A5A5-0BE7-42A9-BB61-8F59BB71512A}">
  <dimension ref="A1:X9"/>
  <sheetViews>
    <sheetView zoomScale="120" zoomScaleNormal="120" workbookViewId="0">
      <selection activeCell="C8" sqref="C8"/>
    </sheetView>
  </sheetViews>
  <sheetFormatPr defaultColWidth="0" defaultRowHeight="12.75" zeroHeight="1"/>
  <cols>
    <col min="1" max="1" width="19" style="112" customWidth="1"/>
    <col min="2" max="2" width="18.33203125" style="112" customWidth="1"/>
    <col min="3" max="3" width="24.5546875" style="112" customWidth="1"/>
    <col min="4" max="4" width="10.6640625" style="112" customWidth="1"/>
    <col min="5" max="5" width="7.44140625" style="112" customWidth="1"/>
    <col min="6" max="6" width="13.21875" style="112" bestFit="1" customWidth="1"/>
    <col min="7" max="7" width="11" style="112" customWidth="1"/>
    <col min="8" max="8" width="11.33203125" style="112" customWidth="1"/>
    <col min="9" max="9" width="11.21875" style="112" customWidth="1"/>
    <col min="10" max="10" width="15.33203125" style="112" customWidth="1"/>
    <col min="11" max="11" width="9.77734375" style="112" customWidth="1"/>
    <col min="12" max="12" width="17.77734375" style="112" bestFit="1" customWidth="1"/>
    <col min="13" max="16" width="12.6640625" style="112" customWidth="1"/>
    <col min="17" max="17" width="15.77734375" style="112" customWidth="1"/>
    <col min="18" max="18" width="16.88671875" style="112" customWidth="1"/>
    <col min="19" max="19" width="13.44140625" style="112" customWidth="1"/>
    <col min="20" max="20" width="18.109375" style="112" customWidth="1"/>
    <col min="21" max="21" width="3.33203125" style="112" customWidth="1"/>
    <col min="22" max="22" width="13.5546875" style="112" hidden="1" customWidth="1"/>
    <col min="23" max="23" width="6.5546875" style="112" hidden="1" customWidth="1"/>
    <col min="24" max="24" width="5.21875" style="112" hidden="1" customWidth="1"/>
    <col min="25" max="16384" width="26.21875" style="112" hidden="1"/>
  </cols>
  <sheetData>
    <row r="1" spans="1:24" ht="16.5" customHeight="1"/>
    <row r="2" spans="1:24" s="131" customFormat="1" ht="45">
      <c r="A2" s="170" t="s">
        <v>367</v>
      </c>
      <c r="B2" s="171" t="s">
        <v>368</v>
      </c>
      <c r="C2" s="171" t="s">
        <v>365</v>
      </c>
      <c r="D2" s="171" t="s">
        <v>414</v>
      </c>
      <c r="E2" s="171" t="s">
        <v>415</v>
      </c>
      <c r="F2" s="171" t="s">
        <v>413</v>
      </c>
      <c r="G2" s="171" t="s">
        <v>416</v>
      </c>
      <c r="H2" s="171" t="s">
        <v>409</v>
      </c>
      <c r="I2" s="171" t="s">
        <v>410</v>
      </c>
      <c r="J2" s="171" t="s">
        <v>411</v>
      </c>
      <c r="K2" s="171" t="s">
        <v>412</v>
      </c>
      <c r="L2" s="171" t="s">
        <v>417</v>
      </c>
      <c r="M2" s="171" t="s">
        <v>418</v>
      </c>
      <c r="N2" s="171" t="s">
        <v>419</v>
      </c>
      <c r="O2" s="171" t="s">
        <v>420</v>
      </c>
      <c r="P2" s="171" t="s">
        <v>421</v>
      </c>
      <c r="Q2" s="171" t="s">
        <v>407</v>
      </c>
      <c r="R2" s="171" t="s">
        <v>406</v>
      </c>
      <c r="S2" s="171" t="s">
        <v>405</v>
      </c>
      <c r="T2" s="171" t="s">
        <v>404</v>
      </c>
    </row>
    <row r="3" spans="1:24" ht="16.5" customHeight="1">
      <c r="A3" s="164" t="s">
        <v>401</v>
      </c>
      <c r="B3" s="165" t="s">
        <v>369</v>
      </c>
      <c r="C3" s="165" t="s">
        <v>373</v>
      </c>
      <c r="D3" s="184">
        <f>'Capital Inputs'!F39</f>
        <v>451351.125</v>
      </c>
      <c r="E3" s="166">
        <f>'1- Food - Salmon RAS'!L18</f>
        <v>24</v>
      </c>
      <c r="F3" s="174">
        <f>'1- Food - Salmon RAS'!L15</f>
        <v>0.6746076000000002</v>
      </c>
      <c r="G3" s="175" t="s">
        <v>383</v>
      </c>
      <c r="H3" s="186">
        <f>I3*'1- Food - Salmon RAS'!L13</f>
        <v>55.552305880155089</v>
      </c>
      <c r="I3" s="186">
        <f>'1- Food - Salmon RAS'!C37</f>
        <v>6.2995901614981271</v>
      </c>
      <c r="J3" s="175" t="str">
        <f ca="1">'1- Food - Salmon RAS'!H35</f>
        <v>Doesn't pay back</v>
      </c>
      <c r="K3" s="176" t="str">
        <f ca="1">'1- Food - Salmon RAS'!H36</f>
        <v>High loss</v>
      </c>
      <c r="L3" s="177">
        <f>Q3*Grow_out_capacity/2204.6</f>
        <v>18.103389738750007</v>
      </c>
      <c r="M3" s="188">
        <f>'1- Food - Salmon RAS'!F5</f>
        <v>239464.39810828952</v>
      </c>
      <c r="N3" s="188">
        <f>'1- Food - Salmon RAS'!F21</f>
        <v>159856.46132057998</v>
      </c>
      <c r="O3" s="167">
        <f>(P3-N3)/P3</f>
        <v>0.29730698753504586</v>
      </c>
      <c r="P3" s="188">
        <f>'1- Food - Salmon RAS'!F7</f>
        <v>227491.17820287505</v>
      </c>
      <c r="Q3" s="174">
        <f t="shared" ref="Q3:Q8" si="0">F3*12/E3</f>
        <v>0.3373038000000001</v>
      </c>
      <c r="R3" s="174">
        <f t="shared" ref="R3:R8" si="1">Q3*$W$5</f>
        <v>40.417909167522609</v>
      </c>
      <c r="S3" s="174">
        <f>('1- Food - Salmon RAS'!L13-'1- Food - Salmon RAS'!L14)/'1- Food - Salmon RAS'!L18</f>
        <v>0.34851030706008923</v>
      </c>
      <c r="T3" s="165" t="s">
        <v>364</v>
      </c>
      <c r="V3" s="113"/>
    </row>
    <row r="4" spans="1:24" ht="16.5" customHeight="1">
      <c r="A4" s="164" t="s">
        <v>402</v>
      </c>
      <c r="B4" s="165" t="s">
        <v>370</v>
      </c>
      <c r="C4" s="165" t="s">
        <v>374</v>
      </c>
      <c r="D4" s="184">
        <f>'Capital Inputs'!F40</f>
        <v>447623.125</v>
      </c>
      <c r="E4" s="166">
        <f>'2- Food- Trout RAS'!L19</f>
        <v>10</v>
      </c>
      <c r="F4" s="174">
        <f>'2- Food- Trout RAS'!L16</f>
        <v>0.53557200000000005</v>
      </c>
      <c r="G4" s="175" t="s">
        <v>384</v>
      </c>
      <c r="H4" s="186">
        <f>I4*'2- Food- Trout RAS'!L15</f>
        <v>16.873465129140701</v>
      </c>
      <c r="I4" s="186">
        <f>'2- Food- Trout RAS'!C38</f>
        <v>5.1038914486209013</v>
      </c>
      <c r="J4" s="175">
        <f ca="1">'2- Food- Trout RAS'!H36</f>
        <v>3</v>
      </c>
      <c r="K4" s="176">
        <f ca="1">'2- Food- Trout RAS'!H37</f>
        <v>0.34788380424516285</v>
      </c>
      <c r="L4" s="177">
        <f>Q4*(Grow_out_capacity+'Capital Inputs'!L15)/2204.6</f>
        <v>34.67890198708065</v>
      </c>
      <c r="M4" s="188">
        <f>'2- Food- Trout RAS'!F5</f>
        <v>535171.75124502601</v>
      </c>
      <c r="N4" s="188">
        <f>'2- Food- Trout RAS'!F23</f>
        <v>299127.28231161338</v>
      </c>
      <c r="O4" s="167">
        <f t="shared" ref="O4:O8" si="2">(P4-N4)/P4</f>
        <v>0.41603599126067808</v>
      </c>
      <c r="P4" s="188">
        <f>'2- Food- Trout RAS'!F7</f>
        <v>512235.81904881063</v>
      </c>
      <c r="Q4" s="174">
        <f t="shared" si="0"/>
        <v>0.64268639999999999</v>
      </c>
      <c r="R4" s="174">
        <f t="shared" si="1"/>
        <v>77.010814993492801</v>
      </c>
      <c r="S4" s="174">
        <f>('2- Food- Trout RAS'!L15-'2- Food- Trout RAS'!L14)/'2- Food- Trout RAS'!L19</f>
        <v>0.32839537557981624</v>
      </c>
      <c r="T4" s="165" t="s">
        <v>364</v>
      </c>
      <c r="V4" s="114" t="s">
        <v>328</v>
      </c>
      <c r="W4" s="115">
        <v>0.45359237000000002</v>
      </c>
      <c r="X4" s="116" t="s">
        <v>329</v>
      </c>
    </row>
    <row r="5" spans="1:24" ht="16.5" customHeight="1">
      <c r="A5" s="164" t="s">
        <v>311</v>
      </c>
      <c r="B5" s="165" t="s">
        <v>369</v>
      </c>
      <c r="C5" s="165" t="s">
        <v>389</v>
      </c>
      <c r="D5" s="184">
        <f>'Capital Inputs'!F39</f>
        <v>451351.125</v>
      </c>
      <c r="E5" s="166">
        <f>'3- Stocking- Trout RAS'!L22</f>
        <v>7</v>
      </c>
      <c r="F5" s="174">
        <f>'3- Stocking- Trout RAS'!L19</f>
        <v>0.37522090336690245</v>
      </c>
      <c r="G5" s="175" t="s">
        <v>386</v>
      </c>
      <c r="H5" s="186">
        <f>'3- Stocking- Trout RAS'!C38</f>
        <v>2.4746017663849678</v>
      </c>
      <c r="I5" s="186">
        <f>H5/'3- Stocking- Trout RAS'!L18</f>
        <v>5.4488328369810199</v>
      </c>
      <c r="J5" s="175">
        <f ca="1">'3- Stocking- Trout RAS'!H36</f>
        <v>7</v>
      </c>
      <c r="K5" s="176">
        <f ca="1">'3- Stocking- Trout RAS'!H37</f>
        <v>0.13323688514004717</v>
      </c>
      <c r="L5" s="177">
        <f>Q5*Grow_out_capacity/2204.6</f>
        <v>34.523029396781453</v>
      </c>
      <c r="M5" s="188">
        <f>'3- Stocking- Trout RAS'!F5</f>
        <v>427343.44577586424</v>
      </c>
      <c r="N5" s="188">
        <f>'3- Stocking- Trout RAS'!F23</f>
        <v>260936.81551856888</v>
      </c>
      <c r="O5" s="167">
        <f t="shared" si="2"/>
        <v>0.32155319594465875</v>
      </c>
      <c r="P5" s="188">
        <f>'3- Stocking- Trout RAS'!F7</f>
        <v>384609.10119827779</v>
      </c>
      <c r="Q5" s="174">
        <f t="shared" si="0"/>
        <v>0.64323583434326126</v>
      </c>
      <c r="R5" s="174">
        <f t="shared" si="1"/>
        <v>77.07665174771688</v>
      </c>
      <c r="S5" s="174">
        <f>('3- Stocking- Trout RAS'!L18-'3- Stocking- Trout RAS'!L17)/'3- Stocking- Trout RAS'!L22</f>
        <v>6.1729483765145775E-2</v>
      </c>
      <c r="T5" s="165" t="s">
        <v>408</v>
      </c>
      <c r="V5" s="117" t="s">
        <v>330</v>
      </c>
      <c r="W5" s="118">
        <v>119.826427</v>
      </c>
      <c r="X5" s="119" t="s">
        <v>218</v>
      </c>
    </row>
    <row r="6" spans="1:24" ht="16.5" customHeight="1">
      <c r="A6" s="164" t="s">
        <v>312</v>
      </c>
      <c r="B6" s="165" t="s">
        <v>388</v>
      </c>
      <c r="C6" s="165" t="s">
        <v>389</v>
      </c>
      <c r="D6" s="184">
        <f>'Capital Inputs'!F40</f>
        <v>447623.125</v>
      </c>
      <c r="E6" s="166">
        <f>'4- Stocking- Walleye RA'!L15</f>
        <v>5</v>
      </c>
      <c r="F6" s="174">
        <f>'4- Stocking- Walleye RA'!L12</f>
        <v>0.41963703063546098</v>
      </c>
      <c r="G6" s="175" t="s">
        <v>387</v>
      </c>
      <c r="H6" s="186">
        <f>'4- Stocking- Walleye RA'!C37</f>
        <v>3.7332461860550801</v>
      </c>
      <c r="I6" s="186">
        <f>H6/'4- Stocking- Walleye RA'!L11</f>
        <v>8.2202456506072608</v>
      </c>
      <c r="J6" s="175">
        <f ca="1">'4- Stocking- Walleye RA'!H35</f>
        <v>3</v>
      </c>
      <c r="K6" s="176">
        <f ca="1">'4- Stocking- Walleye RA'!H36</f>
        <v>0.35044991566233419</v>
      </c>
      <c r="L6" s="177">
        <f>Q6*(Grow_out_capacity+'Capital Inputs'!L15)/2204.6</f>
        <v>54.343959189639151</v>
      </c>
      <c r="M6" s="188">
        <f>'4- Stocking- Walleye RA'!F5</f>
        <v>1187112.172554</v>
      </c>
      <c r="N6" s="188">
        <f>'4- Stocking- Walleye RA'!F22</f>
        <v>893759.36399396718</v>
      </c>
      <c r="O6" s="167">
        <f t="shared" si="2"/>
        <v>0.19333712457454807</v>
      </c>
      <c r="P6" s="188">
        <f>'4- Stocking- Walleye RA'!F7</f>
        <v>1107971.3610504</v>
      </c>
      <c r="Q6" s="174">
        <f t="shared" si="0"/>
        <v>1.0071288735251063</v>
      </c>
      <c r="R6" s="174">
        <f t="shared" si="1"/>
        <v>120.68065444304837</v>
      </c>
      <c r="S6" s="174">
        <f>('4- Stocking- Walleye RA'!L11-0)/'4- Stocking- Walleye RA'!L15</f>
        <v>9.0830526111571636E-2</v>
      </c>
      <c r="T6" s="165" t="s">
        <v>408</v>
      </c>
      <c r="V6" s="113"/>
    </row>
    <row r="7" spans="1:24" ht="16.5" customHeight="1">
      <c r="A7" s="164" t="s">
        <v>400</v>
      </c>
      <c r="B7" s="165" t="s">
        <v>372</v>
      </c>
      <c r="C7" s="165" t="s">
        <v>375</v>
      </c>
      <c r="D7" s="184">
        <f>'Capital Inputs'!F40</f>
        <v>447623.125</v>
      </c>
      <c r="E7" s="166">
        <f>'5- Food- Yellow Perch RAS'!L20</f>
        <v>24</v>
      </c>
      <c r="F7" s="174">
        <f>'5- Food- Yellow Perch RAS'!L17</f>
        <v>0.56699999999999995</v>
      </c>
      <c r="G7" s="175" t="s">
        <v>385</v>
      </c>
      <c r="H7" s="186">
        <f>'5- Food- Yellow Perch RAS'!C38</f>
        <v>10.548060267653309</v>
      </c>
      <c r="I7" s="186">
        <f>H7/'5- Food- Yellow Perch RAS'!L16</f>
        <v>21.096120535306618</v>
      </c>
      <c r="J7" s="175" t="str">
        <f ca="1">'5- Food- Yellow Perch RAS'!H36</f>
        <v>Doesn't pay back</v>
      </c>
      <c r="K7" s="176">
        <f ca="1">'5- Food- Yellow Perch RAS'!H37</f>
        <v>-3.3880008292073605E-2</v>
      </c>
      <c r="L7" s="177">
        <f>Q7*(Grow_out_capacity+'Capital Inputs'!L15)/2204.6</f>
        <v>15.297458781354891</v>
      </c>
      <c r="M7" s="188">
        <f>'5- Food- Yellow Perch RAS'!F5</f>
        <v>337247.77629374992</v>
      </c>
      <c r="N7" s="188">
        <f>'5- Food- Yellow Perch RAS'!F23</f>
        <v>264649.90858475829</v>
      </c>
      <c r="O7" s="167">
        <f t="shared" si="2"/>
        <v>0.19099553360366847</v>
      </c>
      <c r="P7" s="188">
        <f>'5- Food- Yellow Perch RAS'!F7</f>
        <v>327130.3430049374</v>
      </c>
      <c r="Q7" s="174">
        <f t="shared" si="0"/>
        <v>0.28349999999999997</v>
      </c>
      <c r="R7" s="174">
        <f t="shared" si="1"/>
        <v>33.970792054499995</v>
      </c>
      <c r="S7" s="174">
        <f>('5- Food- Yellow Perch RAS'!L16-0)/'5- Food- Yellow Perch RAS'!L20</f>
        <v>2.0833333333333332E-2</v>
      </c>
      <c r="T7" s="165" t="s">
        <v>364</v>
      </c>
      <c r="V7" s="113"/>
    </row>
    <row r="8" spans="1:24" ht="16.5" customHeight="1">
      <c r="A8" s="172" t="s">
        <v>399</v>
      </c>
      <c r="B8" s="173" t="s">
        <v>372</v>
      </c>
      <c r="C8" s="173" t="s">
        <v>366</v>
      </c>
      <c r="D8" s="185">
        <f>'Capital Inputs'!F40</f>
        <v>447623.125</v>
      </c>
      <c r="E8" s="178">
        <f>'6- Stocking- Yellow Perch RAS'!L20</f>
        <v>12</v>
      </c>
      <c r="F8" s="179">
        <f>'6- Stocking- Yellow Perch RAS'!L17</f>
        <v>0.58604304635761606</v>
      </c>
      <c r="G8" s="180" t="s">
        <v>385</v>
      </c>
      <c r="H8" s="187">
        <f>'6- Stocking- Yellow Perch RAS'!C38</f>
        <v>2.3134245802753588</v>
      </c>
      <c r="I8" s="187">
        <f>H8/'6- Stocking- Yellow Perch RAS'!L16</f>
        <v>9.1128811727368468</v>
      </c>
      <c r="J8" s="180">
        <f ca="1">'6- Stocking- Yellow Perch RAS'!H36</f>
        <v>4</v>
      </c>
      <c r="K8" s="181">
        <f ca="1">'6- Stocking- Yellow Perch RAS'!H37</f>
        <v>0.31080230615457016</v>
      </c>
      <c r="L8" s="182">
        <f>Q8*(Grow_out_capacity+'Capital Inputs'!L15)/2204.6</f>
        <v>31.622466828060979</v>
      </c>
      <c r="M8" s="189">
        <f>'6- Stocking- Yellow Perch RAS'!F5</f>
        <v>823848.13923187507</v>
      </c>
      <c r="N8" s="189">
        <f>'6- Stocking- Yellow Perch RAS'!F23</f>
        <v>544222.43354128336</v>
      </c>
      <c r="O8" s="183">
        <f t="shared" si="2"/>
        <v>0.26601570844422878</v>
      </c>
      <c r="P8" s="189">
        <f>'6- Stocking- Yellow Perch RAS'!F7</f>
        <v>741463.32530868752</v>
      </c>
      <c r="Q8" s="179">
        <f t="shared" si="0"/>
        <v>0.58604304635761606</v>
      </c>
      <c r="R8" s="179">
        <f t="shared" si="1"/>
        <v>70.223444313228498</v>
      </c>
      <c r="S8" s="179">
        <f>('6- Stocking- Yellow Perch RAS'!L16-0)/'6- Stocking- Yellow Perch RAS'!L20</f>
        <v>2.115526122148639E-2</v>
      </c>
      <c r="T8" s="173" t="s">
        <v>408</v>
      </c>
      <c r="V8" s="113"/>
      <c r="X8" s="120"/>
    </row>
    <row r="9" spans="1:24" ht="16.5" customHeight="1">
      <c r="A9" s="169" t="s">
        <v>331</v>
      </c>
      <c r="B9" s="168"/>
      <c r="C9" s="165"/>
      <c r="D9" s="168"/>
      <c r="E9" s="166"/>
      <c r="F9" s="166"/>
      <c r="G9" s="165"/>
      <c r="H9" s="165"/>
      <c r="I9" s="165"/>
      <c r="J9" s="165"/>
      <c r="K9" s="165"/>
      <c r="L9" s="168"/>
      <c r="M9" s="165"/>
      <c r="N9" s="165"/>
      <c r="O9" s="165"/>
      <c r="P9" s="165"/>
      <c r="Q9" s="166"/>
      <c r="R9" s="166"/>
      <c r="S9" s="165"/>
      <c r="T9" s="168"/>
    </row>
  </sheetData>
  <sheetProtection sheet="1" objects="1" scenarios="1"/>
  <pageMargins left="0.7" right="0.7" top="0.75" bottom="0.75" header="0.3" footer="0.3"/>
  <ignoredErrors>
    <ignoredError sqref="D4"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00176-34B6-4DE5-A7EF-5327B83FFD41}">
  <dimension ref="A1:XFD41"/>
  <sheetViews>
    <sheetView showGridLines="0" topLeftCell="A9" workbookViewId="0">
      <selection activeCell="G4" sqref="G4:G15"/>
    </sheetView>
  </sheetViews>
  <sheetFormatPr defaultColWidth="0" defaultRowHeight="0" customHeight="1" zeroHeight="1"/>
  <cols>
    <col min="1" max="1" width="3.33203125" customWidth="1"/>
    <col min="2" max="2" width="29" bestFit="1" customWidth="1"/>
    <col min="3" max="3" width="16.33203125" bestFit="1" customWidth="1"/>
    <col min="4" max="4" width="12" bestFit="1" customWidth="1"/>
    <col min="5" max="5" width="3.33203125" customWidth="1"/>
    <col min="6" max="6" width="12.44140625" customWidth="1"/>
    <col min="7" max="7" width="17.77734375" customWidth="1"/>
    <col min="8" max="8" width="3.33203125" customWidth="1"/>
    <col min="9" max="16383" width="9.33203125" hidden="1"/>
    <col min="16384" max="16384" width="6.33203125" hidden="1"/>
  </cols>
  <sheetData>
    <row r="1" spans="2:8" s="22" customFormat="1" ht="21" customHeight="1" thickBot="1">
      <c r="B1" s="600" t="s">
        <v>44</v>
      </c>
      <c r="C1" s="601"/>
      <c r="D1" s="602"/>
      <c r="E1" s="513"/>
      <c r="F1" s="514"/>
      <c r="G1" s="514"/>
      <c r="H1" s="190"/>
    </row>
    <row r="2" spans="2:8" s="22" customFormat="1" ht="18" customHeight="1">
      <c r="B2" s="515"/>
      <c r="C2" s="515"/>
      <c r="D2" s="515"/>
      <c r="E2" s="516"/>
      <c r="F2" s="190"/>
      <c r="G2" s="190"/>
      <c r="H2" s="190"/>
    </row>
    <row r="3" spans="2:8" s="22" customFormat="1" ht="17.25">
      <c r="B3" s="517" t="s">
        <v>425</v>
      </c>
      <c r="C3" s="517" t="s">
        <v>11</v>
      </c>
      <c r="D3" s="518" t="s">
        <v>426</v>
      </c>
      <c r="E3" s="519"/>
      <c r="F3" s="520" t="s">
        <v>133</v>
      </c>
      <c r="G3" s="521" t="s">
        <v>424</v>
      </c>
      <c r="H3" s="190"/>
    </row>
    <row r="4" spans="2:8" s="22" customFormat="1" ht="17.25">
      <c r="B4" s="599" t="s">
        <v>1</v>
      </c>
      <c r="C4" s="599"/>
      <c r="D4" s="599"/>
      <c r="E4" s="522"/>
      <c r="F4" s="523" t="s">
        <v>66</v>
      </c>
      <c r="G4" s="198">
        <v>30</v>
      </c>
      <c r="H4" s="190"/>
    </row>
    <row r="5" spans="2:8" s="22" customFormat="1" ht="17.25" customHeight="1">
      <c r="B5" s="190" t="s">
        <v>205</v>
      </c>
      <c r="C5" s="524" t="s">
        <v>150</v>
      </c>
      <c r="D5" s="201">
        <v>19.5</v>
      </c>
      <c r="E5" s="525"/>
      <c r="F5" s="523" t="s">
        <v>67</v>
      </c>
      <c r="G5" s="198">
        <v>34</v>
      </c>
      <c r="H5" s="190"/>
    </row>
    <row r="6" spans="2:8" s="22" customFormat="1" ht="17.25">
      <c r="B6" s="599" t="s">
        <v>427</v>
      </c>
      <c r="C6" s="599"/>
      <c r="D6" s="599"/>
      <c r="E6" s="525"/>
      <c r="F6" s="523" t="s">
        <v>68</v>
      </c>
      <c r="G6" s="198">
        <v>44</v>
      </c>
      <c r="H6" s="190"/>
    </row>
    <row r="7" spans="2:8" s="22" customFormat="1" ht="17.25">
      <c r="B7" s="190" t="s">
        <v>51</v>
      </c>
      <c r="C7" s="524" t="s">
        <v>43</v>
      </c>
      <c r="D7" s="203">
        <v>700</v>
      </c>
      <c r="E7" s="525"/>
      <c r="F7" s="523" t="s">
        <v>69</v>
      </c>
      <c r="G7" s="198">
        <v>55</v>
      </c>
      <c r="H7" s="190"/>
    </row>
    <row r="8" spans="2:8" s="22" customFormat="1" ht="17.25">
      <c r="B8" s="190" t="s">
        <v>53</v>
      </c>
      <c r="C8" s="524" t="s">
        <v>164</v>
      </c>
      <c r="D8" s="203">
        <v>14414</v>
      </c>
      <c r="E8" s="525"/>
      <c r="F8" s="523" t="s">
        <v>70</v>
      </c>
      <c r="G8" s="198">
        <v>63</v>
      </c>
      <c r="H8" s="190"/>
    </row>
    <row r="9" spans="2:8" s="22" customFormat="1" ht="17.25">
      <c r="B9" s="190" t="s">
        <v>141</v>
      </c>
      <c r="C9" s="524" t="s">
        <v>164</v>
      </c>
      <c r="D9" s="203">
        <v>3000</v>
      </c>
      <c r="E9" s="525"/>
      <c r="F9" s="523" t="s">
        <v>71</v>
      </c>
      <c r="G9" s="198">
        <v>73</v>
      </c>
      <c r="H9" s="190"/>
    </row>
    <row r="10" spans="2:8" s="22" customFormat="1" ht="17.25">
      <c r="B10" s="190" t="s">
        <v>216</v>
      </c>
      <c r="C10" s="524" t="s">
        <v>139</v>
      </c>
      <c r="D10" s="202">
        <v>1.5</v>
      </c>
      <c r="E10" s="526"/>
      <c r="F10" s="523" t="s">
        <v>72</v>
      </c>
      <c r="G10" s="198">
        <v>77</v>
      </c>
      <c r="H10" s="190"/>
    </row>
    <row r="11" spans="2:8" s="22" customFormat="1" ht="17.25">
      <c r="B11" s="190" t="s">
        <v>17</v>
      </c>
      <c r="C11" s="524" t="s">
        <v>138</v>
      </c>
      <c r="D11" s="193">
        <v>7.7499999999999999E-2</v>
      </c>
      <c r="E11" s="525"/>
      <c r="F11" s="523" t="s">
        <v>73</v>
      </c>
      <c r="G11" s="198">
        <v>76</v>
      </c>
      <c r="H11" s="190"/>
    </row>
    <row r="12" spans="2:8" s="22" customFormat="1" ht="17.25">
      <c r="B12" s="190" t="s">
        <v>145</v>
      </c>
      <c r="C12" s="524" t="s">
        <v>149</v>
      </c>
      <c r="D12" s="194">
        <v>0.5</v>
      </c>
      <c r="E12" s="525"/>
      <c r="F12" s="523" t="s">
        <v>74</v>
      </c>
      <c r="G12" s="198">
        <v>67</v>
      </c>
      <c r="H12" s="190"/>
    </row>
    <row r="13" spans="2:8" s="22" customFormat="1" ht="17.25">
      <c r="B13" s="190" t="s">
        <v>213</v>
      </c>
      <c r="C13" s="524" t="s">
        <v>138</v>
      </c>
      <c r="D13" s="193">
        <v>7.2499999999999995E-2</v>
      </c>
      <c r="E13" s="525"/>
      <c r="F13" s="523" t="s">
        <v>75</v>
      </c>
      <c r="G13" s="198">
        <v>56</v>
      </c>
      <c r="H13" s="190"/>
    </row>
    <row r="14" spans="2:8" s="22" customFormat="1" ht="17.25">
      <c r="B14" s="599" t="s">
        <v>18</v>
      </c>
      <c r="C14" s="599"/>
      <c r="D14" s="599"/>
      <c r="E14" s="525"/>
      <c r="F14" s="523" t="s">
        <v>76</v>
      </c>
      <c r="G14" s="198">
        <v>44</v>
      </c>
      <c r="H14" s="190"/>
    </row>
    <row r="15" spans="2:8" s="22" customFormat="1" ht="17.25">
      <c r="B15" s="190" t="s">
        <v>6</v>
      </c>
      <c r="C15" s="524" t="s">
        <v>164</v>
      </c>
      <c r="D15" s="204">
        <v>3000</v>
      </c>
      <c r="E15" s="526"/>
      <c r="F15" s="523" t="s">
        <v>77</v>
      </c>
      <c r="G15" s="198">
        <v>33</v>
      </c>
      <c r="H15" s="190"/>
    </row>
    <row r="16" spans="2:8" s="22" customFormat="1" ht="17.25">
      <c r="B16" s="190" t="s">
        <v>143</v>
      </c>
      <c r="C16" s="524" t="s">
        <v>164</v>
      </c>
      <c r="D16" s="204">
        <v>1000</v>
      </c>
      <c r="E16" s="525"/>
      <c r="F16" s="190"/>
      <c r="G16" s="190"/>
      <c r="H16" s="190"/>
    </row>
    <row r="17" spans="2:8 16384:16384" s="22" customFormat="1" ht="17.25">
      <c r="B17" s="190" t="s">
        <v>142</v>
      </c>
      <c r="C17" s="524" t="s">
        <v>164</v>
      </c>
      <c r="D17" s="204">
        <v>45000</v>
      </c>
      <c r="E17" s="525"/>
      <c r="F17" s="527" t="s">
        <v>208</v>
      </c>
      <c r="G17" s="521" t="s">
        <v>423</v>
      </c>
      <c r="H17" s="190"/>
    </row>
    <row r="18" spans="2:8 16384:16384" s="22" customFormat="1" ht="17.25">
      <c r="B18" s="599" t="s">
        <v>428</v>
      </c>
      <c r="C18" s="599"/>
      <c r="D18" s="599"/>
      <c r="E18" s="525"/>
      <c r="F18" s="523" t="s">
        <v>226</v>
      </c>
      <c r="G18" s="198">
        <v>58</v>
      </c>
      <c r="H18" s="190"/>
    </row>
    <row r="19" spans="2:8 16384:16384" s="22" customFormat="1" ht="17.25">
      <c r="B19" s="523" t="s">
        <v>123</v>
      </c>
      <c r="C19" s="524" t="s">
        <v>214</v>
      </c>
      <c r="D19" s="195" t="s">
        <v>52</v>
      </c>
      <c r="E19" s="525"/>
      <c r="F19" s="528" t="s">
        <v>251</v>
      </c>
      <c r="G19" s="198">
        <v>9</v>
      </c>
      <c r="H19" s="190"/>
      <c r="XFD19" s="22" t="s">
        <v>225</v>
      </c>
    </row>
    <row r="20" spans="2:8 16384:16384" s="22" customFormat="1" ht="17.25">
      <c r="B20" s="190" t="s">
        <v>118</v>
      </c>
      <c r="C20" s="524" t="s">
        <v>124</v>
      </c>
      <c r="D20" s="191">
        <v>0.11</v>
      </c>
      <c r="E20" s="526"/>
      <c r="F20" s="523" t="s">
        <v>250</v>
      </c>
      <c r="G20" s="198">
        <v>68</v>
      </c>
      <c r="H20" s="190"/>
    </row>
    <row r="21" spans="2:8 16384:16384" s="22" customFormat="1" ht="17.25">
      <c r="B21" s="190" t="s">
        <v>119</v>
      </c>
      <c r="C21" s="524" t="s">
        <v>43</v>
      </c>
      <c r="D21" s="201">
        <v>53.6</v>
      </c>
      <c r="E21" s="525"/>
      <c r="F21" s="528" t="s">
        <v>251</v>
      </c>
      <c r="G21" s="198">
        <v>8</v>
      </c>
      <c r="H21" s="190"/>
    </row>
    <row r="22" spans="2:8 16384:16384" s="22" customFormat="1" ht="17.25">
      <c r="B22" s="190" t="s">
        <v>120</v>
      </c>
      <c r="C22" s="524" t="s">
        <v>125</v>
      </c>
      <c r="D22" s="201">
        <v>15.5</v>
      </c>
      <c r="E22" s="525"/>
      <c r="F22" s="190" t="s">
        <v>248</v>
      </c>
      <c r="G22" s="198">
        <v>50</v>
      </c>
      <c r="H22" s="190"/>
    </row>
    <row r="23" spans="2:8 16384:16384" s="22" customFormat="1" ht="17.25">
      <c r="B23" s="190" t="s">
        <v>121</v>
      </c>
      <c r="C23" s="524" t="s">
        <v>43</v>
      </c>
      <c r="D23" s="201">
        <v>53.6</v>
      </c>
      <c r="E23" s="526"/>
      <c r="F23" s="528" t="s">
        <v>251</v>
      </c>
      <c r="G23" s="198">
        <v>5</v>
      </c>
      <c r="H23" s="190"/>
    </row>
    <row r="24" spans="2:8 16384:16384" s="22" customFormat="1" ht="17.25">
      <c r="B24" s="190" t="s">
        <v>122</v>
      </c>
      <c r="C24" s="524" t="s">
        <v>126</v>
      </c>
      <c r="D24" s="201">
        <v>1.85</v>
      </c>
      <c r="E24" s="525"/>
      <c r="F24" s="523" t="s">
        <v>247</v>
      </c>
      <c r="G24" s="198">
        <v>63</v>
      </c>
      <c r="H24" s="190"/>
    </row>
    <row r="25" spans="2:8 16384:16384" s="22" customFormat="1" ht="17.25">
      <c r="B25" s="190" t="s">
        <v>46</v>
      </c>
      <c r="C25" s="529" t="s">
        <v>422</v>
      </c>
      <c r="D25" s="196">
        <v>7500</v>
      </c>
      <c r="E25" s="530"/>
      <c r="F25" s="531" t="s">
        <v>251</v>
      </c>
      <c r="G25" s="199">
        <v>7</v>
      </c>
      <c r="H25" s="190"/>
    </row>
    <row r="26" spans="2:8 16384:16384" s="22" customFormat="1" ht="17.25">
      <c r="B26" s="190" t="s">
        <v>127</v>
      </c>
      <c r="C26" s="524" t="s">
        <v>128</v>
      </c>
      <c r="D26" s="196">
        <v>10</v>
      </c>
      <c r="E26" s="525"/>
      <c r="F26" s="190"/>
      <c r="G26" s="190"/>
      <c r="H26" s="190"/>
    </row>
    <row r="27" spans="2:8 16384:16384" s="22" customFormat="1" ht="17.25">
      <c r="B27" s="190" t="s">
        <v>259</v>
      </c>
      <c r="C27" s="529" t="s">
        <v>422</v>
      </c>
      <c r="D27" s="196">
        <v>50</v>
      </c>
      <c r="E27" s="532"/>
      <c r="F27" s="190"/>
      <c r="G27" s="190"/>
      <c r="H27" s="190"/>
    </row>
    <row r="28" spans="2:8 16384:16384" s="22" customFormat="1" ht="17.25">
      <c r="B28" s="190" t="s">
        <v>260</v>
      </c>
      <c r="C28" s="524" t="s">
        <v>128</v>
      </c>
      <c r="D28" s="196">
        <v>2</v>
      </c>
      <c r="E28" s="526"/>
      <c r="F28" s="190"/>
      <c r="G28" s="190"/>
      <c r="H28" s="190"/>
    </row>
    <row r="29" spans="2:8 16384:16384" s="22" customFormat="1" ht="17.25">
      <c r="B29" s="190" t="s">
        <v>257</v>
      </c>
      <c r="C29" s="529" t="s">
        <v>422</v>
      </c>
      <c r="D29" s="196">
        <v>5550</v>
      </c>
      <c r="E29" s="526"/>
      <c r="F29" s="190"/>
      <c r="G29" s="190"/>
      <c r="H29" s="190"/>
    </row>
    <row r="30" spans="2:8 16384:16384" s="22" customFormat="1" ht="17.25">
      <c r="B30" s="190" t="s">
        <v>258</v>
      </c>
      <c r="C30" s="524" t="s">
        <v>129</v>
      </c>
      <c r="D30" s="197">
        <v>3</v>
      </c>
      <c r="E30" s="525"/>
      <c r="F30" s="190"/>
      <c r="G30" s="190"/>
      <c r="H30" s="190"/>
    </row>
    <row r="31" spans="2:8 16384:16384" s="22" customFormat="1" ht="17.25">
      <c r="B31" s="190" t="s">
        <v>64</v>
      </c>
      <c r="C31" s="524" t="s">
        <v>131</v>
      </c>
      <c r="D31" s="197">
        <v>1</v>
      </c>
      <c r="E31" s="525"/>
      <c r="F31" s="190"/>
      <c r="G31" s="190"/>
      <c r="H31" s="190"/>
    </row>
    <row r="32" spans="2:8 16384:16384" s="22" customFormat="1" ht="17.25">
      <c r="B32" s="190" t="s">
        <v>130</v>
      </c>
      <c r="C32" s="524" t="s">
        <v>131</v>
      </c>
      <c r="D32" s="197">
        <v>1</v>
      </c>
      <c r="E32" s="525"/>
      <c r="F32" s="190"/>
      <c r="G32" s="190"/>
      <c r="H32" s="190"/>
    </row>
    <row r="33" spans="2:8" s="22" customFormat="1" ht="17.25">
      <c r="B33" s="190" t="s">
        <v>151</v>
      </c>
      <c r="C33" s="524" t="s">
        <v>105</v>
      </c>
      <c r="D33" s="197">
        <v>16</v>
      </c>
      <c r="E33" s="525"/>
      <c r="F33" s="190"/>
      <c r="G33" s="190"/>
      <c r="H33" s="190"/>
    </row>
    <row r="34" spans="2:8" ht="15" hidden="1" customHeight="1"/>
    <row r="35" spans="2:8" ht="15" hidden="1" customHeight="1">
      <c r="C35">
        <f>B36*50</f>
        <v>18927.062671289914</v>
      </c>
    </row>
    <row r="36" spans="2:8" ht="15" hidden="1" customHeight="1">
      <c r="B36">
        <f>D27*D28/264.172*1000</f>
        <v>378.54125342579829</v>
      </c>
      <c r="C36" s="40" t="s">
        <v>314</v>
      </c>
      <c r="F36">
        <f>B36/3.6</f>
        <v>105.15034817383285</v>
      </c>
    </row>
    <row r="37" spans="2:8" ht="15" hidden="1" customHeight="1">
      <c r="B37">
        <f>D25*D26/264.172*1000</f>
        <v>283905.94006934873</v>
      </c>
      <c r="C37" s="40" t="s">
        <v>315</v>
      </c>
      <c r="D37">
        <f>B37/B36</f>
        <v>750</v>
      </c>
    </row>
    <row r="38" spans="2:8" ht="15" hidden="1" customHeight="1"/>
    <row r="39" spans="2:8" ht="15" hidden="1" customHeight="1">
      <c r="B39">
        <f>B36*50/2*0.9</f>
        <v>8517.1782020804621</v>
      </c>
    </row>
    <row r="40" spans="2:8" ht="15" hidden="1" customHeight="1">
      <c r="B40">
        <f>B39*8.8/0.67</f>
        <v>111867.41519150458</v>
      </c>
    </row>
    <row r="41" spans="2:8" ht="15" hidden="1" customHeight="1">
      <c r="C41">
        <f>B37/1000*60*2.204</f>
        <v>37543.721514770681</v>
      </c>
      <c r="D41">
        <f>C41/2</f>
        <v>18771.860757385341</v>
      </c>
    </row>
  </sheetData>
  <sheetProtection sheet="1" objects="1" scenarios="1"/>
  <mergeCells count="5">
    <mergeCell ref="B18:D18"/>
    <mergeCell ref="B1:D1"/>
    <mergeCell ref="B4:D4"/>
    <mergeCell ref="B6:D6"/>
    <mergeCell ref="B14:D14"/>
  </mergeCells>
  <phoneticPr fontId="21" type="noConversion"/>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647D26-71E3-4CC6-A388-82D9C092C622}">
          <x14:formula1>
            <xm:f>'Trout Utilities'!$E$3:$E$5</xm:f>
          </x14:formula1>
          <xm:sqref>E29 D19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EA3FC-C9AD-4629-A9F3-1F51B658807F}">
  <dimension ref="A1:XFC52"/>
  <sheetViews>
    <sheetView showGridLines="0" topLeftCell="E1" zoomScale="110" zoomScaleNormal="110" workbookViewId="0">
      <selection activeCell="R19" sqref="R19"/>
    </sheetView>
  </sheetViews>
  <sheetFormatPr defaultColWidth="0" defaultRowHeight="0" customHeight="1" zeroHeight="1"/>
  <cols>
    <col min="1" max="1" width="4.109375" style="22" customWidth="1"/>
    <col min="2" max="2" width="35.109375" style="22" customWidth="1"/>
    <col min="3" max="3" width="8.77734375" style="22" customWidth="1"/>
    <col min="4" max="5" width="8.33203125" style="22" customWidth="1"/>
    <col min="6" max="6" width="12.109375" style="22" bestFit="1" customWidth="1"/>
    <col min="7" max="7" width="12" style="22" customWidth="1"/>
    <col min="8" max="8" width="14.6640625" style="22" customWidth="1"/>
    <col min="9" max="9" width="12.77734375" style="22" customWidth="1"/>
    <col min="10" max="10" width="2.33203125" style="22" customWidth="1"/>
    <col min="11" max="11" width="23.77734375" style="22" customWidth="1"/>
    <col min="12" max="12" width="10" style="22" bestFit="1" customWidth="1"/>
    <col min="13" max="13" width="14.5546875" style="22" bestFit="1" customWidth="1"/>
    <col min="14" max="18" width="8.88671875" style="39" customWidth="1"/>
    <col min="19" max="19" width="12.77734375" style="39" customWidth="1"/>
    <col min="20" max="23" width="0" style="22" hidden="1" customWidth="1"/>
    <col min="24" max="16383" width="8.88671875" style="22" hidden="1"/>
    <col min="16384" max="16384" width="1.5546875" style="22" customWidth="1"/>
  </cols>
  <sheetData>
    <row r="1" spans="1:19" ht="15" customHeight="1" thickBot="1"/>
    <row r="2" spans="1:19" ht="21" customHeight="1">
      <c r="A2" s="190"/>
      <c r="B2" s="603" t="s">
        <v>158</v>
      </c>
      <c r="C2" s="604"/>
      <c r="D2" s="605"/>
      <c r="E2" s="606"/>
      <c r="F2" s="607"/>
      <c r="G2" s="608"/>
      <c r="H2" s="606"/>
      <c r="I2" s="607"/>
      <c r="J2" s="190"/>
      <c r="K2" s="603" t="s">
        <v>157</v>
      </c>
      <c r="L2" s="604"/>
      <c r="M2" s="605"/>
      <c r="N2" s="205"/>
      <c r="O2" s="205"/>
      <c r="P2" s="205" t="s">
        <v>300</v>
      </c>
      <c r="Q2" s="205" t="s">
        <v>308</v>
      </c>
      <c r="R2" s="205" t="s">
        <v>306</v>
      </c>
      <c r="S2" s="205"/>
    </row>
    <row r="3" spans="1:19" ht="16.5" customHeight="1">
      <c r="A3" s="190"/>
      <c r="B3" s="533"/>
      <c r="C3" s="533"/>
      <c r="D3" s="533"/>
      <c r="E3" s="533"/>
      <c r="F3" s="533"/>
      <c r="G3" s="533"/>
      <c r="H3" s="533"/>
      <c r="I3" s="533"/>
      <c r="J3" s="190"/>
      <c r="K3" s="533"/>
      <c r="L3" s="533"/>
      <c r="M3" s="533"/>
      <c r="N3" s="205"/>
      <c r="O3" s="205"/>
      <c r="P3" s="190" t="s">
        <v>377</v>
      </c>
      <c r="Q3" s="190" t="s">
        <v>378</v>
      </c>
      <c r="R3" s="190"/>
      <c r="S3" s="205"/>
    </row>
    <row r="4" spans="1:19" ht="16.5" customHeight="1">
      <c r="A4" s="190"/>
      <c r="B4" s="534" t="s">
        <v>12</v>
      </c>
      <c r="C4" s="534" t="s">
        <v>11</v>
      </c>
      <c r="D4" s="535" t="s">
        <v>13</v>
      </c>
      <c r="E4" s="535" t="s">
        <v>426</v>
      </c>
      <c r="F4" s="535" t="s">
        <v>3</v>
      </c>
      <c r="G4" s="535" t="s">
        <v>430</v>
      </c>
      <c r="H4" s="536" t="s">
        <v>431</v>
      </c>
      <c r="I4" s="535" t="s">
        <v>429</v>
      </c>
      <c r="J4" s="190"/>
      <c r="K4" s="520" t="s">
        <v>12</v>
      </c>
      <c r="L4" s="537" t="s">
        <v>0</v>
      </c>
      <c r="M4" s="527" t="s">
        <v>11</v>
      </c>
      <c r="N4" s="205"/>
      <c r="O4" s="205"/>
      <c r="P4" s="577"/>
      <c r="Q4" s="190"/>
      <c r="R4" s="190"/>
      <c r="S4" s="205"/>
    </row>
    <row r="5" spans="1:19" ht="16.5" customHeight="1">
      <c r="A5" s="190"/>
      <c r="B5" s="190" t="s">
        <v>33</v>
      </c>
      <c r="C5" s="524" t="s">
        <v>215</v>
      </c>
      <c r="D5" s="198">
        <v>0.5</v>
      </c>
      <c r="E5" s="219">
        <v>6000</v>
      </c>
      <c r="F5" s="538">
        <f>E5*D5</f>
        <v>3000</v>
      </c>
      <c r="G5" s="539"/>
      <c r="H5" s="540">
        <v>1</v>
      </c>
      <c r="I5" s="541"/>
      <c r="J5" s="190"/>
      <c r="K5" s="190" t="s">
        <v>262</v>
      </c>
      <c r="L5" s="539">
        <f>'Operating Inputs'!D25*0.832</f>
        <v>6240</v>
      </c>
      <c r="M5" s="524" t="s">
        <v>152</v>
      </c>
      <c r="N5" s="205"/>
      <c r="O5" s="205"/>
      <c r="S5" s="205"/>
    </row>
    <row r="6" spans="1:19" ht="16.5" customHeight="1">
      <c r="A6" s="190"/>
      <c r="B6" s="190" t="s">
        <v>47</v>
      </c>
      <c r="C6" s="524" t="s">
        <v>152</v>
      </c>
      <c r="D6" s="542">
        <f>'Operating Inputs'!D25+'Capital Inputs'!D9</f>
        <v>8200</v>
      </c>
      <c r="E6" s="222">
        <v>15</v>
      </c>
      <c r="F6" s="538">
        <f>E6*D6</f>
        <v>123000</v>
      </c>
      <c r="G6" s="196">
        <v>20</v>
      </c>
      <c r="H6" s="194">
        <v>0.1</v>
      </c>
      <c r="I6" s="543">
        <f>(F6-F6*H6)/G6</f>
        <v>5535</v>
      </c>
      <c r="J6" s="190"/>
      <c r="K6" s="190" t="s">
        <v>261</v>
      </c>
      <c r="L6" s="539">
        <f>'Operating Inputs'!D29</f>
        <v>5550</v>
      </c>
      <c r="M6" s="524" t="s">
        <v>152</v>
      </c>
      <c r="N6" s="208"/>
      <c r="O6" s="190"/>
      <c r="P6" s="577">
        <f t="shared" ref="P6:P19" si="0">F6*H6</f>
        <v>12300</v>
      </c>
      <c r="Q6" s="577">
        <f>('3- Stocking- Trout RAS'!$T$57/G6-INT('3- Stocking- Trout RAS'!$T$57/G6))*G6*I6</f>
        <v>55350</v>
      </c>
      <c r="R6" s="577">
        <f t="shared" ref="R6:R19" si="1">F6-Q6</f>
        <v>67650</v>
      </c>
      <c r="S6" s="205"/>
    </row>
    <row r="7" spans="1:19" ht="16.5" customHeight="1">
      <c r="A7" s="205"/>
      <c r="B7" s="190" t="s">
        <v>159</v>
      </c>
      <c r="C7" s="524" t="s">
        <v>152</v>
      </c>
      <c r="D7" s="542">
        <f>D6</f>
        <v>8200</v>
      </c>
      <c r="E7" s="222">
        <v>5.75</v>
      </c>
      <c r="F7" s="538">
        <f t="shared" ref="F7:F16" si="2">E7*D7</f>
        <v>47150</v>
      </c>
      <c r="G7" s="196">
        <v>40</v>
      </c>
      <c r="H7" s="194">
        <v>0.05</v>
      </c>
      <c r="I7" s="543">
        <f>(F7-F7*H7)/G7</f>
        <v>1119.8125</v>
      </c>
      <c r="J7" s="190"/>
      <c r="K7" s="190" t="s">
        <v>132</v>
      </c>
      <c r="L7" s="544">
        <f>L6/L5</f>
        <v>0.88942307692307687</v>
      </c>
      <c r="M7" s="524"/>
      <c r="N7" s="205">
        <f>L13/L6</f>
        <v>2.8653153153153155</v>
      </c>
      <c r="O7" s="190"/>
      <c r="P7" s="577">
        <f t="shared" si="0"/>
        <v>2357.5</v>
      </c>
      <c r="Q7" s="577">
        <f>('3- Stocking- Trout RAS'!$T$57/G7-INT('3- Stocking- Trout RAS'!$T$57/G7))*G7*I7</f>
        <v>11198.125</v>
      </c>
      <c r="R7" s="577">
        <f t="shared" si="1"/>
        <v>35951.875</v>
      </c>
      <c r="S7" s="205"/>
    </row>
    <row r="8" spans="1:19" ht="16.5" customHeight="1">
      <c r="A8" s="205"/>
      <c r="B8" s="190" t="s">
        <v>161</v>
      </c>
      <c r="C8" s="524" t="s">
        <v>152</v>
      </c>
      <c r="D8" s="542">
        <f>D6</f>
        <v>8200</v>
      </c>
      <c r="E8" s="222">
        <v>3</v>
      </c>
      <c r="F8" s="538">
        <f t="shared" si="2"/>
        <v>24600</v>
      </c>
      <c r="G8" s="196">
        <v>20</v>
      </c>
      <c r="H8" s="209">
        <v>0.05</v>
      </c>
      <c r="I8" s="543">
        <f t="shared" ref="I8:I16" si="3">(F8-F8*H8)/G8</f>
        <v>1168.5</v>
      </c>
      <c r="J8" s="190"/>
      <c r="K8" s="190" t="s">
        <v>263</v>
      </c>
      <c r="L8" s="545">
        <f>D6-D9-L5</f>
        <v>1260</v>
      </c>
      <c r="M8" s="524"/>
      <c r="N8" s="205">
        <f>60*125</f>
        <v>7500</v>
      </c>
      <c r="O8" s="190"/>
      <c r="P8" s="577">
        <f t="shared" si="0"/>
        <v>1230</v>
      </c>
      <c r="Q8" s="577">
        <f>('3- Stocking- Trout RAS'!$T$57/G8-INT('3- Stocking- Trout RAS'!$T$57/G8))*G8*I8</f>
        <v>11685</v>
      </c>
      <c r="R8" s="577">
        <f t="shared" si="1"/>
        <v>12915</v>
      </c>
      <c r="S8" s="205"/>
    </row>
    <row r="9" spans="1:19" ht="16.5" customHeight="1">
      <c r="A9" s="205"/>
      <c r="B9" s="190" t="s">
        <v>199</v>
      </c>
      <c r="C9" s="524" t="s">
        <v>152</v>
      </c>
      <c r="D9" s="196">
        <v>700</v>
      </c>
      <c r="E9" s="222">
        <v>20</v>
      </c>
      <c r="F9" s="538">
        <f t="shared" si="2"/>
        <v>14000</v>
      </c>
      <c r="G9" s="196">
        <v>20</v>
      </c>
      <c r="H9" s="209">
        <v>0.1</v>
      </c>
      <c r="I9" s="543">
        <f>(F9-F9*H9)/G9</f>
        <v>630</v>
      </c>
      <c r="J9" s="190"/>
      <c r="K9" s="190" t="s">
        <v>264</v>
      </c>
      <c r="L9" s="546">
        <f>'Operating Inputs'!D27</f>
        <v>50</v>
      </c>
      <c r="M9" s="524" t="s">
        <v>152</v>
      </c>
      <c r="N9" s="206">
        <f>L5+L8</f>
        <v>7500</v>
      </c>
      <c r="O9" s="190"/>
      <c r="P9" s="577">
        <f t="shared" si="0"/>
        <v>1400</v>
      </c>
      <c r="Q9" s="577">
        <f>('3- Stocking- Trout RAS'!$T$57/G9-INT('3- Stocking- Trout RAS'!$T$57/G9))*G9*I9</f>
        <v>6300</v>
      </c>
      <c r="R9" s="577">
        <f t="shared" si="1"/>
        <v>7700</v>
      </c>
      <c r="S9" s="205"/>
    </row>
    <row r="10" spans="1:19" ht="16.5" customHeight="1">
      <c r="A10" s="205"/>
      <c r="B10" s="190" t="s">
        <v>49</v>
      </c>
      <c r="C10" s="524" t="s">
        <v>153</v>
      </c>
      <c r="D10" s="196">
        <f>L13</f>
        <v>15902.5</v>
      </c>
      <c r="E10" s="222">
        <v>1.25</v>
      </c>
      <c r="F10" s="538">
        <f t="shared" si="2"/>
        <v>19878.125</v>
      </c>
      <c r="G10" s="196">
        <v>10</v>
      </c>
      <c r="H10" s="194">
        <v>0.2</v>
      </c>
      <c r="I10" s="543">
        <f t="shared" si="3"/>
        <v>1590.25</v>
      </c>
      <c r="J10" s="190"/>
      <c r="K10" s="190" t="s">
        <v>132</v>
      </c>
      <c r="L10" s="544">
        <f>L9/L8</f>
        <v>3.968253968253968E-2</v>
      </c>
      <c r="M10" s="524"/>
      <c r="N10" s="208"/>
      <c r="O10" s="190"/>
      <c r="P10" s="577">
        <f t="shared" si="0"/>
        <v>3975.625</v>
      </c>
      <c r="Q10" s="577">
        <f>('3- Stocking- Trout RAS'!$T$57/G10-INT('3- Stocking- Trout RAS'!$T$57/G10))*G10*I10</f>
        <v>0</v>
      </c>
      <c r="R10" s="577">
        <f t="shared" si="1"/>
        <v>19878.125</v>
      </c>
      <c r="S10" s="205"/>
    </row>
    <row r="11" spans="1:19" ht="16.5" customHeight="1">
      <c r="A11" s="205"/>
      <c r="B11" s="190" t="s">
        <v>48</v>
      </c>
      <c r="C11" s="524" t="s">
        <v>162</v>
      </c>
      <c r="D11" s="196">
        <v>1</v>
      </c>
      <c r="E11" s="219">
        <v>30000</v>
      </c>
      <c r="F11" s="538">
        <f t="shared" si="2"/>
        <v>30000</v>
      </c>
      <c r="G11" s="196">
        <v>40</v>
      </c>
      <c r="H11" s="194">
        <v>0</v>
      </c>
      <c r="I11" s="543">
        <f>(F11-F11*H11)/G11</f>
        <v>750</v>
      </c>
      <c r="J11" s="190"/>
      <c r="K11" s="520" t="s">
        <v>12</v>
      </c>
      <c r="L11" s="537" t="s">
        <v>0</v>
      </c>
      <c r="M11" s="527" t="s">
        <v>11</v>
      </c>
      <c r="N11" s="205"/>
      <c r="O11" s="190"/>
      <c r="P11" s="577">
        <f t="shared" si="0"/>
        <v>0</v>
      </c>
      <c r="Q11" s="577">
        <f>('3- Stocking- Trout RAS'!$T$57/G11-INT('3- Stocking- Trout RAS'!$T$57/G11))*G11*I11</f>
        <v>7500</v>
      </c>
      <c r="R11" s="577">
        <f t="shared" si="1"/>
        <v>22500</v>
      </c>
      <c r="S11" s="205"/>
    </row>
    <row r="12" spans="1:19" ht="16.5" customHeight="1">
      <c r="A12" s="205"/>
      <c r="B12" s="190" t="s">
        <v>316</v>
      </c>
      <c r="C12" s="524" t="s">
        <v>162</v>
      </c>
      <c r="D12" s="196">
        <v>1</v>
      </c>
      <c r="E12" s="219">
        <v>13395</v>
      </c>
      <c r="F12" s="538">
        <f t="shared" si="2"/>
        <v>13395</v>
      </c>
      <c r="G12" s="196">
        <v>10</v>
      </c>
      <c r="H12" s="194">
        <v>0.1</v>
      </c>
      <c r="I12" s="543">
        <f t="shared" si="3"/>
        <v>1205.55</v>
      </c>
      <c r="J12" s="190"/>
      <c r="K12" s="190" t="s">
        <v>266</v>
      </c>
      <c r="L12" s="542">
        <f>L6*0.95+L9*0.85</f>
        <v>5315</v>
      </c>
      <c r="M12" s="524" t="s">
        <v>152</v>
      </c>
      <c r="N12" s="205"/>
      <c r="O12" s="190"/>
      <c r="P12" s="577">
        <f t="shared" si="0"/>
        <v>1339.5</v>
      </c>
      <c r="Q12" s="577">
        <f>('3- Stocking- Trout RAS'!$T$57/G12-INT('3- Stocking- Trout RAS'!$T$57/G12))*G12*I12</f>
        <v>0</v>
      </c>
      <c r="R12" s="577">
        <f t="shared" si="1"/>
        <v>13395</v>
      </c>
      <c r="S12" s="205"/>
    </row>
    <row r="13" spans="1:19" ht="16.5" customHeight="1">
      <c r="A13" s="205"/>
      <c r="B13" s="190" t="s">
        <v>166</v>
      </c>
      <c r="C13" s="524" t="s">
        <v>162</v>
      </c>
      <c r="D13" s="196">
        <v>1</v>
      </c>
      <c r="E13" s="219">
        <v>9650</v>
      </c>
      <c r="F13" s="538">
        <f t="shared" si="2"/>
        <v>9650</v>
      </c>
      <c r="G13" s="196">
        <v>5</v>
      </c>
      <c r="H13" s="194">
        <v>0.2</v>
      </c>
      <c r="I13" s="543">
        <f t="shared" si="3"/>
        <v>1544</v>
      </c>
      <c r="J13" s="190"/>
      <c r="K13" s="190" t="s">
        <v>267</v>
      </c>
      <c r="L13" s="542">
        <f>L6*0.95*'Operating Inputs'!D30+'Operating Inputs'!D28*'Capital Inputs'!L9*0.85</f>
        <v>15902.5</v>
      </c>
      <c r="M13" s="524" t="s">
        <v>153</v>
      </c>
      <c r="N13" s="205"/>
      <c r="O13" s="190"/>
      <c r="P13" s="577">
        <f t="shared" si="0"/>
        <v>1930</v>
      </c>
      <c r="Q13" s="577">
        <f>('3- Stocking- Trout RAS'!$T$57/G13-INT('3- Stocking- Trout RAS'!$T$57/G13))*G13*I13</f>
        <v>0</v>
      </c>
      <c r="R13" s="577">
        <f t="shared" si="1"/>
        <v>9650</v>
      </c>
      <c r="S13" s="205"/>
    </row>
    <row r="14" spans="1:19" ht="16.5" customHeight="1">
      <c r="A14" s="205"/>
      <c r="B14" s="190" t="s">
        <v>210</v>
      </c>
      <c r="C14" s="524" t="s">
        <v>162</v>
      </c>
      <c r="D14" s="196">
        <v>1</v>
      </c>
      <c r="E14" s="219">
        <v>2700</v>
      </c>
      <c r="F14" s="538">
        <f t="shared" si="2"/>
        <v>2700</v>
      </c>
      <c r="G14" s="196">
        <v>5</v>
      </c>
      <c r="H14" s="194">
        <v>0.1</v>
      </c>
      <c r="I14" s="543">
        <f t="shared" si="3"/>
        <v>486</v>
      </c>
      <c r="J14" s="190"/>
      <c r="K14" s="190" t="s">
        <v>256</v>
      </c>
      <c r="L14" s="542">
        <f>'Operating Inputs'!D27*0.85*'Operating Inputs'!D28</f>
        <v>85</v>
      </c>
      <c r="M14" s="524" t="s">
        <v>153</v>
      </c>
      <c r="N14" s="205"/>
      <c r="O14" s="190"/>
      <c r="P14" s="577">
        <f t="shared" si="0"/>
        <v>270</v>
      </c>
      <c r="Q14" s="577">
        <f>('3- Stocking- Trout RAS'!$T$57/G14-INT('3- Stocking- Trout RAS'!$T$57/G14))*G14*I14</f>
        <v>0</v>
      </c>
      <c r="R14" s="577">
        <f t="shared" si="1"/>
        <v>2700</v>
      </c>
      <c r="S14" s="205"/>
    </row>
    <row r="15" spans="1:19" ht="16.5" customHeight="1">
      <c r="A15" s="205"/>
      <c r="B15" s="190" t="s">
        <v>50</v>
      </c>
      <c r="C15" s="524" t="s">
        <v>162</v>
      </c>
      <c r="D15" s="196">
        <v>1</v>
      </c>
      <c r="E15" s="219">
        <v>7500</v>
      </c>
      <c r="F15" s="538">
        <f t="shared" si="2"/>
        <v>7500</v>
      </c>
      <c r="G15" s="196">
        <v>20</v>
      </c>
      <c r="H15" s="194">
        <v>0</v>
      </c>
      <c r="I15" s="543">
        <f t="shared" si="3"/>
        <v>375</v>
      </c>
      <c r="J15" s="190"/>
      <c r="K15" s="190" t="s">
        <v>265</v>
      </c>
      <c r="L15" s="542">
        <f>L14*7.4805</f>
        <v>635.84249999999997</v>
      </c>
      <c r="M15" s="524" t="s">
        <v>154</v>
      </c>
      <c r="N15" s="205" t="s">
        <v>153</v>
      </c>
      <c r="O15" s="579">
        <f>L17/7.48</f>
        <v>1581.8557319518716</v>
      </c>
      <c r="P15" s="577">
        <f t="shared" si="0"/>
        <v>0</v>
      </c>
      <c r="Q15" s="577">
        <f>('3- Stocking- Trout RAS'!$T$57/G15-INT('3- Stocking- Trout RAS'!$T$57/G15))*G15*I15</f>
        <v>3750</v>
      </c>
      <c r="R15" s="577">
        <f t="shared" si="1"/>
        <v>3750</v>
      </c>
      <c r="S15" s="205"/>
    </row>
    <row r="16" spans="1:19" ht="16.5" customHeight="1">
      <c r="A16" s="547" t="s">
        <v>318</v>
      </c>
      <c r="B16" s="190" t="s">
        <v>217</v>
      </c>
      <c r="C16" s="524" t="s">
        <v>162</v>
      </c>
      <c r="D16" s="196">
        <v>1</v>
      </c>
      <c r="E16" s="219">
        <v>20000</v>
      </c>
      <c r="F16" s="538">
        <f t="shared" si="2"/>
        <v>20000</v>
      </c>
      <c r="G16" s="196">
        <v>20</v>
      </c>
      <c r="H16" s="194">
        <v>0.1</v>
      </c>
      <c r="I16" s="543">
        <f t="shared" si="3"/>
        <v>900</v>
      </c>
      <c r="J16" s="190"/>
      <c r="K16" s="190" t="s">
        <v>255</v>
      </c>
      <c r="L16" s="542">
        <f>(L13-L14)*7.4805</f>
        <v>118322.80875</v>
      </c>
      <c r="M16" s="524" t="s">
        <v>154</v>
      </c>
      <c r="N16" s="205"/>
      <c r="O16" s="190"/>
      <c r="P16" s="577">
        <f t="shared" si="0"/>
        <v>2000</v>
      </c>
      <c r="Q16" s="577">
        <f>('3- Stocking- Trout RAS'!$T$57/G16-INT('3- Stocking- Trout RAS'!$T$57/G16))*G16*I16</f>
        <v>9000</v>
      </c>
      <c r="R16" s="577">
        <f t="shared" si="1"/>
        <v>11000</v>
      </c>
      <c r="S16" s="205"/>
    </row>
    <row r="17" spans="1:19" ht="16.5" customHeight="1">
      <c r="A17" s="547" t="s">
        <v>319</v>
      </c>
      <c r="B17" s="190" t="s">
        <v>317</v>
      </c>
      <c r="C17" s="524" t="s">
        <v>162</v>
      </c>
      <c r="D17" s="196">
        <v>1</v>
      </c>
      <c r="E17" s="219">
        <v>1555</v>
      </c>
      <c r="F17" s="538">
        <f>E17*D17</f>
        <v>1555</v>
      </c>
      <c r="G17" s="196">
        <v>10</v>
      </c>
      <c r="H17" s="194">
        <v>0.1</v>
      </c>
      <c r="I17" s="543">
        <f>(F17-F17*H17)/G17</f>
        <v>139.94999999999999</v>
      </c>
      <c r="J17" s="190"/>
      <c r="K17" s="217" t="s">
        <v>254</v>
      </c>
      <c r="L17" s="548">
        <f>L16/10</f>
        <v>11832.280875</v>
      </c>
      <c r="M17" s="549" t="s">
        <v>155</v>
      </c>
      <c r="N17" s="211"/>
      <c r="O17" s="210"/>
      <c r="P17" s="577">
        <f t="shared" si="0"/>
        <v>155.5</v>
      </c>
      <c r="Q17" s="577"/>
      <c r="R17" s="577">
        <f t="shared" si="1"/>
        <v>1555</v>
      </c>
      <c r="S17" s="205"/>
    </row>
    <row r="18" spans="1:19" ht="16.5" customHeight="1">
      <c r="A18" s="547" t="s">
        <v>322</v>
      </c>
      <c r="B18" s="190" t="s">
        <v>320</v>
      </c>
      <c r="C18" s="524" t="s">
        <v>162</v>
      </c>
      <c r="D18" s="196">
        <v>1</v>
      </c>
      <c r="E18" s="219">
        <v>740</v>
      </c>
      <c r="F18" s="538">
        <f>E18*D18</f>
        <v>740</v>
      </c>
      <c r="G18" s="196">
        <v>5</v>
      </c>
      <c r="H18" s="194">
        <v>0.1</v>
      </c>
      <c r="I18" s="543">
        <f>(F18-F18*H18)/G18</f>
        <v>133.19999999999999</v>
      </c>
      <c r="J18" s="190"/>
      <c r="K18" s="210"/>
      <c r="L18" s="210"/>
      <c r="M18" s="210"/>
      <c r="N18" s="211"/>
      <c r="O18" s="210"/>
      <c r="P18" s="577">
        <f t="shared" si="0"/>
        <v>74</v>
      </c>
      <c r="Q18" s="578">
        <f>('3- Stocking- Trout RAS'!$T$57/G21-INT('3- Stocking- Trout RAS'!$T$57/G21))*G21*I21</f>
        <v>0</v>
      </c>
      <c r="R18" s="577">
        <f t="shared" si="1"/>
        <v>740</v>
      </c>
      <c r="S18" s="205"/>
    </row>
    <row r="19" spans="1:19" ht="16.5" customHeight="1">
      <c r="A19" s="205"/>
      <c r="B19" s="217" t="s">
        <v>321</v>
      </c>
      <c r="C19" s="549" t="s">
        <v>162</v>
      </c>
      <c r="D19" s="212">
        <v>1</v>
      </c>
      <c r="E19" s="221">
        <v>1433</v>
      </c>
      <c r="F19" s="550">
        <f>E19*D19</f>
        <v>1433</v>
      </c>
      <c r="G19" s="212">
        <v>5</v>
      </c>
      <c r="H19" s="213">
        <v>0.2</v>
      </c>
      <c r="I19" s="551">
        <f>(F19-F19*H19)/G19</f>
        <v>229.28000000000003</v>
      </c>
      <c r="J19" s="190"/>
      <c r="K19" s="552" t="s">
        <v>160</v>
      </c>
      <c r="L19" s="211"/>
      <c r="M19" s="211"/>
      <c r="N19" s="211"/>
      <c r="O19" s="210"/>
      <c r="P19" s="577">
        <f t="shared" si="0"/>
        <v>286.60000000000002</v>
      </c>
      <c r="Q19" s="578">
        <f>('3- Stocking- Trout RAS'!$T$57/G22-INT('3- Stocking- Trout RAS'!$T$57/G22))*G22*I22</f>
        <v>0</v>
      </c>
      <c r="R19" s="577">
        <f t="shared" si="1"/>
        <v>1433</v>
      </c>
      <c r="S19" s="205"/>
    </row>
    <row r="20" spans="1:19" ht="16.5" customHeight="1">
      <c r="A20" s="205"/>
      <c r="B20" s="534" t="s">
        <v>12</v>
      </c>
      <c r="C20" s="534" t="s">
        <v>11</v>
      </c>
      <c r="D20" s="535" t="s">
        <v>13</v>
      </c>
      <c r="E20" s="535" t="s">
        <v>426</v>
      </c>
      <c r="F20" s="535" t="s">
        <v>3</v>
      </c>
      <c r="G20" s="535" t="s">
        <v>430</v>
      </c>
      <c r="H20" s="536" t="s">
        <v>431</v>
      </c>
      <c r="I20" s="535" t="s">
        <v>429</v>
      </c>
      <c r="J20" s="190"/>
      <c r="K20" s="211"/>
      <c r="L20" s="211"/>
      <c r="M20" s="211"/>
      <c r="N20" s="211"/>
      <c r="O20" s="210"/>
      <c r="P20" s="577"/>
      <c r="Q20" s="578">
        <f>('3- Stocking- Trout RAS'!$T$57/G23-INT('3- Stocking- Trout RAS'!$T$57/G23))*G23*I23</f>
        <v>0</v>
      </c>
      <c r="R20" s="577"/>
      <c r="S20" s="205"/>
    </row>
    <row r="21" spans="1:19" ht="16.5" customHeight="1">
      <c r="A21" s="205"/>
      <c r="B21" s="553" t="s">
        <v>211</v>
      </c>
      <c r="C21" s="554" t="s">
        <v>162</v>
      </c>
      <c r="D21" s="198">
        <v>1</v>
      </c>
      <c r="E21" s="219">
        <v>45000</v>
      </c>
      <c r="F21" s="555">
        <f>D21*E21</f>
        <v>45000</v>
      </c>
      <c r="G21" s="198">
        <v>10</v>
      </c>
      <c r="H21" s="194">
        <v>0.25</v>
      </c>
      <c r="I21" s="555">
        <f>(F21-F21*H21)/G21</f>
        <v>3375</v>
      </c>
      <c r="J21" s="190"/>
      <c r="K21" s="211"/>
      <c r="L21" s="211"/>
      <c r="M21" s="211"/>
      <c r="N21" s="211"/>
      <c r="O21" s="210"/>
      <c r="P21" s="577">
        <f t="shared" ref="P21:P37" si="4">F21*H21</f>
        <v>11250</v>
      </c>
      <c r="Q21" s="578">
        <f>('3- Stocking- Trout RAS'!$T$57/G25-INT('3- Stocking- Trout RAS'!$T$57/G25))*G25*I25</f>
        <v>0</v>
      </c>
      <c r="R21" s="577">
        <f t="shared" ref="R21:R38" si="5">F21-Q21</f>
        <v>45000</v>
      </c>
      <c r="S21" s="205"/>
    </row>
    <row r="22" spans="1:19" ht="16.5" customHeight="1">
      <c r="A22" s="205"/>
      <c r="B22" s="553" t="s">
        <v>212</v>
      </c>
      <c r="C22" s="554" t="s">
        <v>162</v>
      </c>
      <c r="D22" s="198">
        <v>1</v>
      </c>
      <c r="E22" s="219">
        <v>8000</v>
      </c>
      <c r="F22" s="555">
        <f t="shared" ref="F22:F38" si="6">D22*E22</f>
        <v>8000</v>
      </c>
      <c r="G22" s="198">
        <v>10</v>
      </c>
      <c r="H22" s="194">
        <v>0.25</v>
      </c>
      <c r="I22" s="555">
        <f>(F22-F22*H22)/G22</f>
        <v>600</v>
      </c>
      <c r="J22" s="190"/>
      <c r="K22" s="211"/>
      <c r="L22" s="211"/>
      <c r="M22" s="211"/>
      <c r="N22" s="211"/>
      <c r="O22" s="210"/>
      <c r="P22" s="577">
        <f t="shared" si="4"/>
        <v>2000</v>
      </c>
      <c r="Q22" s="578">
        <f>('3- Stocking- Trout RAS'!$T$57/G26-INT('3- Stocking- Trout RAS'!$T$57/G26))*G26*I26</f>
        <v>1200</v>
      </c>
      <c r="R22" s="577">
        <f t="shared" si="5"/>
        <v>6800</v>
      </c>
      <c r="S22" s="205"/>
    </row>
    <row r="23" spans="1:19" ht="16.5" customHeight="1">
      <c r="A23" s="205"/>
      <c r="B23" s="553" t="s">
        <v>34</v>
      </c>
      <c r="C23" s="554" t="s">
        <v>163</v>
      </c>
      <c r="D23" s="198">
        <v>1</v>
      </c>
      <c r="E23" s="219">
        <v>1500</v>
      </c>
      <c r="F23" s="555">
        <f t="shared" si="6"/>
        <v>1500</v>
      </c>
      <c r="G23" s="198">
        <v>5</v>
      </c>
      <c r="H23" s="194">
        <v>0.1</v>
      </c>
      <c r="I23" s="555">
        <f t="shared" ref="I23:I38" si="7">(F23-F23*H23)/G23</f>
        <v>270</v>
      </c>
      <c r="J23" s="190"/>
      <c r="K23" s="211"/>
      <c r="L23" s="211"/>
      <c r="M23" s="211"/>
      <c r="N23" s="211"/>
      <c r="O23" s="210"/>
      <c r="P23" s="577">
        <f t="shared" si="4"/>
        <v>150</v>
      </c>
      <c r="Q23" s="578">
        <f>('3- Stocking- Trout RAS'!$T$57/G27-INT('3- Stocking- Trout RAS'!$T$57/G27))*G27*I27</f>
        <v>0</v>
      </c>
      <c r="R23" s="577">
        <f t="shared" si="5"/>
        <v>1500</v>
      </c>
      <c r="S23" s="205"/>
    </row>
    <row r="24" spans="1:19" ht="16.5" customHeight="1">
      <c r="A24" s="205"/>
      <c r="B24" s="553" t="s">
        <v>35</v>
      </c>
      <c r="C24" s="554" t="s">
        <v>162</v>
      </c>
      <c r="D24" s="198">
        <v>1</v>
      </c>
      <c r="E24" s="219">
        <v>20000</v>
      </c>
      <c r="F24" s="555">
        <f t="shared" si="6"/>
        <v>20000</v>
      </c>
      <c r="G24" s="198">
        <v>10</v>
      </c>
      <c r="H24" s="194">
        <v>0.1</v>
      </c>
      <c r="I24" s="555">
        <f t="shared" si="7"/>
        <v>1800</v>
      </c>
      <c r="J24" s="190"/>
      <c r="K24" s="211"/>
      <c r="L24" s="211"/>
      <c r="M24" s="211"/>
      <c r="N24" s="211"/>
      <c r="O24" s="210"/>
      <c r="P24" s="577">
        <f t="shared" si="4"/>
        <v>2000</v>
      </c>
      <c r="Q24" s="578">
        <f>('3- Stocking- Trout RAS'!$T$57/G28-INT('3- Stocking- Trout RAS'!$T$57/G28))*G28*I28</f>
        <v>0</v>
      </c>
      <c r="R24" s="577">
        <f t="shared" si="5"/>
        <v>20000</v>
      </c>
      <c r="S24" s="205"/>
    </row>
    <row r="25" spans="1:19" ht="16.5" customHeight="1">
      <c r="A25" s="205"/>
      <c r="B25" s="553" t="s">
        <v>23</v>
      </c>
      <c r="C25" s="554" t="s">
        <v>163</v>
      </c>
      <c r="D25" s="198">
        <v>1</v>
      </c>
      <c r="E25" s="219">
        <v>5000</v>
      </c>
      <c r="F25" s="555">
        <f t="shared" si="6"/>
        <v>5000</v>
      </c>
      <c r="G25" s="198">
        <v>10</v>
      </c>
      <c r="H25" s="194">
        <v>0.25</v>
      </c>
      <c r="I25" s="555">
        <f t="shared" si="7"/>
        <v>375</v>
      </c>
      <c r="J25" s="190"/>
      <c r="K25" s="211"/>
      <c r="L25" s="211"/>
      <c r="M25" s="211"/>
      <c r="N25" s="211"/>
      <c r="O25" s="211"/>
      <c r="P25" s="577">
        <f t="shared" si="4"/>
        <v>1250</v>
      </c>
      <c r="Q25" s="578">
        <f>('3- Stocking- Trout RAS'!$T$57/G29-INT('3- Stocking- Trout RAS'!$T$57/G29))*G29*I29</f>
        <v>0</v>
      </c>
      <c r="R25" s="577">
        <f t="shared" si="5"/>
        <v>5000</v>
      </c>
      <c r="S25" s="205"/>
    </row>
    <row r="26" spans="1:19" ht="16.5" customHeight="1">
      <c r="A26" s="205"/>
      <c r="B26" s="553" t="s">
        <v>39</v>
      </c>
      <c r="C26" s="554" t="s">
        <v>162</v>
      </c>
      <c r="D26" s="198">
        <v>1</v>
      </c>
      <c r="E26" s="219">
        <v>3000</v>
      </c>
      <c r="F26" s="555">
        <f t="shared" si="6"/>
        <v>3000</v>
      </c>
      <c r="G26" s="198">
        <v>20</v>
      </c>
      <c r="H26" s="194">
        <v>0.2</v>
      </c>
      <c r="I26" s="555">
        <f t="shared" si="7"/>
        <v>120</v>
      </c>
      <c r="J26" s="190"/>
      <c r="K26" s="211"/>
      <c r="L26" s="211"/>
      <c r="M26" s="211"/>
      <c r="N26" s="211"/>
      <c r="O26" s="211"/>
      <c r="P26" s="577">
        <f t="shared" si="4"/>
        <v>600</v>
      </c>
      <c r="Q26" s="578">
        <f>('3- Stocking- Trout RAS'!$T$57/G30-INT('3- Stocking- Trout RAS'!$T$57/G30))*G30*I30</f>
        <v>424.28571428571422</v>
      </c>
      <c r="R26" s="577">
        <f t="shared" si="5"/>
        <v>2575.7142857142858</v>
      </c>
      <c r="S26" s="205"/>
    </row>
    <row r="27" spans="1:19" ht="16.5" customHeight="1">
      <c r="A27" s="205"/>
      <c r="B27" s="553" t="s">
        <v>24</v>
      </c>
      <c r="C27" s="554" t="s">
        <v>162</v>
      </c>
      <c r="D27" s="198">
        <v>2</v>
      </c>
      <c r="E27" s="219">
        <v>900</v>
      </c>
      <c r="F27" s="555">
        <f t="shared" si="6"/>
        <v>1800</v>
      </c>
      <c r="G27" s="198">
        <v>5</v>
      </c>
      <c r="H27" s="194">
        <v>0.1</v>
      </c>
      <c r="I27" s="555">
        <f t="shared" si="7"/>
        <v>324</v>
      </c>
      <c r="J27" s="190"/>
      <c r="K27" s="211"/>
      <c r="L27" s="211"/>
      <c r="M27" s="211"/>
      <c r="N27" s="211"/>
      <c r="O27" s="211"/>
      <c r="P27" s="577">
        <f t="shared" si="4"/>
        <v>180</v>
      </c>
      <c r="Q27" s="578">
        <f>('3- Stocking- Trout RAS'!$T$57/G31-INT('3- Stocking- Trout RAS'!$T$57/G31))*G31*I31</f>
        <v>4500</v>
      </c>
      <c r="R27" s="577">
        <f t="shared" si="5"/>
        <v>-2700</v>
      </c>
      <c r="S27" s="205"/>
    </row>
    <row r="28" spans="1:19" ht="16.5" customHeight="1">
      <c r="A28" s="205"/>
      <c r="B28" s="553" t="s">
        <v>36</v>
      </c>
      <c r="C28" s="554" t="s">
        <v>162</v>
      </c>
      <c r="D28" s="198">
        <v>2</v>
      </c>
      <c r="E28" s="219">
        <v>3000</v>
      </c>
      <c r="F28" s="555">
        <f t="shared" si="6"/>
        <v>6000</v>
      </c>
      <c r="G28" s="198">
        <v>2</v>
      </c>
      <c r="H28" s="194">
        <v>0</v>
      </c>
      <c r="I28" s="555">
        <f t="shared" si="7"/>
        <v>3000</v>
      </c>
      <c r="J28" s="190"/>
      <c r="K28" s="211"/>
      <c r="L28" s="211"/>
      <c r="M28" s="211"/>
      <c r="N28" s="211"/>
      <c r="O28" s="211"/>
      <c r="P28" s="577">
        <f t="shared" si="4"/>
        <v>0</v>
      </c>
      <c r="Q28" s="578">
        <f>('3- Stocking- Trout RAS'!$T$57/G32-INT('3- Stocking- Trout RAS'!$T$57/G32))*G32*I32</f>
        <v>4500</v>
      </c>
      <c r="R28" s="577">
        <f t="shared" si="5"/>
        <v>1500</v>
      </c>
      <c r="S28" s="205"/>
    </row>
    <row r="29" spans="1:19" ht="16.5" customHeight="1">
      <c r="A29" s="205"/>
      <c r="B29" s="553" t="s">
        <v>37</v>
      </c>
      <c r="C29" s="554" t="s">
        <v>163</v>
      </c>
      <c r="D29" s="198">
        <v>1</v>
      </c>
      <c r="E29" s="219">
        <v>1000</v>
      </c>
      <c r="F29" s="555">
        <f t="shared" si="6"/>
        <v>1000</v>
      </c>
      <c r="G29" s="198">
        <v>10</v>
      </c>
      <c r="H29" s="194">
        <v>0.1</v>
      </c>
      <c r="I29" s="555">
        <f t="shared" si="7"/>
        <v>90</v>
      </c>
      <c r="J29" s="190"/>
      <c r="K29" s="211"/>
      <c r="L29" s="211"/>
      <c r="M29" s="211"/>
      <c r="N29" s="211"/>
      <c r="O29" s="211"/>
      <c r="P29" s="577">
        <f t="shared" si="4"/>
        <v>100</v>
      </c>
      <c r="Q29" s="578">
        <f>('3- Stocking- Trout RAS'!$T$57/G33-INT('3- Stocking- Trout RAS'!$T$57/G33))*G33*I33</f>
        <v>0</v>
      </c>
      <c r="R29" s="577">
        <f t="shared" si="5"/>
        <v>1000</v>
      </c>
      <c r="S29" s="205"/>
    </row>
    <row r="30" spans="1:19" ht="16.5" customHeight="1">
      <c r="A30" s="205"/>
      <c r="B30" s="553" t="s">
        <v>25</v>
      </c>
      <c r="C30" s="554" t="s">
        <v>163</v>
      </c>
      <c r="D30" s="198">
        <v>1</v>
      </c>
      <c r="E30" s="219">
        <v>1100</v>
      </c>
      <c r="F30" s="555">
        <f t="shared" si="6"/>
        <v>1100</v>
      </c>
      <c r="G30" s="198">
        <v>7</v>
      </c>
      <c r="H30" s="194">
        <v>0.1</v>
      </c>
      <c r="I30" s="555">
        <f t="shared" si="7"/>
        <v>141.42857142857142</v>
      </c>
      <c r="J30" s="190"/>
      <c r="K30" s="211"/>
      <c r="L30" s="211"/>
      <c r="M30" s="211"/>
      <c r="N30" s="211"/>
      <c r="O30" s="211"/>
      <c r="P30" s="577">
        <f t="shared" si="4"/>
        <v>110</v>
      </c>
      <c r="Q30" s="578">
        <f>('3- Stocking- Trout RAS'!$T$57/G34-INT('3- Stocking- Trout RAS'!$T$57/G34))*G34*I34</f>
        <v>7500</v>
      </c>
      <c r="R30" s="577">
        <f t="shared" si="5"/>
        <v>-6400</v>
      </c>
      <c r="S30" s="205"/>
    </row>
    <row r="31" spans="1:19" ht="16.5" customHeight="1">
      <c r="A31" s="205"/>
      <c r="B31" s="553" t="s">
        <v>165</v>
      </c>
      <c r="C31" s="554" t="s">
        <v>162</v>
      </c>
      <c r="D31" s="198">
        <v>1</v>
      </c>
      <c r="E31" s="219">
        <v>12000</v>
      </c>
      <c r="F31" s="555">
        <f t="shared" si="6"/>
        <v>12000</v>
      </c>
      <c r="G31" s="198">
        <v>20</v>
      </c>
      <c r="H31" s="194">
        <v>0.25</v>
      </c>
      <c r="I31" s="555">
        <f t="shared" si="7"/>
        <v>450</v>
      </c>
      <c r="J31" s="190"/>
      <c r="K31" s="211"/>
      <c r="L31" s="211"/>
      <c r="M31" s="211"/>
      <c r="N31" s="211"/>
      <c r="O31" s="211"/>
      <c r="P31" s="577">
        <f t="shared" si="4"/>
        <v>3000</v>
      </c>
      <c r="Q31" s="578">
        <f>('3- Stocking- Trout RAS'!$T$57/G35-INT('3- Stocking- Trout RAS'!$T$57/G35))*G35*I35</f>
        <v>66.6666666666667</v>
      </c>
      <c r="R31" s="577">
        <f t="shared" si="5"/>
        <v>11933.333333333334</v>
      </c>
      <c r="S31" s="205"/>
    </row>
    <row r="32" spans="1:19" ht="16.5" customHeight="1">
      <c r="A32" s="205"/>
      <c r="B32" s="553" t="s">
        <v>38</v>
      </c>
      <c r="C32" s="554" t="s">
        <v>162</v>
      </c>
      <c r="D32" s="198">
        <v>1</v>
      </c>
      <c r="E32" s="219">
        <v>10000</v>
      </c>
      <c r="F32" s="555">
        <f t="shared" si="6"/>
        <v>10000</v>
      </c>
      <c r="G32" s="198">
        <v>20</v>
      </c>
      <c r="H32" s="194">
        <v>0.1</v>
      </c>
      <c r="I32" s="555">
        <f t="shared" si="7"/>
        <v>450</v>
      </c>
      <c r="J32" s="190"/>
      <c r="K32" s="211"/>
      <c r="L32" s="211"/>
      <c r="M32" s="211"/>
      <c r="N32" s="211"/>
      <c r="O32" s="211"/>
      <c r="P32" s="577">
        <f t="shared" si="4"/>
        <v>1000</v>
      </c>
      <c r="Q32" s="578">
        <f>('3- Stocking- Trout RAS'!$T$57/G36-INT('3- Stocking- Trout RAS'!$T$57/G36))*G36*I36</f>
        <v>0</v>
      </c>
      <c r="R32" s="577">
        <f t="shared" si="5"/>
        <v>10000</v>
      </c>
      <c r="S32" s="205"/>
    </row>
    <row r="33" spans="1:19" ht="16.5" customHeight="1">
      <c r="A33" s="205"/>
      <c r="B33" s="553" t="s">
        <v>26</v>
      </c>
      <c r="C33" s="554" t="s">
        <v>162</v>
      </c>
      <c r="D33" s="198">
        <v>2</v>
      </c>
      <c r="E33" s="219">
        <v>250</v>
      </c>
      <c r="F33" s="555">
        <f t="shared" si="6"/>
        <v>500</v>
      </c>
      <c r="G33" s="198">
        <v>5</v>
      </c>
      <c r="H33" s="194">
        <v>0.1</v>
      </c>
      <c r="I33" s="555">
        <f t="shared" si="7"/>
        <v>90</v>
      </c>
      <c r="J33" s="190"/>
      <c r="K33" s="211"/>
      <c r="L33" s="211"/>
      <c r="M33" s="211"/>
      <c r="N33" s="211"/>
      <c r="O33" s="211"/>
      <c r="P33" s="577">
        <f t="shared" si="4"/>
        <v>50</v>
      </c>
      <c r="Q33" s="578">
        <f>('3- Stocking- Trout RAS'!$T$57/G37-INT('3- Stocking- Trout RAS'!$T$57/G37))*G37*I37</f>
        <v>0</v>
      </c>
      <c r="R33" s="577">
        <f t="shared" si="5"/>
        <v>500</v>
      </c>
      <c r="S33" s="205"/>
    </row>
    <row r="34" spans="1:19" ht="16.5" customHeight="1">
      <c r="A34" s="205"/>
      <c r="B34" s="553" t="s">
        <v>27</v>
      </c>
      <c r="C34" s="554" t="s">
        <v>162</v>
      </c>
      <c r="D34" s="198">
        <v>1</v>
      </c>
      <c r="E34" s="219">
        <v>15000</v>
      </c>
      <c r="F34" s="555">
        <f t="shared" si="6"/>
        <v>15000</v>
      </c>
      <c r="G34" s="198">
        <v>15</v>
      </c>
      <c r="H34" s="194">
        <v>0.25</v>
      </c>
      <c r="I34" s="555">
        <f t="shared" si="7"/>
        <v>750</v>
      </c>
      <c r="J34" s="190"/>
      <c r="K34" s="211"/>
      <c r="L34" s="211"/>
      <c r="M34" s="211"/>
      <c r="N34" s="211"/>
      <c r="O34" s="211"/>
      <c r="P34" s="577">
        <f t="shared" si="4"/>
        <v>3750</v>
      </c>
      <c r="Q34" s="578">
        <f>('3- Stocking- Trout RAS'!$T$57/G38-INT('3- Stocking- Trout RAS'!$T$57/G38))*G38*I38</f>
        <v>0</v>
      </c>
      <c r="R34" s="577">
        <f t="shared" si="5"/>
        <v>15000</v>
      </c>
      <c r="S34" s="205"/>
    </row>
    <row r="35" spans="1:19" ht="16.5" customHeight="1">
      <c r="A35" s="190"/>
      <c r="B35" s="553" t="s">
        <v>28</v>
      </c>
      <c r="C35" s="554" t="s">
        <v>162</v>
      </c>
      <c r="D35" s="198">
        <v>1</v>
      </c>
      <c r="E35" s="219">
        <v>200</v>
      </c>
      <c r="F35" s="555">
        <f t="shared" si="6"/>
        <v>200</v>
      </c>
      <c r="G35" s="198">
        <v>3</v>
      </c>
      <c r="H35" s="194">
        <v>0</v>
      </c>
      <c r="I35" s="555">
        <f t="shared" si="7"/>
        <v>66.666666666666671</v>
      </c>
      <c r="J35" s="190"/>
      <c r="K35" s="211"/>
      <c r="L35" s="211"/>
      <c r="M35" s="211"/>
      <c r="N35" s="211"/>
      <c r="O35" s="211"/>
      <c r="P35" s="577">
        <f t="shared" si="4"/>
        <v>0</v>
      </c>
      <c r="Q35" s="578"/>
      <c r="R35" s="577">
        <f t="shared" si="5"/>
        <v>200</v>
      </c>
      <c r="S35" s="205"/>
    </row>
    <row r="36" spans="1:19" ht="16.5" customHeight="1">
      <c r="A36" s="190"/>
      <c r="B36" s="553" t="s">
        <v>29</v>
      </c>
      <c r="C36" s="554" t="s">
        <v>162</v>
      </c>
      <c r="D36" s="198">
        <v>1</v>
      </c>
      <c r="E36" s="219">
        <v>1500</v>
      </c>
      <c r="F36" s="555">
        <f t="shared" si="6"/>
        <v>1500</v>
      </c>
      <c r="G36" s="198">
        <v>5</v>
      </c>
      <c r="H36" s="194">
        <v>0.1</v>
      </c>
      <c r="I36" s="555">
        <f t="shared" si="7"/>
        <v>270</v>
      </c>
      <c r="J36" s="190"/>
      <c r="K36" s="211"/>
      <c r="L36" s="211"/>
      <c r="M36" s="211"/>
      <c r="N36" s="211"/>
      <c r="O36" s="211"/>
      <c r="P36" s="577">
        <f t="shared" si="4"/>
        <v>150</v>
      </c>
      <c r="Q36" s="578"/>
      <c r="R36" s="577">
        <f t="shared" si="5"/>
        <v>1500</v>
      </c>
      <c r="S36" s="205"/>
    </row>
    <row r="37" spans="1:19" ht="16.5" customHeight="1">
      <c r="A37" s="190"/>
      <c r="B37" s="553" t="s">
        <v>40</v>
      </c>
      <c r="C37" s="554" t="s">
        <v>162</v>
      </c>
      <c r="D37" s="198">
        <v>2</v>
      </c>
      <c r="E37" s="219">
        <v>500</v>
      </c>
      <c r="F37" s="555">
        <f t="shared" si="6"/>
        <v>1000</v>
      </c>
      <c r="G37" s="198">
        <v>5</v>
      </c>
      <c r="H37" s="194">
        <v>0.1</v>
      </c>
      <c r="I37" s="555">
        <f t="shared" si="7"/>
        <v>180</v>
      </c>
      <c r="J37" s="190"/>
      <c r="K37" s="211"/>
      <c r="L37" s="211"/>
      <c r="M37" s="211"/>
      <c r="N37" s="211"/>
      <c r="O37" s="211"/>
      <c r="P37" s="577">
        <f t="shared" si="4"/>
        <v>100</v>
      </c>
      <c r="Q37" s="578"/>
      <c r="R37" s="577">
        <f t="shared" si="5"/>
        <v>1000</v>
      </c>
      <c r="S37" s="205"/>
    </row>
    <row r="38" spans="1:19" ht="16.5" customHeight="1">
      <c r="A38" s="190"/>
      <c r="B38" s="553" t="s">
        <v>30</v>
      </c>
      <c r="C38" s="554" t="s">
        <v>162</v>
      </c>
      <c r="D38" s="198">
        <v>5</v>
      </c>
      <c r="E38" s="220">
        <v>30</v>
      </c>
      <c r="F38" s="555">
        <f t="shared" si="6"/>
        <v>150</v>
      </c>
      <c r="G38" s="198">
        <v>2</v>
      </c>
      <c r="H38" s="194">
        <v>0</v>
      </c>
      <c r="I38" s="555">
        <f t="shared" si="7"/>
        <v>75</v>
      </c>
      <c r="J38" s="190"/>
      <c r="K38" s="211"/>
      <c r="L38" s="211"/>
      <c r="M38" s="211"/>
      <c r="N38" s="211"/>
      <c r="O38" s="211"/>
      <c r="Q38" s="210"/>
      <c r="R38" s="577">
        <f t="shared" si="5"/>
        <v>150</v>
      </c>
      <c r="S38" s="205"/>
    </row>
    <row r="39" spans="1:19" ht="16.5" customHeight="1">
      <c r="A39" s="190"/>
      <c r="B39" s="556" t="s">
        <v>323</v>
      </c>
      <c r="C39" s="218"/>
      <c r="D39" s="557"/>
      <c r="E39" s="558" t="s">
        <v>324</v>
      </c>
      <c r="F39" s="559">
        <f>SUM(F5:F19,F21:F38)</f>
        <v>451351.125</v>
      </c>
      <c r="G39" s="557"/>
      <c r="H39" s="560" t="s">
        <v>3</v>
      </c>
      <c r="I39" s="559">
        <f>SUM(I5:I19,I21:I38)</f>
        <v>28233.637738095244</v>
      </c>
      <c r="J39" s="190"/>
      <c r="K39" s="211"/>
      <c r="L39" s="211"/>
      <c r="M39" s="211"/>
      <c r="N39" s="211"/>
      <c r="O39" s="211"/>
      <c r="P39" s="22"/>
      <c r="Q39" s="22"/>
      <c r="R39" s="577"/>
      <c r="S39" s="205"/>
    </row>
    <row r="40" spans="1:19" ht="16.5" customHeight="1">
      <c r="B40" s="561" t="s">
        <v>325</v>
      </c>
      <c r="C40" s="217"/>
      <c r="D40" s="111"/>
      <c r="E40" s="562" t="s">
        <v>324</v>
      </c>
      <c r="F40" s="563">
        <f>SUM(F5:F16,F21:F38)</f>
        <v>447623.125</v>
      </c>
      <c r="G40" s="111"/>
      <c r="H40" s="564" t="s">
        <v>3</v>
      </c>
      <c r="I40" s="563">
        <f>SUM(I5:I16,I21:I38)</f>
        <v>27731.20773809524</v>
      </c>
      <c r="J40" s="190"/>
      <c r="K40" s="211"/>
      <c r="L40" s="211"/>
      <c r="M40" s="211"/>
      <c r="P40" s="37">
        <f>SUM(P6:P39)</f>
        <v>53008.724999999999</v>
      </c>
      <c r="Q40" s="37">
        <f>SUM(Q6:Q39)</f>
        <v>122974.07738095238</v>
      </c>
      <c r="R40" s="37">
        <f>SUM(R6:R39)</f>
        <v>325377.04761904757</v>
      </c>
    </row>
    <row r="41" spans="1:19" ht="16.5" customHeight="1"/>
    <row r="42" spans="1:19" ht="16.5" hidden="1" customHeight="1"/>
    <row r="43" spans="1:19" ht="16.5" hidden="1" customHeight="1"/>
    <row r="44" spans="1:19" ht="16.5" hidden="1" customHeight="1"/>
    <row r="45" spans="1:19" ht="16.5" hidden="1" customHeight="1"/>
    <row r="46" spans="1:19" ht="16.5" hidden="1" customHeight="1"/>
    <row r="47" spans="1:19" ht="16.5" hidden="1" customHeight="1"/>
    <row r="48" spans="1:19" ht="16.5" hidden="1" customHeight="1"/>
    <row r="49" ht="16.5" hidden="1" customHeight="1"/>
    <row r="50" ht="16.5" hidden="1" customHeight="1"/>
    <row r="51" ht="16.5" hidden="1" customHeight="1"/>
    <row r="52" ht="16.5" hidden="1" customHeight="1"/>
  </sheetData>
  <mergeCells count="4">
    <mergeCell ref="K2:M2"/>
    <mergeCell ref="B2:D2"/>
    <mergeCell ref="E2:G2"/>
    <mergeCell ref="H2:I2"/>
  </mergeCells>
  <hyperlinks>
    <hyperlink ref="A16" r:id="rId1" display="https://aquaultraviolet.com/products/ultima-ii-1000-filter?variant=46027804999901" xr:uid="{E01F6FBC-4696-4D10-AC26-FCEA38F535CD}"/>
    <hyperlink ref="A17" r:id="rId2" location="customUrl:::prindex=0&amp;pgkey=23874" display="https://www.globalindustrial.com/p/370a-95-1-inch-x-3-4-inch-cast-iron-straight-centrifugal-pump-buna-n-seal-3-4hp-1-phase-motor?referer=L2MvcGx1bWJpbmcvcGx1bWJpbmdfcHVtcHMvY2VudHJpZnVnYWxfcHVtcHM%3D - customUrl:::prindex=0&amp;pgkey=23874" xr:uid="{9DFA13E2-200B-482F-94C3-4DBC5086A60A}"/>
    <hyperlink ref="A18" r:id="rId3" display="https://pentairaes.com/sweetwater-rotary-vane-compressors-1-4-to-2-hp.html" xr:uid="{6A68DC85-F128-4E17-9617-AB4D5E6FFD3B}"/>
  </hyperlinks>
  <pageMargins left="0.7" right="0.7" top="0.75" bottom="0.75" header="0.3" footer="0.3"/>
  <pageSetup orientation="portrait"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6FDFD-C26D-418E-8BA7-6ABB17D7AECE}">
  <dimension ref="A1:AH63"/>
  <sheetViews>
    <sheetView showGridLines="0" topLeftCell="A32" zoomScaleNormal="100" workbookViewId="0">
      <selection activeCell="C51" sqref="C51"/>
    </sheetView>
  </sheetViews>
  <sheetFormatPr defaultColWidth="0" defaultRowHeight="16.5"/>
  <cols>
    <col min="1" max="1" width="3.33203125" style="2" customWidth="1"/>
    <col min="2" max="2" width="33.77734375" style="2" customWidth="1"/>
    <col min="3" max="3" width="18.21875" style="2" bestFit="1" customWidth="1"/>
    <col min="4" max="6" width="11.77734375" style="2" customWidth="1"/>
    <col min="7" max="7" width="15.109375" style="2" customWidth="1"/>
    <col min="8" max="8" width="13.5546875" style="2" customWidth="1"/>
    <col min="9" max="9" width="3.33203125" style="2" customWidth="1"/>
    <col min="10" max="10" width="35.88671875" style="2" bestFit="1" customWidth="1"/>
    <col min="11" max="11" width="13.6640625" style="2" customWidth="1"/>
    <col min="12" max="12" width="8.77734375" style="2" customWidth="1"/>
    <col min="13" max="13" width="3.33203125" style="2" customWidth="1"/>
    <col min="14" max="14" width="8.77734375" style="2" customWidth="1"/>
    <col min="15" max="15" width="18.21875" style="2" customWidth="1"/>
    <col min="16" max="16" width="3.33203125" style="2" customWidth="1"/>
    <col min="17" max="18" width="15.77734375" style="2" hidden="1" customWidth="1"/>
    <col min="19" max="19" width="17.44140625" style="2" hidden="1" customWidth="1"/>
    <col min="20" max="20" width="22.44140625" style="2" hidden="1" customWidth="1"/>
    <col min="21" max="22" width="11.88671875" style="2" hidden="1" customWidth="1"/>
    <col min="23" max="23" width="16.44140625" style="2" hidden="1" customWidth="1"/>
    <col min="24" max="34" width="0" style="2" hidden="1" customWidth="1"/>
    <col min="35" max="16384" width="11.88671875" style="2" hidden="1"/>
  </cols>
  <sheetData>
    <row r="1" spans="2:19" ht="17.25" thickBot="1"/>
    <row r="2" spans="2:19" ht="18.75">
      <c r="B2" s="609" t="s">
        <v>334</v>
      </c>
      <c r="C2" s="610"/>
      <c r="D2" s="610"/>
      <c r="E2" s="610"/>
      <c r="F2" s="610"/>
      <c r="G2" s="610"/>
      <c r="H2" s="611"/>
      <c r="I2" s="1"/>
      <c r="J2" s="565" t="s">
        <v>439</v>
      </c>
      <c r="K2" s="565"/>
      <c r="L2" s="565"/>
      <c r="M2" s="565"/>
      <c r="N2" s="332" t="s">
        <v>432</v>
      </c>
      <c r="O2" s="332" t="s">
        <v>433</v>
      </c>
      <c r="P2" s="33"/>
    </row>
    <row r="3" spans="2:19" ht="15.75" customHeight="1">
      <c r="B3" s="82"/>
      <c r="C3" s="82"/>
      <c r="D3" s="121"/>
      <c r="E3" s="122"/>
      <c r="F3" s="123">
        <f>D12/L11*L13*L12*L21/Grow_out_capacity</f>
        <v>1.686519E-4</v>
      </c>
      <c r="G3" s="121"/>
      <c r="H3" s="81"/>
      <c r="I3" s="1"/>
      <c r="J3" s="566" t="s">
        <v>135</v>
      </c>
      <c r="K3" s="566" t="s">
        <v>11</v>
      </c>
      <c r="L3" s="566" t="s">
        <v>45</v>
      </c>
      <c r="M3" s="357"/>
      <c r="N3" s="333" t="s">
        <v>434</v>
      </c>
      <c r="O3" s="333" t="s">
        <v>435</v>
      </c>
      <c r="P3" s="69"/>
      <c r="Q3" s="13"/>
    </row>
    <row r="4" spans="2:19" ht="17.25">
      <c r="B4" s="70" t="s">
        <v>197</v>
      </c>
      <c r="C4" s="70" t="s">
        <v>11</v>
      </c>
      <c r="D4" s="71" t="s">
        <v>13</v>
      </c>
      <c r="E4" s="72" t="s">
        <v>426</v>
      </c>
      <c r="F4" s="71" t="s">
        <v>0</v>
      </c>
      <c r="G4" s="71" t="s">
        <v>245</v>
      </c>
      <c r="H4" s="71" t="s">
        <v>137</v>
      </c>
      <c r="I4" s="1"/>
      <c r="J4" s="338" t="s">
        <v>357</v>
      </c>
      <c r="K4" s="312" t="s">
        <v>253</v>
      </c>
      <c r="L4" s="340">
        <v>6</v>
      </c>
      <c r="M4" s="343"/>
      <c r="N4" s="479"/>
      <c r="O4" s="480">
        <f>G32</f>
        <v>-0.59959016149812738</v>
      </c>
      <c r="P4" s="87"/>
      <c r="Q4" s="13"/>
    </row>
    <row r="5" spans="2:19" ht="17.25">
      <c r="B5" s="4" t="s">
        <v>363</v>
      </c>
      <c r="C5" s="7" t="s">
        <v>335</v>
      </c>
      <c r="D5" s="6">
        <f>D12*1000/L11*L12*L13</f>
        <v>39910.733018048253</v>
      </c>
      <c r="E5" s="247">
        <f>L4</f>
        <v>6</v>
      </c>
      <c r="F5" s="248">
        <f>D5*E5</f>
        <v>239464.39810828952</v>
      </c>
      <c r="G5" s="250">
        <f>E5</f>
        <v>6</v>
      </c>
      <c r="H5" s="283">
        <f>F5/$F$5</f>
        <v>1</v>
      </c>
      <c r="I5" s="1"/>
      <c r="J5" s="341" t="s">
        <v>339</v>
      </c>
      <c r="K5" s="312" t="s">
        <v>182</v>
      </c>
      <c r="L5" s="204">
        <v>2050.2209090909091</v>
      </c>
      <c r="M5" s="343"/>
      <c r="N5" s="480">
        <v>7</v>
      </c>
      <c r="O5" s="480">
        <f t="dataTable" ref="O5:O23" dt2D="0" dtr="0" r1="L4"/>
        <v>0.37885983850187288</v>
      </c>
      <c r="P5" s="87"/>
      <c r="Q5" s="13">
        <v>40.93</v>
      </c>
      <c r="R5" s="87"/>
    </row>
    <row r="6" spans="2:19" ht="17.25">
      <c r="B6" s="4" t="s">
        <v>220</v>
      </c>
      <c r="C6" s="7" t="s">
        <v>7</v>
      </c>
      <c r="D6" s="6">
        <f>D5/L20*L19</f>
        <v>7982.1466036096508</v>
      </c>
      <c r="E6" s="247">
        <f>'Operating Inputs'!D10</f>
        <v>1.5</v>
      </c>
      <c r="F6" s="252">
        <f t="shared" ref="F6" si="0">D6*E6</f>
        <v>11973.219905414477</v>
      </c>
      <c r="G6" s="253">
        <f>F6/D5</f>
        <v>0.30000000000000004</v>
      </c>
      <c r="H6" s="290">
        <f t="shared" ref="H6" si="1">F6/$F$5</f>
        <v>0.05</v>
      </c>
      <c r="I6" s="1"/>
      <c r="J6" s="307" t="s">
        <v>356</v>
      </c>
      <c r="K6" s="312" t="s">
        <v>182</v>
      </c>
      <c r="L6" s="201">
        <v>150</v>
      </c>
      <c r="M6" s="343"/>
      <c r="N6" s="480">
        <v>8</v>
      </c>
      <c r="O6" s="480">
        <v>1.3573098385018725</v>
      </c>
      <c r="Q6" s="13"/>
    </row>
    <row r="7" spans="2:19" ht="17.25">
      <c r="B7" s="288" t="s">
        <v>197</v>
      </c>
      <c r="C7" s="7"/>
      <c r="D7" s="6"/>
      <c r="F7" s="249">
        <f>F5-F6</f>
        <v>227491.17820287505</v>
      </c>
      <c r="G7" s="251">
        <f>G5-G6</f>
        <v>5.7</v>
      </c>
      <c r="H7" s="291">
        <f>F7/$F$5</f>
        <v>0.95000000000000007</v>
      </c>
      <c r="J7" s="307" t="s">
        <v>185</v>
      </c>
      <c r="K7" s="312" t="s">
        <v>186</v>
      </c>
      <c r="L7" s="191">
        <v>1.1499999999999999</v>
      </c>
      <c r="M7" s="343"/>
      <c r="N7" s="480">
        <v>9</v>
      </c>
      <c r="O7" s="480">
        <v>2.3357598385018705</v>
      </c>
      <c r="P7" s="87"/>
      <c r="Q7" s="13"/>
    </row>
    <row r="8" spans="2:19" ht="17.25">
      <c r="B8" s="238"/>
      <c r="C8" s="7"/>
      <c r="D8" s="6"/>
      <c r="E8" s="73"/>
      <c r="F8" s="14"/>
      <c r="G8" s="15"/>
      <c r="H8" s="239"/>
      <c r="I8" s="1"/>
      <c r="J8" s="307" t="s">
        <v>332</v>
      </c>
      <c r="K8" s="312" t="s">
        <v>333</v>
      </c>
      <c r="L8" s="191">
        <v>170</v>
      </c>
      <c r="M8" s="343"/>
      <c r="N8" s="480">
        <v>10</v>
      </c>
      <c r="O8" s="480">
        <v>3.3142098385018728</v>
      </c>
      <c r="Q8" s="13"/>
    </row>
    <row r="9" spans="2:19" ht="17.25">
      <c r="B9" s="246" t="s">
        <v>10</v>
      </c>
      <c r="C9" s="70" t="s">
        <v>11</v>
      </c>
      <c r="D9" s="71" t="s">
        <v>13</v>
      </c>
      <c r="E9" s="72" t="s">
        <v>426</v>
      </c>
      <c r="F9" s="71" t="s">
        <v>0</v>
      </c>
      <c r="G9" s="71" t="s">
        <v>245</v>
      </c>
      <c r="H9" s="71" t="s">
        <v>137</v>
      </c>
      <c r="I9" s="1"/>
      <c r="J9" s="190" t="s">
        <v>246</v>
      </c>
      <c r="K9" s="312" t="s">
        <v>235</v>
      </c>
      <c r="L9" s="201">
        <v>300</v>
      </c>
      <c r="M9" s="343"/>
      <c r="N9" s="480">
        <v>11</v>
      </c>
      <c r="O9" s="480">
        <v>4.2926598385018728</v>
      </c>
      <c r="P9" s="98"/>
      <c r="Q9" s="13"/>
    </row>
    <row r="10" spans="2:19" ht="17.25">
      <c r="B10" s="4" t="s">
        <v>326</v>
      </c>
      <c r="C10" s="7" t="s">
        <v>190</v>
      </c>
      <c r="D10" s="101">
        <f>L15*'Capital Inputs'!L16*'1- Food - Salmon RAS'!L21*L7*AVERAGE(1,L12)/2204.6</f>
        <v>19.777953289584378</v>
      </c>
      <c r="E10" s="247">
        <f>L5</f>
        <v>2050.2209090909091</v>
      </c>
      <c r="F10" s="257">
        <f>D10*E10</f>
        <v>40549.17337332922</v>
      </c>
      <c r="G10" s="250">
        <f>F10/$D$5</f>
        <v>1.0159967083288661</v>
      </c>
      <c r="H10" s="283">
        <f t="shared" ref="H10" si="2">F10/$F$5</f>
        <v>0.1693327847214777</v>
      </c>
      <c r="I10" s="1"/>
      <c r="J10" s="190" t="s">
        <v>313</v>
      </c>
      <c r="K10" s="312"/>
      <c r="L10" s="307"/>
      <c r="M10" s="307"/>
      <c r="N10" s="480">
        <v>12</v>
      </c>
      <c r="O10" s="480">
        <v>5.2711098385018724</v>
      </c>
    </row>
    <row r="11" spans="2:19" ht="17.25">
      <c r="B11" s="128" t="s">
        <v>277</v>
      </c>
      <c r="C11" s="7" t="s">
        <v>190</v>
      </c>
      <c r="D11" s="101">
        <f>SUM(D9:D10)</f>
        <v>19.777953289584378</v>
      </c>
      <c r="E11" s="247">
        <f>L6</f>
        <v>150</v>
      </c>
      <c r="F11" s="257">
        <f>D11*E11</f>
        <v>2966.6929934376567</v>
      </c>
      <c r="G11" s="250">
        <f>F11/$D$5</f>
        <v>7.4333212374126836E-2</v>
      </c>
      <c r="H11" s="283">
        <f t="shared" ref="H11:H21" si="3">F11/$F$5</f>
        <v>1.2388868729021138E-2</v>
      </c>
      <c r="I11" s="1"/>
      <c r="J11" s="409" t="s">
        <v>244</v>
      </c>
      <c r="K11" s="312" t="s">
        <v>436</v>
      </c>
      <c r="L11" s="567">
        <v>2</v>
      </c>
      <c r="M11" s="568"/>
      <c r="N11" s="480">
        <v>13</v>
      </c>
      <c r="O11" s="480">
        <v>6.2495598385018711</v>
      </c>
      <c r="P11" s="87"/>
      <c r="Q11" s="87"/>
      <c r="R11" s="106"/>
      <c r="S11" s="87"/>
    </row>
    <row r="12" spans="2:19" ht="17.25">
      <c r="B12" s="4" t="s">
        <v>243</v>
      </c>
      <c r="C12" s="7" t="s">
        <v>241</v>
      </c>
      <c r="D12" s="102">
        <f>'Capital Inputs'!L16/1000*'1- Food - Salmon RAS'!L8/1000*L21</f>
        <v>10.05743874375</v>
      </c>
      <c r="E12" s="247">
        <f>L9</f>
        <v>300</v>
      </c>
      <c r="F12" s="257">
        <f>D12*E12</f>
        <v>3017.2316231249997</v>
      </c>
      <c r="G12" s="250">
        <f>F12/$D$5</f>
        <v>7.5599504067253312E-2</v>
      </c>
      <c r="H12" s="283">
        <f t="shared" si="3"/>
        <v>1.2599917344542218E-2</v>
      </c>
      <c r="I12" s="1"/>
      <c r="J12" s="409" t="s">
        <v>238</v>
      </c>
      <c r="K12" s="312"/>
      <c r="L12" s="194">
        <v>0.9</v>
      </c>
      <c r="M12" s="216"/>
      <c r="N12" s="480">
        <v>14</v>
      </c>
      <c r="O12" s="480">
        <v>7.2280098385018743</v>
      </c>
    </row>
    <row r="13" spans="2:19" ht="17.25">
      <c r="B13" s="4" t="s">
        <v>205</v>
      </c>
      <c r="C13" s="7"/>
      <c r="D13" s="12"/>
      <c r="E13" s="9"/>
      <c r="F13" s="257">
        <f>L17*'Operating Inputs'!D5</f>
        <v>56940</v>
      </c>
      <c r="G13" s="250">
        <f t="shared" ref="G13:G19" si="4">F13/$D$5</f>
        <v>1.4266838941357165</v>
      </c>
      <c r="H13" s="283">
        <f t="shared" si="3"/>
        <v>0.23778064902261942</v>
      </c>
      <c r="I13" s="1"/>
      <c r="J13" s="307" t="s">
        <v>268</v>
      </c>
      <c r="K13" s="312" t="s">
        <v>184</v>
      </c>
      <c r="L13" s="569">
        <v>8.8184000000000005</v>
      </c>
      <c r="M13" s="570"/>
      <c r="N13" s="480">
        <v>15</v>
      </c>
      <c r="O13" s="480">
        <v>8.2064598385018712</v>
      </c>
      <c r="P13" s="87"/>
    </row>
    <row r="14" spans="2:19" ht="17.25">
      <c r="B14" s="4" t="s">
        <v>115</v>
      </c>
      <c r="C14" s="7"/>
      <c r="D14" s="6"/>
      <c r="E14" s="9"/>
      <c r="F14" s="257">
        <f>'Salmon Utilities'!G17+'Salmon Utilities'!O3</f>
        <v>14282.278846624471</v>
      </c>
      <c r="G14" s="250">
        <f t="shared" si="4"/>
        <v>0.35785558837433035</v>
      </c>
      <c r="H14" s="283">
        <f t="shared" si="3"/>
        <v>5.9642598062388391E-2</v>
      </c>
      <c r="I14" s="1"/>
      <c r="J14" s="307" t="s">
        <v>269</v>
      </c>
      <c r="K14" s="312" t="s">
        <v>184</v>
      </c>
      <c r="L14" s="342">
        <v>0.45415263055785821</v>
      </c>
      <c r="M14" s="351"/>
      <c r="N14" s="480">
        <v>16</v>
      </c>
      <c r="O14" s="480">
        <v>9.1849098385018717</v>
      </c>
      <c r="P14" s="87"/>
    </row>
    <row r="15" spans="2:19" ht="17.25">
      <c r="B15" s="4" t="s">
        <v>51</v>
      </c>
      <c r="C15" s="7"/>
      <c r="D15" s="6"/>
      <c r="E15" s="9"/>
      <c r="F15" s="257">
        <f>'Operating Inputs'!D7*12</f>
        <v>8400</v>
      </c>
      <c r="G15" s="250">
        <f t="shared" si="4"/>
        <v>0.2104696998724977</v>
      </c>
      <c r="H15" s="283">
        <f t="shared" si="3"/>
        <v>3.5078283312082952E-2</v>
      </c>
      <c r="I15" s="1"/>
      <c r="J15" s="190" t="s">
        <v>252</v>
      </c>
      <c r="K15" s="312" t="s">
        <v>189</v>
      </c>
      <c r="L15" s="571">
        <f>L8/1000/L11*L12*L13</f>
        <v>0.6746076000000002</v>
      </c>
      <c r="M15" s="343"/>
      <c r="N15" s="480">
        <v>17</v>
      </c>
      <c r="O15" s="480">
        <v>10.16335983850187</v>
      </c>
    </row>
    <row r="16" spans="2:19" ht="17.25">
      <c r="B16" s="4" t="s">
        <v>8</v>
      </c>
      <c r="C16" s="7"/>
      <c r="D16" s="6"/>
      <c r="E16" s="9"/>
      <c r="F16" s="257">
        <f>'Operating Inputs'!D8</f>
        <v>14414</v>
      </c>
      <c r="G16" s="250">
        <f t="shared" si="4"/>
        <v>0.36115598261454546</v>
      </c>
      <c r="H16" s="283">
        <f t="shared" si="3"/>
        <v>6.0192663769090909E-2</v>
      </c>
      <c r="I16" s="1"/>
      <c r="J16" s="341" t="s">
        <v>136</v>
      </c>
      <c r="K16" s="312" t="s">
        <v>137</v>
      </c>
      <c r="L16" s="194">
        <v>0.02</v>
      </c>
      <c r="M16" s="216"/>
      <c r="N16" s="480">
        <v>18</v>
      </c>
      <c r="O16" s="480">
        <v>11.141809838501871</v>
      </c>
      <c r="P16" s="22"/>
    </row>
    <row r="17" spans="2:34" ht="17.25" customHeight="1">
      <c r="B17" s="4" t="s">
        <v>54</v>
      </c>
      <c r="C17" s="7"/>
      <c r="D17" s="6"/>
      <c r="E17" s="21"/>
      <c r="F17" s="257">
        <f>F5*'1- Food - Salmon RAS'!L16</f>
        <v>4789.2879621657903</v>
      </c>
      <c r="G17" s="250">
        <f t="shared" si="4"/>
        <v>0.12</v>
      </c>
      <c r="H17" s="283">
        <f t="shared" si="3"/>
        <v>0.02</v>
      </c>
      <c r="I17" s="1"/>
      <c r="J17" s="190" t="s">
        <v>205</v>
      </c>
      <c r="K17" s="312" t="s">
        <v>327</v>
      </c>
      <c r="L17" s="192">
        <v>2920</v>
      </c>
      <c r="M17" s="352"/>
      <c r="N17" s="480">
        <v>19</v>
      </c>
      <c r="O17" s="480">
        <v>12.120259838501873</v>
      </c>
    </row>
    <row r="18" spans="2:34" ht="17.25">
      <c r="B18" s="4" t="s">
        <v>141</v>
      </c>
      <c r="C18" s="7"/>
      <c r="D18" s="6"/>
      <c r="E18" s="9"/>
      <c r="F18" s="257">
        <f>'Operating Inputs'!D9</f>
        <v>3000</v>
      </c>
      <c r="G18" s="250">
        <f t="shared" si="4"/>
        <v>7.5167749954463459E-2</v>
      </c>
      <c r="H18" s="283">
        <f t="shared" si="3"/>
        <v>1.252795832574391E-2</v>
      </c>
      <c r="I18" s="1"/>
      <c r="J18" s="190" t="s">
        <v>227</v>
      </c>
      <c r="K18" s="312" t="s">
        <v>240</v>
      </c>
      <c r="L18" s="491">
        <v>24</v>
      </c>
      <c r="M18" s="307"/>
      <c r="N18" s="480">
        <v>20</v>
      </c>
      <c r="O18" s="480">
        <v>13.098709838501872</v>
      </c>
      <c r="P18" s="87"/>
    </row>
    <row r="19" spans="2:34" ht="17.25" customHeight="1">
      <c r="B19" s="4" t="s">
        <v>22</v>
      </c>
      <c r="C19" s="7"/>
      <c r="D19" s="6"/>
      <c r="E19" s="9"/>
      <c r="F19" s="258">
        <v>0</v>
      </c>
      <c r="G19" s="250">
        <f t="shared" si="4"/>
        <v>0</v>
      </c>
      <c r="H19" s="283">
        <f t="shared" si="3"/>
        <v>0</v>
      </c>
      <c r="I19" s="1"/>
      <c r="J19" s="345" t="s">
        <v>188</v>
      </c>
      <c r="K19" s="312" t="s">
        <v>187</v>
      </c>
      <c r="L19" s="346">
        <v>400</v>
      </c>
      <c r="M19" s="354"/>
      <c r="N19" s="480">
        <v>21</v>
      </c>
      <c r="O19" s="480">
        <v>14.077159838501872</v>
      </c>
    </row>
    <row r="20" spans="2:34" ht="17.25">
      <c r="B20" s="4" t="s">
        <v>17</v>
      </c>
      <c r="C20" s="7" t="s">
        <v>138</v>
      </c>
      <c r="D20" s="6"/>
      <c r="E20" s="11">
        <f>'Operating Inputs'!D11</f>
        <v>7.7499999999999999E-2</v>
      </c>
      <c r="F20" s="259">
        <f>SUM(F10:F18)*(1-'Operating Inputs'!D12)*E20/L21</f>
        <v>11497.796521897864</v>
      </c>
      <c r="G20" s="253">
        <f>F20/$D$5</f>
        <v>0.28808783132843946</v>
      </c>
      <c r="H20" s="290">
        <f t="shared" si="3"/>
        <v>4.8014638554739905E-2</v>
      </c>
      <c r="I20" s="1"/>
      <c r="J20" s="345" t="s">
        <v>200</v>
      </c>
      <c r="K20" s="312" t="s">
        <v>219</v>
      </c>
      <c r="L20" s="346">
        <v>2000</v>
      </c>
      <c r="M20" s="354"/>
      <c r="N20" s="480">
        <v>22</v>
      </c>
      <c r="O20" s="480">
        <v>15.055609838501871</v>
      </c>
    </row>
    <row r="21" spans="2:34" ht="17.25">
      <c r="B21" s="68" t="s">
        <v>16</v>
      </c>
      <c r="C21" s="68"/>
      <c r="D21" s="68"/>
      <c r="E21" s="68"/>
      <c r="F21" s="260">
        <f>SUM(F10:F20)</f>
        <v>159856.46132057998</v>
      </c>
      <c r="G21" s="251">
        <f>F21/$D$5</f>
        <v>4.0053501710502388</v>
      </c>
      <c r="H21" s="291">
        <f t="shared" si="3"/>
        <v>0.66755836184170647</v>
      </c>
      <c r="J21" s="217" t="s">
        <v>57</v>
      </c>
      <c r="K21" s="572" t="s">
        <v>58</v>
      </c>
      <c r="L21" s="573">
        <f>12/L18</f>
        <v>0.5</v>
      </c>
      <c r="M21" s="343"/>
      <c r="N21" s="480">
        <v>23</v>
      </c>
      <c r="O21" s="480">
        <v>16.034059838501872</v>
      </c>
    </row>
    <row r="22" spans="2:34" ht="17.25">
      <c r="B22" s="78"/>
      <c r="C22" s="78"/>
      <c r="D22" s="78"/>
      <c r="E22" s="78"/>
      <c r="F22" s="76"/>
      <c r="G22" s="15"/>
      <c r="H22" s="239"/>
      <c r="I22" s="1"/>
      <c r="J22" s="574"/>
      <c r="K22" s="574"/>
      <c r="L22" s="574"/>
      <c r="M22" s="574"/>
      <c r="N22" s="480">
        <v>24</v>
      </c>
      <c r="O22" s="480">
        <v>17.01250983850187</v>
      </c>
    </row>
    <row r="23" spans="2:34" ht="17.25">
      <c r="B23" s="246" t="s">
        <v>18</v>
      </c>
      <c r="C23" s="70" t="s">
        <v>11</v>
      </c>
      <c r="D23" s="71" t="s">
        <v>13</v>
      </c>
      <c r="E23" s="72" t="s">
        <v>426</v>
      </c>
      <c r="F23" s="71" t="s">
        <v>0</v>
      </c>
      <c r="G23" s="71" t="s">
        <v>245</v>
      </c>
      <c r="H23" s="71" t="s">
        <v>137</v>
      </c>
      <c r="I23" s="1"/>
      <c r="N23" s="480">
        <v>25</v>
      </c>
      <c r="O23" s="480">
        <v>17.990959838501869</v>
      </c>
    </row>
    <row r="24" spans="2:34" ht="17.25">
      <c r="B24" s="4" t="s">
        <v>6</v>
      </c>
      <c r="C24" s="7" t="s">
        <v>163</v>
      </c>
      <c r="D24" s="10">
        <v>12</v>
      </c>
      <c r="E24" s="9"/>
      <c r="F24" s="261">
        <f>'Operating Inputs'!D15</f>
        <v>3000</v>
      </c>
      <c r="G24" s="244">
        <f t="shared" ref="G24:G29" si="5">F24/$D$5</f>
        <v>7.5167749954463459E-2</v>
      </c>
      <c r="H24" s="283">
        <f t="shared" ref="H24:H29" si="6">F24/$F$5</f>
        <v>1.252795832574391E-2</v>
      </c>
      <c r="I24" s="1"/>
    </row>
    <row r="25" spans="2:34" ht="17.25">
      <c r="B25" s="4" t="s">
        <v>5</v>
      </c>
      <c r="C25" s="7" t="s">
        <v>163</v>
      </c>
      <c r="D25" s="10">
        <v>12</v>
      </c>
      <c r="E25" s="9"/>
      <c r="F25" s="261">
        <f>'Operating Inputs'!D16</f>
        <v>1000</v>
      </c>
      <c r="G25" s="244">
        <f t="shared" si="5"/>
        <v>2.505591665148782E-2</v>
      </c>
      <c r="H25" s="283">
        <f t="shared" si="6"/>
        <v>4.1759861085813033E-3</v>
      </c>
      <c r="I25" s="1"/>
      <c r="J25" s="22"/>
      <c r="K25" s="103"/>
    </row>
    <row r="26" spans="2:34" ht="17.25">
      <c r="B26" s="4" t="s">
        <v>198</v>
      </c>
      <c r="C26" s="7" t="s">
        <v>163</v>
      </c>
      <c r="D26" s="10">
        <v>1</v>
      </c>
      <c r="E26" s="9"/>
      <c r="F26" s="261">
        <f>'Operating Inputs'!D17</f>
        <v>45000</v>
      </c>
      <c r="G26" s="244">
        <f t="shared" si="5"/>
        <v>1.1275162493169519</v>
      </c>
      <c r="H26" s="283">
        <f t="shared" si="6"/>
        <v>0.18791937488615865</v>
      </c>
      <c r="I26" s="1"/>
      <c r="J26" s="22"/>
    </row>
    <row r="27" spans="2:34" ht="17.25">
      <c r="B27" s="4" t="s">
        <v>19</v>
      </c>
      <c r="C27" s="7"/>
      <c r="D27" s="10"/>
      <c r="E27" s="11">
        <f>'Operating Inputs'!D13</f>
        <v>7.2499999999999995E-2</v>
      </c>
      <c r="F27" s="261">
        <f>('Capital Inputs'!F39-(SUMPRODUCT('Capital Inputs'!F5:F19,'Capital Inputs'!H5:H19)+SUMPRODUCT('Capital Inputs'!F21:F38,'Capital Inputs'!H21:H38)))/2*E27</f>
        <v>14331.162</v>
      </c>
      <c r="G27" s="244">
        <f t="shared" si="5"/>
        <v>0.35908040059096952</v>
      </c>
      <c r="H27" s="283">
        <f t="shared" si="6"/>
        <v>5.9846733431828253E-2</v>
      </c>
      <c r="I27" s="1"/>
    </row>
    <row r="28" spans="2:34" ht="17.25">
      <c r="B28" s="4" t="s">
        <v>20</v>
      </c>
      <c r="C28" s="7"/>
      <c r="D28" s="6"/>
      <c r="E28" s="9"/>
      <c r="F28" s="263">
        <f>'Capital Inputs'!I39</f>
        <v>28233.637738095244</v>
      </c>
      <c r="G28" s="264">
        <f t="shared" si="5"/>
        <v>0.7074196739340155</v>
      </c>
      <c r="H28" s="290">
        <f t="shared" si="6"/>
        <v>0.11790327898900259</v>
      </c>
      <c r="I28" s="1"/>
      <c r="Y28" s="13"/>
      <c r="Z28" s="13"/>
      <c r="AA28" s="13"/>
      <c r="AB28" s="13"/>
      <c r="AC28" s="13"/>
      <c r="AD28" s="13"/>
      <c r="AE28" s="13"/>
      <c r="AF28" s="13"/>
      <c r="AG28" s="13"/>
      <c r="AH28" s="13"/>
    </row>
    <row r="29" spans="2:34" ht="17.25">
      <c r="B29" s="78" t="s">
        <v>4</v>
      </c>
      <c r="C29" s="78"/>
      <c r="D29" s="78"/>
      <c r="E29" s="78"/>
      <c r="F29" s="262">
        <f>SUM(F24:F28)</f>
        <v>91564.799738095244</v>
      </c>
      <c r="G29" s="241">
        <f t="shared" si="5"/>
        <v>2.2942399904478883</v>
      </c>
      <c r="H29" s="291">
        <f t="shared" si="6"/>
        <v>0.38237333174131471</v>
      </c>
      <c r="I29" s="1"/>
      <c r="P29" s="144"/>
      <c r="Q29" s="144"/>
      <c r="T29" s="132" t="s">
        <v>313</v>
      </c>
      <c r="U29" s="132" t="s">
        <v>360</v>
      </c>
      <c r="V29" s="132" t="s">
        <v>313</v>
      </c>
      <c r="W29" s="132" t="s">
        <v>360</v>
      </c>
      <c r="X29" s="13"/>
      <c r="Y29" s="13"/>
      <c r="Z29" s="13"/>
      <c r="AA29" s="13"/>
      <c r="AB29" s="13"/>
      <c r="AC29" s="13"/>
    </row>
    <row r="30" spans="2:34" ht="17.25">
      <c r="B30" s="4"/>
      <c r="C30" s="7"/>
      <c r="D30" s="5"/>
      <c r="E30" s="5"/>
      <c r="F30" s="261"/>
      <c r="G30" s="244"/>
      <c r="H30" s="8"/>
      <c r="I30" s="1"/>
      <c r="P30" s="91"/>
      <c r="Q30" s="145"/>
      <c r="T30" s="133">
        <f t="shared" ref="T30:T39" si="7">P31</f>
        <v>0</v>
      </c>
      <c r="U30" s="134">
        <f t="shared" ref="U30:U39" si="8">Q31</f>
        <v>0</v>
      </c>
      <c r="V30" s="133">
        <f t="shared" ref="V30:V38" si="9">P41</f>
        <v>0</v>
      </c>
      <c r="W30" s="134">
        <f t="shared" ref="W30:W38" si="10">Q41</f>
        <v>0</v>
      </c>
      <c r="X30" s="13"/>
      <c r="Y30" s="13"/>
      <c r="Z30" s="13"/>
      <c r="AA30" s="13"/>
      <c r="AB30" s="13"/>
      <c r="AC30" s="13"/>
    </row>
    <row r="31" spans="2:34" ht="17.25">
      <c r="B31" s="92" t="s">
        <v>3</v>
      </c>
      <c r="C31" s="93"/>
      <c r="D31" s="93"/>
      <c r="E31" s="93"/>
      <c r="F31" s="265">
        <f>SUM(F29,F21)</f>
        <v>251421.26105867524</v>
      </c>
      <c r="G31" s="266">
        <f>F31/$D$5</f>
        <v>6.2995901614981271</v>
      </c>
      <c r="H31" s="292">
        <f>F31/$F$5</f>
        <v>1.0499316935830212</v>
      </c>
      <c r="I31" s="1"/>
      <c r="P31" s="146"/>
      <c r="Q31" s="145"/>
      <c r="T31" s="133">
        <f t="shared" si="7"/>
        <v>0</v>
      </c>
      <c r="U31" s="134">
        <f t="shared" si="8"/>
        <v>0</v>
      </c>
      <c r="V31" s="133">
        <f t="shared" si="9"/>
        <v>0</v>
      </c>
      <c r="W31" s="134">
        <f t="shared" si="10"/>
        <v>0</v>
      </c>
      <c r="X31" s="13"/>
      <c r="Y31" s="13"/>
      <c r="Z31" s="13"/>
      <c r="AA31" s="13"/>
      <c r="AB31" s="13"/>
      <c r="AC31" s="13"/>
    </row>
    <row r="32" spans="2:34" ht="17.25">
      <c r="B32" s="94" t="s">
        <v>21</v>
      </c>
      <c r="C32" s="95"/>
      <c r="D32" s="95"/>
      <c r="E32" s="95"/>
      <c r="F32" s="268">
        <f>F7-F31</f>
        <v>-23930.082855800196</v>
      </c>
      <c r="G32" s="269">
        <f>F32/$D$5</f>
        <v>-0.59959016149812738</v>
      </c>
      <c r="H32" s="293">
        <f>F32/$F$5</f>
        <v>-9.9931693583021231E-2</v>
      </c>
      <c r="I32" s="3"/>
      <c r="P32" s="146"/>
      <c r="Q32" s="145"/>
      <c r="T32" s="133">
        <f t="shared" si="7"/>
        <v>0</v>
      </c>
      <c r="U32" s="134">
        <f t="shared" si="8"/>
        <v>0</v>
      </c>
      <c r="V32" s="133">
        <f t="shared" si="9"/>
        <v>0</v>
      </c>
      <c r="W32" s="134">
        <f t="shared" si="10"/>
        <v>0</v>
      </c>
      <c r="X32" s="13"/>
      <c r="Y32" s="13"/>
      <c r="Z32" s="13"/>
      <c r="AA32" s="13"/>
      <c r="AB32" s="13"/>
      <c r="AC32" s="13"/>
    </row>
    <row r="33" spans="2:29" ht="17.25">
      <c r="B33" s="68"/>
      <c r="C33" s="68"/>
      <c r="D33" s="68"/>
      <c r="E33" s="68"/>
      <c r="F33" s="14"/>
      <c r="G33" s="14"/>
      <c r="H33" s="14"/>
      <c r="I33" s="19">
        <v>1.3</v>
      </c>
      <c r="P33" s="146"/>
      <c r="Q33" s="145"/>
      <c r="T33" s="133">
        <f t="shared" si="7"/>
        <v>0</v>
      </c>
      <c r="U33" s="134">
        <f t="shared" si="8"/>
        <v>0</v>
      </c>
      <c r="V33" s="133">
        <f t="shared" si="9"/>
        <v>0</v>
      </c>
      <c r="W33" s="134">
        <f t="shared" si="10"/>
        <v>0</v>
      </c>
      <c r="X33" s="13"/>
      <c r="Y33" s="13"/>
      <c r="Z33" s="13"/>
      <c r="AA33" s="13"/>
      <c r="AB33" s="13"/>
      <c r="AC33" s="13"/>
    </row>
    <row r="34" spans="2:29" ht="17.25" customHeight="1">
      <c r="B34" s="95"/>
      <c r="C34" s="272"/>
      <c r="D34" s="272"/>
      <c r="E34" s="272"/>
      <c r="F34" s="95"/>
      <c r="G34" s="298"/>
      <c r="H34" s="298"/>
      <c r="I34" s="20">
        <f>F7*I33</f>
        <v>295738.53166373755</v>
      </c>
      <c r="P34" s="146"/>
      <c r="Q34" s="145"/>
      <c r="T34" s="133">
        <f t="shared" si="7"/>
        <v>0</v>
      </c>
      <c r="U34" s="134">
        <f t="shared" si="8"/>
        <v>0</v>
      </c>
      <c r="V34" s="133">
        <f t="shared" si="9"/>
        <v>0</v>
      </c>
      <c r="W34" s="134">
        <f t="shared" si="10"/>
        <v>0</v>
      </c>
      <c r="X34" s="13"/>
      <c r="Y34" s="13"/>
      <c r="Z34" s="13"/>
      <c r="AA34" s="13"/>
      <c r="AB34" s="13"/>
      <c r="AC34" s="13"/>
    </row>
    <row r="35" spans="2:29" ht="16.5" customHeight="1">
      <c r="B35" s="7"/>
      <c r="C35" s="109" t="s">
        <v>41</v>
      </c>
      <c r="E35" s="68" t="s">
        <v>42</v>
      </c>
      <c r="G35" s="68" t="s">
        <v>296</v>
      </c>
      <c r="H35" s="243" t="str" cm="1">
        <f t="array" aca="1" ref="H35" ca="1">IFERROR(INDEX(_xlfn._xlws.FILTER(B50:B59, F50:F59&gt;0), 1),"Doesn't pay back")</f>
        <v>Doesn't pay back</v>
      </c>
      <c r="I35" s="20">
        <f>(F10+F17)*I33+(F21-F10-F17)</f>
        <v>173457.99972122849</v>
      </c>
      <c r="P35" s="146"/>
      <c r="Q35" s="145"/>
      <c r="T35" s="133">
        <f t="shared" si="7"/>
        <v>0</v>
      </c>
      <c r="U35" s="134">
        <f t="shared" si="8"/>
        <v>0</v>
      </c>
      <c r="V35" s="133">
        <f t="shared" si="9"/>
        <v>0</v>
      </c>
      <c r="W35" s="134">
        <f t="shared" si="10"/>
        <v>0</v>
      </c>
      <c r="X35" s="13"/>
      <c r="Y35" s="13"/>
      <c r="Z35" s="13"/>
      <c r="AA35" s="13"/>
      <c r="AB35" s="13"/>
      <c r="AC35" s="13"/>
    </row>
    <row r="36" spans="2:29" ht="17.25">
      <c r="B36" s="240" t="s">
        <v>31</v>
      </c>
      <c r="C36" s="8">
        <f>F21/D5</f>
        <v>4.0053501710502388</v>
      </c>
      <c r="E36" s="86">
        <f>F21/E5</f>
        <v>26642.743553429998</v>
      </c>
      <c r="G36" s="242" t="s">
        <v>297</v>
      </c>
      <c r="H36" s="245" t="str">
        <f ca="1">IFERROR(IRR(E49:E59),"High loss")</f>
        <v>High loss</v>
      </c>
      <c r="I36" s="20">
        <f>F29</f>
        <v>91564.799738095244</v>
      </c>
      <c r="P36" s="146"/>
      <c r="Q36" s="145"/>
      <c r="T36" s="133">
        <f t="shared" si="7"/>
        <v>0</v>
      </c>
      <c r="U36" s="134">
        <f t="shared" si="8"/>
        <v>0</v>
      </c>
      <c r="V36" s="133">
        <f t="shared" si="9"/>
        <v>0</v>
      </c>
      <c r="W36" s="134">
        <f t="shared" si="10"/>
        <v>0</v>
      </c>
      <c r="X36" s="13"/>
      <c r="Y36" s="13"/>
      <c r="Z36" s="13"/>
      <c r="AA36" s="13"/>
      <c r="AB36" s="13"/>
      <c r="AC36" s="13"/>
    </row>
    <row r="37" spans="2:29" ht="17.25">
      <c r="B37" s="270" t="s">
        <v>32</v>
      </c>
      <c r="C37" s="17">
        <f>F31/D5</f>
        <v>6.2995901614981271</v>
      </c>
      <c r="D37" s="272"/>
      <c r="E37" s="271">
        <f>F31/E5</f>
        <v>41903.543509779207</v>
      </c>
      <c r="F37" s="272"/>
      <c r="G37" s="273" t="str">
        <f>"NPV at " &amp; 100*E27 &amp; " % in 10 years"</f>
        <v>NPV at 7.25 % in 10 years</v>
      </c>
      <c r="H37" s="274">
        <f ca="1">NPV(E27,E49:E59)</f>
        <v>-361818.31899098348</v>
      </c>
      <c r="P37" s="146"/>
      <c r="Q37" s="145"/>
      <c r="T37" s="133">
        <f t="shared" si="7"/>
        <v>0</v>
      </c>
      <c r="U37" s="134">
        <f t="shared" si="8"/>
        <v>0</v>
      </c>
      <c r="V37" s="133">
        <f t="shared" si="9"/>
        <v>0</v>
      </c>
      <c r="W37" s="134">
        <f t="shared" si="10"/>
        <v>0</v>
      </c>
      <c r="X37" s="13"/>
      <c r="Y37" s="13"/>
      <c r="Z37" s="13"/>
      <c r="AA37" s="13"/>
      <c r="AB37" s="13"/>
      <c r="AC37" s="13"/>
    </row>
    <row r="38" spans="2:29" ht="17.25">
      <c r="B38" s="1"/>
      <c r="C38" s="1"/>
      <c r="D38" s="1"/>
      <c r="E38" s="1"/>
      <c r="F38" s="1"/>
      <c r="G38" s="1"/>
      <c r="H38" s="1"/>
      <c r="P38" s="146"/>
      <c r="Q38" s="145"/>
      <c r="T38" s="133">
        <f t="shared" si="7"/>
        <v>0</v>
      </c>
      <c r="U38" s="134">
        <f t="shared" si="8"/>
        <v>0</v>
      </c>
      <c r="V38" s="133">
        <f t="shared" si="9"/>
        <v>0</v>
      </c>
      <c r="W38" s="134">
        <f t="shared" si="10"/>
        <v>0</v>
      </c>
      <c r="X38" s="13"/>
      <c r="Y38" s="13"/>
      <c r="Z38" s="13"/>
      <c r="AA38" s="13"/>
      <c r="AB38" s="13"/>
      <c r="AC38" s="13"/>
    </row>
    <row r="39" spans="2:29" ht="17.25">
      <c r="B39" s="200" t="s">
        <v>438</v>
      </c>
      <c r="C39" s="276"/>
      <c r="D39" s="276"/>
      <c r="E39" s="276"/>
      <c r="F39" s="18"/>
      <c r="G39" s="19">
        <v>1</v>
      </c>
      <c r="H39" s="19">
        <v>1</v>
      </c>
      <c r="P39" s="146"/>
      <c r="Q39" s="145"/>
      <c r="T39" s="133">
        <f t="shared" si="7"/>
        <v>0</v>
      </c>
      <c r="U39" s="134">
        <f t="shared" si="8"/>
        <v>0</v>
      </c>
      <c r="V39" s="133"/>
      <c r="W39" s="133"/>
      <c r="X39" s="13"/>
      <c r="Y39" s="13"/>
      <c r="Z39" s="13"/>
      <c r="AA39" s="13"/>
      <c r="AB39" s="13"/>
      <c r="AC39" s="13"/>
    </row>
    <row r="40" spans="2:29" ht="17.25">
      <c r="B40" s="277"/>
      <c r="C40" s="278">
        <v>-0.3</v>
      </c>
      <c r="D40" s="279" t="s">
        <v>134</v>
      </c>
      <c r="E40" s="278">
        <v>0.3</v>
      </c>
      <c r="F40" s="13" t="s">
        <v>55</v>
      </c>
      <c r="G40" s="20" t="str">
        <f>E9</f>
        <v>Price/unit</v>
      </c>
      <c r="H40" s="20">
        <f>F7</f>
        <v>227491.17820287505</v>
      </c>
      <c r="P40" s="146"/>
      <c r="Q40" s="145"/>
      <c r="T40" s="13"/>
      <c r="U40" s="13"/>
      <c r="V40" s="13"/>
      <c r="W40" s="13"/>
      <c r="X40" s="13"/>
      <c r="Y40" s="13"/>
      <c r="Z40" s="13"/>
      <c r="AA40" s="13"/>
      <c r="AB40" s="13"/>
      <c r="AC40" s="13"/>
    </row>
    <row r="41" spans="2:29">
      <c r="B41" s="307" t="s">
        <v>192</v>
      </c>
      <c r="C41" s="314">
        <f>((1-0.3)*(F7-F10-F17)-F29-(F21-F10-F17))/'Capital Inputs'!$F$39</f>
        <v>-0.17409040005386978</v>
      </c>
      <c r="D41" s="308">
        <f>(H40-H41-H42)/'Capital Inputs'!$F$39</f>
        <v>-5.3018773035738376E-2</v>
      </c>
      <c r="E41" s="308">
        <f>((1+0.3)*(F7-F10-F17)-F29-(F21-F10-F17))/'Capital Inputs'!$F$39</f>
        <v>6.8052853982393136E-2</v>
      </c>
      <c r="F41" s="13" t="s">
        <v>59</v>
      </c>
      <c r="G41" s="20">
        <f>E21</f>
        <v>0</v>
      </c>
      <c r="H41" s="20">
        <f>F21</f>
        <v>159856.46132057998</v>
      </c>
      <c r="P41" s="146"/>
      <c r="Q41" s="145"/>
      <c r="T41" s="13"/>
      <c r="U41" s="13"/>
      <c r="V41" s="13"/>
      <c r="W41" s="13"/>
      <c r="X41" s="13"/>
      <c r="Y41" s="13"/>
      <c r="Z41" s="13"/>
      <c r="AA41" s="13"/>
      <c r="AB41" s="13"/>
      <c r="AC41" s="13"/>
    </row>
    <row r="42" spans="2:29">
      <c r="B42" s="307" t="s">
        <v>193</v>
      </c>
      <c r="C42" s="207">
        <f>((1-0.3)*(F7-F10-F17)-(F21-F10-F17))/(F7*(1-0.3))</f>
        <v>8.156612567629605E-2</v>
      </c>
      <c r="D42" s="207">
        <f>(H40-H41)/H40</f>
        <v>0.29730698753504586</v>
      </c>
      <c r="E42" s="207">
        <f>((1+0.3)*(F7-F10-F17)-(F21-F10-F17))/(F7*(1+0.3))</f>
        <v>0.41347514392052659</v>
      </c>
      <c r="F42" s="13" t="s">
        <v>60</v>
      </c>
      <c r="G42" s="20">
        <f>E29</f>
        <v>0</v>
      </c>
      <c r="H42" s="20">
        <f>F29</f>
        <v>91564.799738095244</v>
      </c>
      <c r="P42" s="146"/>
      <c r="Q42" s="145"/>
    </row>
    <row r="43" spans="2:29">
      <c r="B43" s="307" t="s">
        <v>21</v>
      </c>
      <c r="C43" s="309">
        <f>((1-0.3)*(F7-F10-F17)-F29-(F21-F10-F17))</f>
        <v>-78575.89791601419</v>
      </c>
      <c r="D43" s="309">
        <f t="shared" ref="D43" si="11">H40-H41-H42</f>
        <v>-23930.082855800181</v>
      </c>
      <c r="E43" s="309">
        <f>((1+0.3)*(F7-F10-F17)-F29-(F21-F10-F17))</f>
        <v>30715.732204413871</v>
      </c>
      <c r="F43" s="89"/>
      <c r="P43" s="146"/>
      <c r="Q43" s="145"/>
    </row>
    <row r="44" spans="2:29">
      <c r="B44" s="310" t="s">
        <v>194</v>
      </c>
      <c r="C44" s="311">
        <f>((1-0.3)*(F10+F17)+F29+(F21-F10-F17))/((1-0.3)*D5)</f>
        <v>8.5125587842849537</v>
      </c>
      <c r="D44" s="311">
        <f>(H41+H42)/($D$5*H39)</f>
        <v>6.2995901614981271</v>
      </c>
      <c r="E44" s="311">
        <f>((1+0.3)*(F10+F17)+F29+(F21-F10-F17))/((1+0.3)*D5)</f>
        <v>5.1079916723052206</v>
      </c>
      <c r="P44" s="146"/>
      <c r="Q44" s="145"/>
    </row>
    <row r="45" spans="2:29">
      <c r="B45" s="312" t="s">
        <v>271</v>
      </c>
      <c r="C45" s="313"/>
      <c r="D45" s="313"/>
      <c r="E45" s="313"/>
      <c r="P45" s="146"/>
      <c r="Q45" s="145"/>
    </row>
    <row r="46" spans="2:29" ht="17.25">
      <c r="B46" s="96"/>
      <c r="C46" s="97"/>
      <c r="D46" s="97"/>
      <c r="E46" s="97"/>
      <c r="P46" s="146"/>
      <c r="Q46" s="145"/>
    </row>
    <row r="47" spans="2:29" ht="17.25">
      <c r="B47" s="107" t="str">
        <f>'4- Stocking- Walleye RA'!B48</f>
        <v>Year</v>
      </c>
      <c r="C47" s="107"/>
      <c r="D47" s="107"/>
      <c r="E47" s="107"/>
      <c r="F47" s="107"/>
      <c r="G47" s="107"/>
      <c r="H47" s="96"/>
      <c r="P47" s="146"/>
      <c r="Q47" s="145"/>
    </row>
    <row r="48" spans="2:29" ht="17.25">
      <c r="B48" s="107" t="str">
        <f>'4- Stocking- Walleye RA'!B49</f>
        <v>Year</v>
      </c>
      <c r="C48" s="107" t="str">
        <f>'4- Stocking- Walleye RA'!C49</f>
        <v>Investment</v>
      </c>
      <c r="D48" s="107" t="str">
        <f>'4- Stocking- Walleye RA'!D49</f>
        <v>Revenue - Cash Costs</v>
      </c>
      <c r="E48" s="107" t="str">
        <f>'4- Stocking- Walleye RA'!E49</f>
        <v>Net cash flow</v>
      </c>
      <c r="F48" s="107" t="str">
        <f>'4- Stocking- Walleye RA'!F49</f>
        <v>Cumulated cash flow</v>
      </c>
      <c r="G48" s="107"/>
      <c r="H48" s="96"/>
      <c r="P48" s="146"/>
      <c r="Q48" s="145"/>
    </row>
    <row r="49" spans="2:17" ht="17.25">
      <c r="B49" s="107">
        <f>'4- Stocking- Walleye RA'!B50</f>
        <v>0</v>
      </c>
      <c r="C49" s="107">
        <f>'4- Stocking- Walleye RA'!C50</f>
        <v>451351.125</v>
      </c>
      <c r="D49" s="107">
        <v>0</v>
      </c>
      <c r="E49" s="107">
        <f>D49-C49</f>
        <v>-451351.125</v>
      </c>
      <c r="F49" s="389">
        <f>E49</f>
        <v>-451351.125</v>
      </c>
      <c r="G49" s="107"/>
      <c r="H49" s="96"/>
      <c r="P49" s="146"/>
      <c r="Q49" s="145"/>
    </row>
    <row r="50" spans="2:17" ht="17.25">
      <c r="B50" s="107">
        <f>'4- Stocking- Walleye RA'!B51</f>
        <v>1</v>
      </c>
      <c r="C50" s="107">
        <f ca="1">'2- Food- Trout RAS'!C53</f>
        <v>0</v>
      </c>
      <c r="D50" s="390">
        <f>F7-F21-F24-F25-F26</f>
        <v>18634.716882295063</v>
      </c>
      <c r="E50" s="107">
        <f t="shared" ref="E50:E58" ca="1" si="12">D50-C50</f>
        <v>18634.716882295063</v>
      </c>
      <c r="F50" s="389">
        <f ca="1">F49+E50</f>
        <v>-432716.40811770491</v>
      </c>
      <c r="G50" s="107"/>
      <c r="H50" s="107"/>
      <c r="I50" s="91"/>
      <c r="J50" s="91"/>
    </row>
    <row r="51" spans="2:17" ht="17.25">
      <c r="B51" s="107">
        <f>'4- Stocking- Walleye RA'!B52</f>
        <v>2</v>
      </c>
      <c r="C51" s="107">
        <f ca="1">'2- Food- Trout RAS'!C54</f>
        <v>6150</v>
      </c>
      <c r="D51" s="390">
        <f>D50</f>
        <v>18634.716882295063</v>
      </c>
      <c r="E51" s="107">
        <f t="shared" ca="1" si="12"/>
        <v>12484.716882295063</v>
      </c>
      <c r="F51" s="389">
        <f t="shared" ref="F51:F58" ca="1" si="13">F50+E51</f>
        <v>-420231.69123540982</v>
      </c>
      <c r="G51" s="107"/>
      <c r="H51" s="107"/>
      <c r="I51" s="91"/>
      <c r="J51" s="91"/>
    </row>
    <row r="52" spans="2:17" ht="17.25">
      <c r="B52" s="107">
        <f>'4- Stocking- Walleye RA'!B53</f>
        <v>3</v>
      </c>
      <c r="C52" s="107">
        <f>'2- Food- Trout RAS'!C55</f>
        <v>200</v>
      </c>
      <c r="D52" s="390">
        <f t="shared" ref="D52:D58" si="14">D51</f>
        <v>18634.716882295063</v>
      </c>
      <c r="E52" s="107">
        <f t="shared" si="12"/>
        <v>18434.716882295063</v>
      </c>
      <c r="F52" s="389">
        <f t="shared" ca="1" si="13"/>
        <v>-401796.97435311473</v>
      </c>
      <c r="G52" s="107"/>
      <c r="H52" s="107"/>
      <c r="I52" s="91"/>
      <c r="J52" s="91"/>
    </row>
    <row r="53" spans="2:17" ht="17.25">
      <c r="B53" s="107">
        <f>'4- Stocking- Walleye RA'!B54</f>
        <v>4</v>
      </c>
      <c r="C53" s="107">
        <f ca="1">'2- Food- Trout RAS'!C56</f>
        <v>0</v>
      </c>
      <c r="D53" s="390">
        <f t="shared" si="14"/>
        <v>18634.716882295063</v>
      </c>
      <c r="E53" s="107">
        <f t="shared" ca="1" si="12"/>
        <v>18634.716882295063</v>
      </c>
      <c r="F53" s="389">
        <f t="shared" ca="1" si="13"/>
        <v>-383162.25747081963</v>
      </c>
      <c r="G53" s="107"/>
      <c r="H53" s="107"/>
      <c r="I53" s="91"/>
      <c r="J53" s="91"/>
    </row>
    <row r="54" spans="2:17" ht="17.25">
      <c r="B54" s="107">
        <f>'4- Stocking- Walleye RA'!B55</f>
        <v>5</v>
      </c>
      <c r="C54" s="107">
        <f ca="1">'2- Food- Trout RAS'!C57</f>
        <v>19444.800000000003</v>
      </c>
      <c r="D54" s="390">
        <f t="shared" si="14"/>
        <v>18634.716882295063</v>
      </c>
      <c r="E54" s="107">
        <f t="shared" ca="1" si="12"/>
        <v>-810.08311770494038</v>
      </c>
      <c r="F54" s="389">
        <f t="shared" ca="1" si="13"/>
        <v>-383972.34058852459</v>
      </c>
      <c r="G54" s="107"/>
      <c r="H54" s="107"/>
      <c r="I54" s="91"/>
      <c r="J54" s="91"/>
    </row>
    <row r="55" spans="2:17" ht="17.25">
      <c r="B55" s="107">
        <f>'4- Stocking- Walleye RA'!B56</f>
        <v>6</v>
      </c>
      <c r="C55" s="107">
        <f ca="1">'2- Food- Trout RAS'!C58</f>
        <v>0</v>
      </c>
      <c r="D55" s="390">
        <f t="shared" si="14"/>
        <v>18634.716882295063</v>
      </c>
      <c r="E55" s="107">
        <f t="shared" ca="1" si="12"/>
        <v>18634.716882295063</v>
      </c>
      <c r="F55" s="389">
        <f t="shared" ca="1" si="13"/>
        <v>-365337.6237062295</v>
      </c>
      <c r="G55" s="107"/>
      <c r="H55" s="107"/>
      <c r="I55" s="91"/>
      <c r="J55" s="91"/>
    </row>
    <row r="56" spans="2:17" ht="17.25">
      <c r="B56" s="107">
        <f>'4- Stocking- Walleye RA'!B57</f>
        <v>7</v>
      </c>
      <c r="C56" s="107">
        <f ca="1">'2- Food- Trout RAS'!C59</f>
        <v>990</v>
      </c>
      <c r="D56" s="390">
        <f t="shared" si="14"/>
        <v>18634.716882295063</v>
      </c>
      <c r="E56" s="107">
        <f t="shared" ca="1" si="12"/>
        <v>17644.716882295063</v>
      </c>
      <c r="F56" s="389">
        <f t="shared" ca="1" si="13"/>
        <v>-347692.90682393441</v>
      </c>
      <c r="G56" s="107"/>
      <c r="H56" s="107"/>
      <c r="I56" s="91"/>
      <c r="J56" s="91"/>
    </row>
    <row r="57" spans="2:17" ht="17.25">
      <c r="B57" s="107">
        <f>'4- Stocking- Walleye RA'!B58</f>
        <v>8</v>
      </c>
      <c r="C57" s="107">
        <f ca="1">'2- Food- Trout RAS'!C60</f>
        <v>0</v>
      </c>
      <c r="D57" s="390">
        <f t="shared" si="14"/>
        <v>18634.716882295063</v>
      </c>
      <c r="E57" s="107">
        <f t="shared" ca="1" si="12"/>
        <v>18634.716882295063</v>
      </c>
      <c r="F57" s="389">
        <f t="shared" ca="1" si="13"/>
        <v>-329058.18994163931</v>
      </c>
      <c r="G57" s="107"/>
      <c r="H57" s="107"/>
      <c r="I57" s="91"/>
      <c r="J57" s="91"/>
    </row>
    <row r="58" spans="2:17" ht="17.25">
      <c r="B58" s="107">
        <f>'4- Stocking- Walleye RA'!B59</f>
        <v>9</v>
      </c>
      <c r="C58" s="107">
        <f ca="1">'2- Food- Trout RAS'!C61</f>
        <v>0</v>
      </c>
      <c r="D58" s="390">
        <f t="shared" si="14"/>
        <v>18634.716882295063</v>
      </c>
      <c r="E58" s="107">
        <f t="shared" ca="1" si="12"/>
        <v>18634.716882295063</v>
      </c>
      <c r="F58" s="389">
        <f t="shared" ca="1" si="13"/>
        <v>-310423.47305934422</v>
      </c>
      <c r="G58" s="107"/>
      <c r="H58" s="107"/>
      <c r="I58" s="91"/>
      <c r="J58" s="91"/>
    </row>
    <row r="59" spans="2:17" ht="17.25">
      <c r="B59" s="107">
        <f>'4- Stocking- Walleye RA'!B60</f>
        <v>10</v>
      </c>
      <c r="C59" s="107">
        <f ca="1">'2- Food- Trout RAS'!C62</f>
        <v>93157</v>
      </c>
      <c r="D59" s="390">
        <f t="shared" ref="D59" si="15">D58</f>
        <v>18634.716882295063</v>
      </c>
      <c r="E59" s="107">
        <f t="shared" ref="E59" ca="1" si="16">D59-C59</f>
        <v>-74522.283117704937</v>
      </c>
      <c r="F59" s="389">
        <f t="shared" ref="F59" ca="1" si="17">F58+E59</f>
        <v>-384945.75617704913</v>
      </c>
      <c r="G59" s="107"/>
      <c r="H59" s="107"/>
      <c r="I59" s="91"/>
      <c r="J59" s="91"/>
    </row>
    <row r="60" spans="2:17" ht="17.25">
      <c r="B60" s="91"/>
      <c r="C60" s="107"/>
      <c r="D60" s="390">
        <f>'2- Food- Trout RAS'!D63</f>
        <v>318999.04761904757</v>
      </c>
      <c r="E60" s="390"/>
      <c r="F60" s="389"/>
      <c r="G60" s="91"/>
      <c r="H60" s="91"/>
      <c r="I60" s="91"/>
      <c r="J60" s="91"/>
    </row>
    <row r="61" spans="2:17">
      <c r="B61" s="91"/>
      <c r="C61" s="91"/>
      <c r="D61" s="91"/>
      <c r="E61" s="91"/>
      <c r="F61" s="91"/>
      <c r="G61" s="91"/>
      <c r="H61" s="91"/>
      <c r="I61" s="91"/>
      <c r="J61" s="91"/>
    </row>
    <row r="62" spans="2:17" ht="16.5" customHeight="1">
      <c r="B62" s="13"/>
      <c r="C62" s="13"/>
      <c r="D62" s="13"/>
      <c r="E62" s="13"/>
      <c r="F62" s="13"/>
    </row>
    <row r="63" spans="2:17" ht="16.5" customHeight="1"/>
  </sheetData>
  <mergeCells count="1">
    <mergeCell ref="B2:H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AC0EF-F065-4E2C-B126-6452A2E07C56}">
  <dimension ref="A1:AA69"/>
  <sheetViews>
    <sheetView showGridLines="0" zoomScaleNormal="100" workbookViewId="0">
      <selection activeCell="H42" sqref="H42"/>
    </sheetView>
  </sheetViews>
  <sheetFormatPr defaultColWidth="0" defaultRowHeight="16.5" zeroHeight="1"/>
  <cols>
    <col min="1" max="1" width="2.33203125" style="2" customWidth="1"/>
    <col min="2" max="2" width="33.77734375" style="2" customWidth="1"/>
    <col min="3" max="3" width="16.6640625" style="2" customWidth="1"/>
    <col min="4" max="6" width="11.77734375" style="2" customWidth="1"/>
    <col min="7" max="7" width="11.6640625" style="2" customWidth="1"/>
    <col min="8" max="8" width="8.77734375" style="2" customWidth="1"/>
    <col min="9" max="9" width="3.33203125" style="2" customWidth="1"/>
    <col min="10" max="10" width="34.88671875" style="2" customWidth="1"/>
    <col min="11" max="11" width="11.6640625" style="2" customWidth="1"/>
    <col min="12" max="12" width="8.77734375" style="2" customWidth="1"/>
    <col min="13" max="13" width="3.33203125" style="2" customWidth="1"/>
    <col min="14" max="14" width="8.77734375" style="2" customWidth="1"/>
    <col min="15" max="15" width="18.21875" style="2" customWidth="1"/>
    <col min="16" max="16" width="3.33203125" style="2" customWidth="1"/>
    <col min="17" max="17" width="16.44140625" style="2" hidden="1" customWidth="1"/>
    <col min="18" max="21" width="0" style="2" hidden="1" customWidth="1"/>
    <col min="22" max="27" width="0" hidden="1" customWidth="1"/>
    <col min="28" max="16384" width="11.88671875" hidden="1"/>
  </cols>
  <sheetData>
    <row r="1" spans="2:18" ht="17.25" thickBot="1"/>
    <row r="2" spans="2:18" ht="18.75">
      <c r="B2" s="609" t="s">
        <v>294</v>
      </c>
      <c r="C2" s="610"/>
      <c r="D2" s="610"/>
      <c r="E2" s="610"/>
      <c r="F2" s="610"/>
      <c r="G2" s="610"/>
      <c r="H2" s="611"/>
      <c r="I2" s="1"/>
      <c r="J2" s="337" t="s">
        <v>440</v>
      </c>
      <c r="K2" s="337"/>
      <c r="L2" s="337"/>
      <c r="M2" s="337"/>
      <c r="N2" s="332" t="s">
        <v>432</v>
      </c>
      <c r="O2" s="332" t="s">
        <v>433</v>
      </c>
      <c r="P2" s="138">
        <v>118323</v>
      </c>
    </row>
    <row r="3" spans="2:18" ht="16.5" customHeight="1">
      <c r="B3" s="82"/>
      <c r="C3" s="82"/>
      <c r="D3" s="81"/>
      <c r="E3" s="83"/>
      <c r="F3" s="81"/>
      <c r="G3" s="81"/>
      <c r="H3" s="81"/>
      <c r="I3" s="1"/>
      <c r="J3" s="214" t="s">
        <v>135</v>
      </c>
      <c r="K3" s="214" t="s">
        <v>11</v>
      </c>
      <c r="L3" s="214" t="s">
        <v>45</v>
      </c>
      <c r="M3" s="190"/>
      <c r="N3" s="333" t="s">
        <v>434</v>
      </c>
      <c r="O3" s="333" t="s">
        <v>434</v>
      </c>
    </row>
    <row r="4" spans="2:18" ht="16.5" customHeight="1">
      <c r="B4" s="70" t="s">
        <v>197</v>
      </c>
      <c r="C4" s="70" t="s">
        <v>11</v>
      </c>
      <c r="D4" s="71" t="s">
        <v>13</v>
      </c>
      <c r="E4" s="72" t="s">
        <v>426</v>
      </c>
      <c r="F4" s="71" t="s">
        <v>0</v>
      </c>
      <c r="G4" s="71" t="s">
        <v>245</v>
      </c>
      <c r="H4" s="71" t="s">
        <v>137</v>
      </c>
      <c r="I4" s="1"/>
      <c r="J4" s="338" t="s">
        <v>233</v>
      </c>
      <c r="K4" s="339" t="s">
        <v>232</v>
      </c>
      <c r="L4" s="340">
        <v>7</v>
      </c>
      <c r="M4" s="349"/>
      <c r="N4" s="334"/>
      <c r="O4" s="335">
        <f>G34</f>
        <v>1.5961085513790993</v>
      </c>
    </row>
    <row r="5" spans="2:18" ht="16.5" customHeight="1">
      <c r="B5" s="4" t="s">
        <v>362</v>
      </c>
      <c r="C5" s="7" t="s">
        <v>335</v>
      </c>
      <c r="D5" s="6">
        <f>D14*L12*L13*L15</f>
        <v>76453.107320718002</v>
      </c>
      <c r="E5" s="247">
        <f>L4</f>
        <v>7</v>
      </c>
      <c r="F5" s="248">
        <f>D5*E5</f>
        <v>535171.75124502601</v>
      </c>
      <c r="G5" s="250">
        <f>E5</f>
        <v>7</v>
      </c>
      <c r="H5" s="283">
        <f>F5/$F$5</f>
        <v>1</v>
      </c>
      <c r="I5" s="1"/>
      <c r="J5" s="341" t="s">
        <v>231</v>
      </c>
      <c r="K5" s="339" t="s">
        <v>183</v>
      </c>
      <c r="L5" s="201">
        <v>2.5</v>
      </c>
      <c r="M5" s="349"/>
      <c r="N5" s="335">
        <v>2.5</v>
      </c>
      <c r="O5" s="335">
        <f t="dataTable" ref="O5:O23" dt2D="0" dtr="0" r1="L4"/>
        <v>-2.8109851986209007</v>
      </c>
      <c r="P5" s="33"/>
    </row>
    <row r="6" spans="2:18" ht="15.75" customHeight="1">
      <c r="B6" s="4" t="s">
        <v>220</v>
      </c>
      <c r="C6" s="7" t="s">
        <v>7</v>
      </c>
      <c r="D6" s="6">
        <f>D5/L21*L20</f>
        <v>15290.621464143602</v>
      </c>
      <c r="E6" s="247">
        <f>'Operating Inputs'!D10</f>
        <v>1.5</v>
      </c>
      <c r="F6" s="252">
        <f t="shared" ref="F6" si="0">D6*E6</f>
        <v>22935.932196215403</v>
      </c>
      <c r="G6" s="253">
        <f>F6/D5</f>
        <v>0.30000000000000004</v>
      </c>
      <c r="H6" s="290">
        <f>F6/$F$5</f>
        <v>4.2857142857142864E-2</v>
      </c>
      <c r="I6" s="1"/>
      <c r="J6" s="341" t="s">
        <v>340</v>
      </c>
      <c r="K6" s="339" t="s">
        <v>182</v>
      </c>
      <c r="L6" s="204">
        <v>3346.5736363636361</v>
      </c>
      <c r="M6" s="350"/>
      <c r="N6" s="335">
        <v>3</v>
      </c>
      <c r="O6" s="335">
        <v>-2.3213081152875676</v>
      </c>
      <c r="P6" s="69"/>
    </row>
    <row r="7" spans="2:18" ht="17.25">
      <c r="B7" s="288" t="s">
        <v>197</v>
      </c>
      <c r="C7" s="7"/>
      <c r="D7" s="6"/>
      <c r="F7" s="249">
        <f>F5-F6</f>
        <v>512235.81904881063</v>
      </c>
      <c r="G7" s="251">
        <f>G5-G6</f>
        <v>6.7</v>
      </c>
      <c r="H7" s="291">
        <f>F7/$F$5</f>
        <v>0.95714285714285718</v>
      </c>
      <c r="I7" s="1"/>
      <c r="J7" s="341" t="s">
        <v>341</v>
      </c>
      <c r="K7" s="339" t="s">
        <v>182</v>
      </c>
      <c r="L7" s="204">
        <v>2050.2209090909091</v>
      </c>
      <c r="M7" s="350"/>
      <c r="N7" s="335">
        <v>3.5</v>
      </c>
      <c r="O7" s="335">
        <v>-1.8316310319542337</v>
      </c>
      <c r="P7" s="87"/>
      <c r="Q7" s="87"/>
    </row>
    <row r="8" spans="2:18" ht="17.25">
      <c r="B8" s="238"/>
      <c r="C8" s="7"/>
      <c r="D8" s="6"/>
      <c r="E8" s="73"/>
      <c r="F8" s="14"/>
      <c r="G8" s="15"/>
      <c r="H8" s="239"/>
      <c r="I8" s="1"/>
      <c r="J8" s="307" t="s">
        <v>356</v>
      </c>
      <c r="K8" s="339" t="s">
        <v>182</v>
      </c>
      <c r="L8" s="201">
        <v>150</v>
      </c>
      <c r="M8" s="349"/>
      <c r="N8" s="335">
        <v>4</v>
      </c>
      <c r="O8" s="335">
        <v>-1.3419539486209002</v>
      </c>
      <c r="P8" s="87"/>
    </row>
    <row r="9" spans="2:18" ht="17.25">
      <c r="B9" s="246" t="s">
        <v>10</v>
      </c>
      <c r="C9" s="70" t="s">
        <v>11</v>
      </c>
      <c r="D9" s="71" t="s">
        <v>13</v>
      </c>
      <c r="E9" s="72" t="s">
        <v>426</v>
      </c>
      <c r="F9" s="71" t="s">
        <v>0</v>
      </c>
      <c r="G9" s="71" t="s">
        <v>245</v>
      </c>
      <c r="H9" s="71" t="s">
        <v>137</v>
      </c>
      <c r="I9" s="1"/>
      <c r="J9" s="190" t="s">
        <v>282</v>
      </c>
      <c r="K9" s="339" t="s">
        <v>186</v>
      </c>
      <c r="L9" s="191">
        <v>1.1000000000000001</v>
      </c>
      <c r="M9" s="343"/>
      <c r="N9" s="335">
        <v>4.5</v>
      </c>
      <c r="O9" s="335">
        <v>-0.85227686528756719</v>
      </c>
      <c r="P9" s="87"/>
      <c r="R9" s="87"/>
    </row>
    <row r="10" spans="2:18" ht="17.25">
      <c r="B10" s="4" t="s">
        <v>14</v>
      </c>
      <c r="C10" s="7" t="s">
        <v>190</v>
      </c>
      <c r="I10" s="1"/>
      <c r="J10" s="190" t="s">
        <v>337</v>
      </c>
      <c r="K10" s="339" t="s">
        <v>186</v>
      </c>
      <c r="L10" s="191">
        <v>1.36</v>
      </c>
      <c r="M10" s="343"/>
      <c r="N10" s="335">
        <v>5</v>
      </c>
      <c r="O10" s="335">
        <v>-0.36259978195423398</v>
      </c>
      <c r="P10" s="87"/>
      <c r="R10" s="87"/>
    </row>
    <row r="11" spans="2:18" ht="17.25">
      <c r="B11" s="128" t="s">
        <v>274</v>
      </c>
      <c r="C11" s="7" t="s">
        <v>190</v>
      </c>
      <c r="D11" s="101">
        <f>(D5)/L15/(L12*L13)*L9/2000*L14</f>
        <v>0.34618207474999557</v>
      </c>
      <c r="E11" s="287">
        <f>L6</f>
        <v>3346.5736363636361</v>
      </c>
      <c r="F11" s="248">
        <f>D11*E11</f>
        <v>1158.5238047400007</v>
      </c>
      <c r="G11" s="250">
        <f t="shared" ref="G11:G23" si="1">F11/$D$5</f>
        <v>1.5153390690584172E-2</v>
      </c>
      <c r="H11" s="283">
        <f t="shared" ref="H11:H23" si="2">F11/$F$5</f>
        <v>2.1647700986548815E-3</v>
      </c>
      <c r="I11" s="1"/>
      <c r="J11" s="341" t="s">
        <v>336</v>
      </c>
      <c r="K11" s="339" t="s">
        <v>342</v>
      </c>
      <c r="L11" s="191">
        <v>200</v>
      </c>
      <c r="M11" s="343"/>
      <c r="N11" s="335">
        <v>5.5</v>
      </c>
      <c r="O11" s="335">
        <v>0.12707730137909987</v>
      </c>
    </row>
    <row r="12" spans="2:18" ht="17.25">
      <c r="B12" s="128" t="s">
        <v>278</v>
      </c>
      <c r="C12" s="7" t="s">
        <v>190</v>
      </c>
      <c r="D12" s="101">
        <f>D14*L12*AVERAGE(1,L13)*L15*L10/2204.6</f>
        <v>49.783490408120223</v>
      </c>
      <c r="E12" s="287">
        <f>L7</f>
        <v>2050.2209090909091</v>
      </c>
      <c r="F12" s="248">
        <f>D12*E12</f>
        <v>102067.1529622548</v>
      </c>
      <c r="G12" s="250">
        <f t="shared" si="1"/>
        <v>1.3350294911374472</v>
      </c>
      <c r="H12" s="283">
        <f t="shared" si="2"/>
        <v>0.19071849873392105</v>
      </c>
      <c r="I12" s="1"/>
      <c r="J12" s="190" t="s">
        <v>280</v>
      </c>
      <c r="K12" s="339" t="s">
        <v>156</v>
      </c>
      <c r="L12" s="194">
        <v>0.9</v>
      </c>
      <c r="M12" s="216"/>
      <c r="N12" s="335">
        <v>6</v>
      </c>
      <c r="O12" s="335">
        <v>0.61675438471243305</v>
      </c>
      <c r="P12" s="87"/>
    </row>
    <row r="13" spans="2:18" ht="17.25">
      <c r="B13" s="128" t="s">
        <v>277</v>
      </c>
      <c r="C13" s="7" t="s">
        <v>190</v>
      </c>
      <c r="D13" s="101">
        <f>SUM(D11:D12)</f>
        <v>50.12967248287022</v>
      </c>
      <c r="E13" s="287">
        <f>L8</f>
        <v>150</v>
      </c>
      <c r="F13" s="248">
        <f>D13*E13</f>
        <v>7519.4508724305333</v>
      </c>
      <c r="G13" s="250">
        <f t="shared" si="1"/>
        <v>9.8353763973081057E-2</v>
      </c>
      <c r="H13" s="283">
        <f t="shared" si="2"/>
        <v>1.405053771044015E-2</v>
      </c>
      <c r="I13" s="1"/>
      <c r="J13" s="190" t="s">
        <v>279</v>
      </c>
      <c r="K13" s="339" t="s">
        <v>156</v>
      </c>
      <c r="L13" s="194">
        <v>0.9</v>
      </c>
      <c r="M13" s="216"/>
      <c r="N13" s="335">
        <v>6.5</v>
      </c>
      <c r="O13" s="335">
        <v>1.1064314680457661</v>
      </c>
      <c r="P13" s="87"/>
    </row>
    <row r="14" spans="2:18" ht="17.25">
      <c r="B14" s="4" t="s">
        <v>9</v>
      </c>
      <c r="C14" s="7" t="s">
        <v>191</v>
      </c>
      <c r="D14" s="102">
        <f>L11*('Capital Inputs'!L15+Grow_out_capacity)/1000*L22</f>
        <v>28550.076300000001</v>
      </c>
      <c r="E14" s="286">
        <f>L5</f>
        <v>2.5</v>
      </c>
      <c r="F14" s="248">
        <f>D14*E14</f>
        <v>71375.190750000009</v>
      </c>
      <c r="G14" s="250">
        <f t="shared" si="1"/>
        <v>0.93358129252462796</v>
      </c>
      <c r="H14" s="283">
        <f t="shared" si="2"/>
        <v>0.13336875607494686</v>
      </c>
      <c r="I14" s="1"/>
      <c r="J14" s="190" t="s">
        <v>270</v>
      </c>
      <c r="K14" s="339" t="s">
        <v>184</v>
      </c>
      <c r="L14" s="342">
        <v>2.2046244201837775E-2</v>
      </c>
      <c r="M14" s="351"/>
      <c r="N14" s="335">
        <v>7</v>
      </c>
      <c r="O14" s="335">
        <v>1.5961085513790993</v>
      </c>
    </row>
    <row r="15" spans="2:18" ht="17.25">
      <c r="B15" s="4" t="s">
        <v>205</v>
      </c>
      <c r="C15" s="7"/>
      <c r="D15" s="12"/>
      <c r="E15" s="286"/>
      <c r="F15" s="248">
        <f>L18*'Operating Inputs'!D5</f>
        <v>56940</v>
      </c>
      <c r="G15" s="250">
        <f t="shared" si="1"/>
        <v>0.74477025192892121</v>
      </c>
      <c r="H15" s="283">
        <f t="shared" si="2"/>
        <v>0.10639575027556018</v>
      </c>
      <c r="I15" s="1"/>
      <c r="J15" s="341" t="s">
        <v>230</v>
      </c>
      <c r="K15" s="339" t="s">
        <v>184</v>
      </c>
      <c r="L15" s="191">
        <v>3.306</v>
      </c>
      <c r="M15" s="343"/>
      <c r="N15" s="335">
        <v>7.5</v>
      </c>
      <c r="O15" s="335">
        <v>2.0857856347124333</v>
      </c>
      <c r="P15" s="87"/>
    </row>
    <row r="16" spans="2:18" ht="16.5" customHeight="1">
      <c r="B16" s="4" t="s">
        <v>115</v>
      </c>
      <c r="C16" s="7"/>
      <c r="D16" s="6"/>
      <c r="E16" s="286"/>
      <c r="F16" s="248">
        <f>'Trout Utilities'!G17+'Trout Utilities'!O3</f>
        <v>14192.368703886877</v>
      </c>
      <c r="G16" s="250">
        <f t="shared" si="1"/>
        <v>0.18563494933371913</v>
      </c>
      <c r="H16" s="283">
        <f t="shared" si="2"/>
        <v>2.6519278476245592E-2</v>
      </c>
      <c r="I16" s="1"/>
      <c r="J16" s="341" t="s">
        <v>252</v>
      </c>
      <c r="K16" s="339" t="s">
        <v>189</v>
      </c>
      <c r="L16" s="343">
        <f>L11*L12*L13/1000*L15</f>
        <v>0.53557200000000005</v>
      </c>
      <c r="M16" s="343"/>
      <c r="N16" s="335">
        <v>8</v>
      </c>
      <c r="O16" s="335">
        <v>2.5754627180457663</v>
      </c>
      <c r="P16" s="87"/>
    </row>
    <row r="17" spans="2:27" ht="17.25">
      <c r="B17" s="4" t="s">
        <v>51</v>
      </c>
      <c r="C17" s="7"/>
      <c r="D17" s="6"/>
      <c r="E17" s="286"/>
      <c r="F17" s="248">
        <f>'Operating Inputs'!D7*12</f>
        <v>8400</v>
      </c>
      <c r="G17" s="250">
        <f t="shared" si="1"/>
        <v>0.10987127004220124</v>
      </c>
      <c r="H17" s="283">
        <f t="shared" si="2"/>
        <v>1.5695895720314462E-2</v>
      </c>
      <c r="I17" s="1"/>
      <c r="J17" s="341" t="s">
        <v>136</v>
      </c>
      <c r="K17" s="339" t="s">
        <v>137</v>
      </c>
      <c r="L17" s="194">
        <v>0.02</v>
      </c>
      <c r="M17" s="216"/>
      <c r="N17" s="335">
        <v>8.5</v>
      </c>
      <c r="O17" s="335">
        <v>3.0651398013790994</v>
      </c>
      <c r="P17" s="104"/>
    </row>
    <row r="18" spans="2:27" ht="17.25">
      <c r="B18" s="4" t="s">
        <v>8</v>
      </c>
      <c r="C18" s="7"/>
      <c r="D18" s="6"/>
      <c r="E18" s="286"/>
      <c r="F18" s="248">
        <f>'Operating Inputs'!D8</f>
        <v>14414</v>
      </c>
      <c r="G18" s="250">
        <f t="shared" si="1"/>
        <v>0.18853386742717723</v>
      </c>
      <c r="H18" s="283">
        <f t="shared" si="2"/>
        <v>2.693340963245389E-2</v>
      </c>
      <c r="I18" s="1"/>
      <c r="J18" s="190" t="s">
        <v>205</v>
      </c>
      <c r="K18" s="339" t="s">
        <v>327</v>
      </c>
      <c r="L18" s="192">
        <v>2920</v>
      </c>
      <c r="M18" s="352"/>
      <c r="N18" s="335">
        <v>9</v>
      </c>
      <c r="O18" s="335">
        <v>3.5548168847124324</v>
      </c>
      <c r="P18" s="87"/>
    </row>
    <row r="19" spans="2:27" ht="17.25">
      <c r="B19" s="4" t="s">
        <v>54</v>
      </c>
      <c r="C19" s="7"/>
      <c r="D19" s="6"/>
      <c r="E19" s="286"/>
      <c r="F19" s="248">
        <f>F5*'2- Food- Trout RAS'!L17</f>
        <v>10703.43502490052</v>
      </c>
      <c r="G19" s="250">
        <f t="shared" si="1"/>
        <v>0.13999999999999999</v>
      </c>
      <c r="H19" s="283">
        <f t="shared" si="2"/>
        <v>0.02</v>
      </c>
      <c r="I19" s="1"/>
      <c r="J19" s="190" t="s">
        <v>227</v>
      </c>
      <c r="K19" s="339"/>
      <c r="L19" s="344">
        <v>10</v>
      </c>
      <c r="M19" s="353"/>
      <c r="N19" s="335">
        <v>9.5</v>
      </c>
      <c r="O19" s="335">
        <v>4.0444939680457663</v>
      </c>
      <c r="P19" s="124"/>
      <c r="Q19" s="87"/>
    </row>
    <row r="20" spans="2:27" ht="17.25">
      <c r="B20" s="4" t="s">
        <v>141</v>
      </c>
      <c r="C20" s="7"/>
      <c r="D20" s="6"/>
      <c r="E20" s="286"/>
      <c r="F20" s="248">
        <f>'Operating Inputs'!D9</f>
        <v>3000</v>
      </c>
      <c r="G20" s="250">
        <f t="shared" si="1"/>
        <v>3.9239739300786156E-2</v>
      </c>
      <c r="H20" s="283">
        <f t="shared" si="2"/>
        <v>5.6056770429694508E-3</v>
      </c>
      <c r="I20" s="1"/>
      <c r="J20" s="345" t="s">
        <v>188</v>
      </c>
      <c r="K20" s="339" t="s">
        <v>187</v>
      </c>
      <c r="L20" s="346">
        <v>400</v>
      </c>
      <c r="M20" s="354"/>
      <c r="N20" s="335">
        <v>10</v>
      </c>
      <c r="O20" s="335">
        <v>4.5341710513790998</v>
      </c>
      <c r="P20" s="87"/>
    </row>
    <row r="21" spans="2:27" ht="17.25">
      <c r="B21" s="4" t="s">
        <v>22</v>
      </c>
      <c r="C21" s="7"/>
      <c r="D21" s="6"/>
      <c r="E21" s="286"/>
      <c r="F21" s="493">
        <v>0</v>
      </c>
      <c r="G21" s="250">
        <f t="shared" si="1"/>
        <v>0</v>
      </c>
      <c r="H21" s="283">
        <f t="shared" si="2"/>
        <v>0</v>
      </c>
      <c r="I21" s="1"/>
      <c r="J21" s="345" t="s">
        <v>200</v>
      </c>
      <c r="K21" s="339" t="s">
        <v>392</v>
      </c>
      <c r="L21" s="346">
        <v>2000</v>
      </c>
      <c r="M21" s="354"/>
      <c r="N21" s="335">
        <v>10.5</v>
      </c>
      <c r="O21" s="335">
        <v>5.0238481347124333</v>
      </c>
    </row>
    <row r="22" spans="2:27" ht="17.25" customHeight="1">
      <c r="B22" s="4" t="s">
        <v>17</v>
      </c>
      <c r="C22" s="7" t="s">
        <v>138</v>
      </c>
      <c r="D22" s="6"/>
      <c r="E22" s="88">
        <f>'Operating Inputs'!D11</f>
        <v>7.7499999999999999E-2</v>
      </c>
      <c r="F22" s="252">
        <f>SUM(F11:F20)*(1-'Operating Inputs'!D12)*E22/L22</f>
        <v>9357.1601934006212</v>
      </c>
      <c r="G22" s="253">
        <f t="shared" si="1"/>
        <v>0.12239084219491138</v>
      </c>
      <c r="H22" s="290">
        <f t="shared" si="2"/>
        <v>1.7484406027844485E-2</v>
      </c>
      <c r="I22" s="1"/>
      <c r="J22" s="217" t="s">
        <v>57</v>
      </c>
      <c r="K22" s="347" t="s">
        <v>58</v>
      </c>
      <c r="L22" s="348">
        <f>(12/L19)</f>
        <v>1.2</v>
      </c>
      <c r="M22" s="343"/>
      <c r="N22" s="335">
        <v>11</v>
      </c>
      <c r="O22" s="335">
        <v>5.5135252180457659</v>
      </c>
      <c r="P22" s="87"/>
    </row>
    <row r="23" spans="2:27" ht="17.25">
      <c r="B23" s="68" t="s">
        <v>16</v>
      </c>
      <c r="C23" s="284"/>
      <c r="D23" s="284"/>
      <c r="E23" s="284"/>
      <c r="F23" s="300">
        <f>SUM(F11:F22)</f>
        <v>299127.28231161338</v>
      </c>
      <c r="G23" s="251">
        <f t="shared" si="1"/>
        <v>3.912558858553457</v>
      </c>
      <c r="H23" s="239">
        <f t="shared" si="2"/>
        <v>0.558936979793351</v>
      </c>
      <c r="I23" s="1"/>
      <c r="N23" s="336">
        <v>11.5</v>
      </c>
      <c r="O23" s="336">
        <v>6.0032023013790994</v>
      </c>
    </row>
    <row r="24" spans="2:27" ht="17.25" customHeight="1">
      <c r="B24" s="78"/>
      <c r="C24" s="78"/>
      <c r="D24" s="78"/>
      <c r="E24" s="78"/>
      <c r="F24" s="76"/>
      <c r="G24" s="15"/>
      <c r="H24" s="239"/>
      <c r="I24" s="1"/>
    </row>
    <row r="25" spans="2:27" ht="17.25">
      <c r="B25" s="246" t="s">
        <v>18</v>
      </c>
      <c r="C25" s="70" t="s">
        <v>11</v>
      </c>
      <c r="D25" s="71" t="s">
        <v>13</v>
      </c>
      <c r="E25" s="72" t="s">
        <v>426</v>
      </c>
      <c r="F25" s="71" t="s">
        <v>0</v>
      </c>
      <c r="G25" s="71" t="s">
        <v>245</v>
      </c>
      <c r="H25" s="71" t="s">
        <v>137</v>
      </c>
      <c r="I25" s="1"/>
      <c r="P25" s="87"/>
    </row>
    <row r="26" spans="2:27" ht="17.25">
      <c r="B26" s="4" t="s">
        <v>6</v>
      </c>
      <c r="C26" s="7" t="s">
        <v>163</v>
      </c>
      <c r="D26" s="10">
        <v>12</v>
      </c>
      <c r="E26" s="9"/>
      <c r="F26" s="248">
        <f>'Operating Inputs'!D15</f>
        <v>3000</v>
      </c>
      <c r="G26" s="250">
        <f t="shared" ref="G26:G31" si="3">F26/$D$5</f>
        <v>3.9239739300786156E-2</v>
      </c>
      <c r="H26" s="16">
        <f t="shared" ref="H26:H31" si="4">F26/$F$5</f>
        <v>5.6056770429694508E-3</v>
      </c>
      <c r="I26" s="1"/>
    </row>
    <row r="27" spans="2:27" ht="17.25">
      <c r="B27" s="4" t="s">
        <v>5</v>
      </c>
      <c r="C27" s="7" t="s">
        <v>163</v>
      </c>
      <c r="D27" s="10">
        <v>12</v>
      </c>
      <c r="E27" s="9"/>
      <c r="F27" s="248">
        <f>'Operating Inputs'!D16</f>
        <v>1000</v>
      </c>
      <c r="G27" s="250">
        <f t="shared" si="3"/>
        <v>1.3079913100262052E-2</v>
      </c>
      <c r="H27" s="16">
        <f t="shared" si="4"/>
        <v>1.8685590143231504E-3</v>
      </c>
      <c r="I27" s="1"/>
      <c r="J27" s="75"/>
    </row>
    <row r="28" spans="2:27" ht="17.25">
      <c r="B28" s="4" t="s">
        <v>198</v>
      </c>
      <c r="C28" s="7" t="s">
        <v>163</v>
      </c>
      <c r="D28" s="10">
        <v>1</v>
      </c>
      <c r="E28" s="9"/>
      <c r="F28" s="248">
        <f>'Operating Inputs'!D17</f>
        <v>45000</v>
      </c>
      <c r="G28" s="250">
        <f t="shared" si="3"/>
        <v>0.58859608951179232</v>
      </c>
      <c r="H28" s="16">
        <f t="shared" si="4"/>
        <v>8.4085155644541762E-2</v>
      </c>
      <c r="I28" s="1"/>
    </row>
    <row r="29" spans="2:27" ht="17.25">
      <c r="B29" s="4" t="s">
        <v>19</v>
      </c>
      <c r="C29" s="7"/>
      <c r="D29" s="10"/>
      <c r="E29" s="11">
        <f>'Operating Inputs'!D13</f>
        <v>7.2499999999999995E-2</v>
      </c>
      <c r="F29" s="248">
        <f>('Capital Inputs'!F39-(SUMPRODUCT('Capital Inputs'!F5:F16,'Capital Inputs'!H5:H16)+SUMPRODUCT('Capital Inputs'!F21:F38,'Capital Inputs'!H21:H38)))/2*E29</f>
        <v>14349.870625</v>
      </c>
      <c r="G29" s="250">
        <f t="shared" si="3"/>
        <v>0.18769506077500309</v>
      </c>
      <c r="H29" s="16">
        <f t="shared" si="4"/>
        <v>2.6813580110714729E-2</v>
      </c>
      <c r="I29" s="1"/>
      <c r="L29" s="139">
        <v>0.81</v>
      </c>
      <c r="M29" s="139"/>
      <c r="N29" s="139"/>
      <c r="O29" s="139"/>
      <c r="U29" s="13"/>
      <c r="V29" s="138"/>
      <c r="W29" s="138"/>
      <c r="X29" s="138"/>
      <c r="Y29" s="138"/>
      <c r="Z29" s="138"/>
      <c r="AA29" s="138"/>
    </row>
    <row r="30" spans="2:27" ht="17.25">
      <c r="B30" s="4" t="s">
        <v>20</v>
      </c>
      <c r="C30" s="7"/>
      <c r="D30" s="6"/>
      <c r="E30" s="9"/>
      <c r="F30" s="252">
        <f>'Capital Inputs'!I40</f>
        <v>27731.20773809524</v>
      </c>
      <c r="G30" s="253">
        <f t="shared" si="3"/>
        <v>0.36272178737960031</v>
      </c>
      <c r="H30" s="254">
        <f t="shared" si="4"/>
        <v>5.1817398197085758E-2</v>
      </c>
      <c r="I30" s="1"/>
      <c r="U30" s="13"/>
      <c r="V30" s="138"/>
      <c r="W30" s="138"/>
      <c r="X30" s="138"/>
      <c r="Y30" s="138"/>
      <c r="Z30" s="138"/>
      <c r="AA30" s="138"/>
    </row>
    <row r="31" spans="2:27" ht="17.25">
      <c r="B31" s="78" t="s">
        <v>4</v>
      </c>
      <c r="C31" s="289"/>
      <c r="D31" s="289"/>
      <c r="E31" s="289"/>
      <c r="F31" s="300">
        <f>SUM(F26:F30)</f>
        <v>91081.078363095236</v>
      </c>
      <c r="G31" s="251">
        <f t="shared" si="3"/>
        <v>1.1913325900674439</v>
      </c>
      <c r="H31" s="239">
        <f t="shared" si="4"/>
        <v>0.17019037000963486</v>
      </c>
      <c r="I31" s="1"/>
      <c r="U31" s="13"/>
      <c r="V31" s="138"/>
      <c r="W31" s="138"/>
      <c r="X31" s="138"/>
      <c r="Y31" s="138"/>
      <c r="Z31" s="138"/>
      <c r="AA31" s="138"/>
    </row>
    <row r="32" spans="2:27" ht="17.25">
      <c r="B32" s="4"/>
      <c r="C32" s="7"/>
      <c r="D32" s="5"/>
      <c r="E32" s="5"/>
      <c r="F32" s="248"/>
      <c r="G32" s="250"/>
      <c r="H32" s="8"/>
      <c r="I32" s="1"/>
      <c r="P32" s="144"/>
      <c r="Q32" s="144"/>
      <c r="R32" s="13"/>
      <c r="S32" s="132" t="s">
        <v>313</v>
      </c>
      <c r="T32" s="132" t="s">
        <v>360</v>
      </c>
      <c r="U32" s="132" t="s">
        <v>313</v>
      </c>
      <c r="V32" s="132" t="s">
        <v>360</v>
      </c>
      <c r="W32" s="138"/>
      <c r="X32" s="138"/>
    </row>
    <row r="33" spans="2:24" ht="17.25">
      <c r="B33" s="296" t="s">
        <v>3</v>
      </c>
      <c r="C33" s="296"/>
      <c r="D33" s="296"/>
      <c r="E33" s="296"/>
      <c r="F33" s="301">
        <f>SUM(F31,F23)</f>
        <v>390208.36067470862</v>
      </c>
      <c r="G33" s="303">
        <f>F33/$D$5</f>
        <v>5.1038914486209013</v>
      </c>
      <c r="H33" s="267">
        <f>F33/$F$5</f>
        <v>0.72912734980298588</v>
      </c>
      <c r="I33" s="1"/>
      <c r="P33" s="91"/>
      <c r="Q33" s="145"/>
      <c r="R33" s="13"/>
      <c r="S33" s="133">
        <f>P34</f>
        <v>0</v>
      </c>
      <c r="T33" s="134">
        <f>Q34</f>
        <v>0</v>
      </c>
      <c r="U33" s="133">
        <f>P44</f>
        <v>0</v>
      </c>
      <c r="V33" s="134">
        <f>Q44</f>
        <v>0</v>
      </c>
      <c r="W33" s="138"/>
      <c r="X33" s="138"/>
    </row>
    <row r="34" spans="2:24" ht="17.25">
      <c r="B34" s="297" t="s">
        <v>21</v>
      </c>
      <c r="C34" s="297"/>
      <c r="D34" s="297"/>
      <c r="E34" s="297"/>
      <c r="F34" s="302">
        <f>F7-F33</f>
        <v>122027.45837410202</v>
      </c>
      <c r="G34" s="304">
        <f>F34/$D$5</f>
        <v>1.5961085513790993</v>
      </c>
      <c r="H34" s="299">
        <f>F34/$F$5</f>
        <v>0.22801550733987133</v>
      </c>
      <c r="I34" s="1"/>
      <c r="P34" s="146"/>
      <c r="Q34" s="145"/>
      <c r="R34" s="13"/>
      <c r="S34" s="133">
        <f t="shared" ref="S34:T42" si="5">P35</f>
        <v>0</v>
      </c>
      <c r="T34" s="134">
        <f t="shared" si="5"/>
        <v>0</v>
      </c>
      <c r="U34" s="133">
        <f t="shared" ref="U34:V41" si="6">P45</f>
        <v>0</v>
      </c>
      <c r="V34" s="134">
        <f t="shared" si="6"/>
        <v>0</v>
      </c>
      <c r="W34" s="138"/>
      <c r="X34" s="138"/>
    </row>
    <row r="35" spans="2:24" ht="17.25">
      <c r="B35" s="71"/>
      <c r="C35" s="71"/>
      <c r="D35" s="71"/>
      <c r="E35" s="71"/>
      <c r="F35" s="452"/>
      <c r="G35" s="453"/>
      <c r="H35" s="454"/>
      <c r="I35" s="1"/>
      <c r="P35" s="146"/>
      <c r="Q35" s="145"/>
      <c r="R35" s="13"/>
      <c r="S35" s="133">
        <f t="shared" si="5"/>
        <v>0</v>
      </c>
      <c r="T35" s="134">
        <f t="shared" si="5"/>
        <v>0</v>
      </c>
      <c r="U35" s="133">
        <f t="shared" si="6"/>
        <v>0</v>
      </c>
      <c r="V35" s="134">
        <f t="shared" si="6"/>
        <v>0</v>
      </c>
      <c r="W35" s="138"/>
      <c r="X35" s="138"/>
    </row>
    <row r="36" spans="2:24" ht="17.25">
      <c r="B36" s="7"/>
      <c r="C36" s="284" t="s">
        <v>41</v>
      </c>
      <c r="E36" s="68" t="s">
        <v>42</v>
      </c>
      <c r="G36" s="68" t="s">
        <v>296</v>
      </c>
      <c r="H36" s="243" cm="1">
        <f t="array" aca="1" ref="H36" ca="1">IFERROR(INDEX(_xlfn._xlws.FILTER(B53:B62, F53:F62&gt;0), 1),"Doesn't pay back")</f>
        <v>3</v>
      </c>
      <c r="I36" s="1"/>
      <c r="P36" s="146"/>
      <c r="Q36" s="145"/>
      <c r="R36" s="13"/>
      <c r="S36" s="133">
        <f t="shared" si="5"/>
        <v>0</v>
      </c>
      <c r="T36" s="134">
        <f t="shared" si="5"/>
        <v>0</v>
      </c>
      <c r="U36" s="133">
        <f t="shared" si="6"/>
        <v>0</v>
      </c>
      <c r="V36" s="134">
        <f t="shared" si="6"/>
        <v>0</v>
      </c>
      <c r="W36" s="138"/>
      <c r="X36" s="138"/>
    </row>
    <row r="37" spans="2:24" ht="17.25">
      <c r="B37" s="240" t="s">
        <v>31</v>
      </c>
      <c r="C37" s="305">
        <f>F23/D5</f>
        <v>3.912558858553457</v>
      </c>
      <c r="E37" s="282">
        <f>F23/E5</f>
        <v>42732.468901659056</v>
      </c>
      <c r="G37" s="285" t="s">
        <v>297</v>
      </c>
      <c r="H37" s="315">
        <f ca="1">IFERROR(IRR(E52:E62),"High loss")</f>
        <v>0.34788380424516285</v>
      </c>
      <c r="I37" s="1"/>
      <c r="P37" s="146"/>
      <c r="Q37" s="145"/>
      <c r="R37" s="13"/>
      <c r="S37" s="133">
        <f t="shared" si="5"/>
        <v>0</v>
      </c>
      <c r="T37" s="134">
        <f t="shared" si="5"/>
        <v>0</v>
      </c>
      <c r="U37" s="133">
        <f t="shared" si="6"/>
        <v>0</v>
      </c>
      <c r="V37" s="134">
        <f t="shared" si="6"/>
        <v>0</v>
      </c>
      <c r="W37" s="138"/>
      <c r="X37" s="138"/>
    </row>
    <row r="38" spans="2:24" ht="17.25">
      <c r="B38" s="270" t="s">
        <v>32</v>
      </c>
      <c r="C38" s="306">
        <f>F33/D5</f>
        <v>5.1038914486209013</v>
      </c>
      <c r="D38" s="272"/>
      <c r="E38" s="294">
        <f>F33/E5</f>
        <v>55744.051524958377</v>
      </c>
      <c r="F38" s="272"/>
      <c r="G38" s="295" t="str">
        <f>"NPV at " &amp; 100*E29 &amp; " % in 10 years"</f>
        <v>NPV at 7.25 % in 10 years</v>
      </c>
      <c r="H38" s="263">
        <f ca="1">NPV(E29,E52:E62)</f>
        <v>727660.23025123193</v>
      </c>
      <c r="I38" s="3"/>
      <c r="P38" s="146"/>
      <c r="Q38" s="145"/>
      <c r="R38" s="13"/>
      <c r="S38" s="133">
        <f t="shared" si="5"/>
        <v>0</v>
      </c>
      <c r="T38" s="134">
        <f t="shared" si="5"/>
        <v>0</v>
      </c>
      <c r="U38" s="133">
        <f t="shared" si="6"/>
        <v>0</v>
      </c>
      <c r="V38" s="134">
        <f t="shared" si="6"/>
        <v>0</v>
      </c>
      <c r="W38" s="138"/>
      <c r="X38" s="138"/>
    </row>
    <row r="39" spans="2:24" ht="17.25">
      <c r="B39" s="1"/>
      <c r="C39" s="1"/>
      <c r="D39" s="1"/>
      <c r="E39" s="1"/>
      <c r="F39" s="1"/>
      <c r="G39" s="1"/>
      <c r="H39" s="1"/>
      <c r="I39" s="19">
        <v>1.3</v>
      </c>
      <c r="P39" s="146"/>
      <c r="Q39" s="145"/>
      <c r="R39" s="13"/>
      <c r="S39" s="133">
        <f t="shared" si="5"/>
        <v>0</v>
      </c>
      <c r="T39" s="134">
        <f t="shared" si="5"/>
        <v>0</v>
      </c>
      <c r="U39" s="133">
        <f t="shared" si="6"/>
        <v>0</v>
      </c>
      <c r="V39" s="134">
        <f t="shared" si="6"/>
        <v>0</v>
      </c>
      <c r="W39" s="138"/>
      <c r="X39" s="138"/>
    </row>
    <row r="40" spans="2:24" ht="17.25">
      <c r="B40" s="281" t="s">
        <v>438</v>
      </c>
      <c r="C40" s="280"/>
      <c r="D40" s="280"/>
      <c r="E40" s="280"/>
      <c r="F40" s="18"/>
      <c r="G40" s="19">
        <v>0.7</v>
      </c>
      <c r="H40" s="19">
        <v>1</v>
      </c>
      <c r="I40" s="20">
        <f>(F5*I39)-(F6*I39)</f>
        <v>665906.56476345391</v>
      </c>
      <c r="P40" s="146"/>
      <c r="Q40" s="145"/>
      <c r="R40" s="13"/>
      <c r="S40" s="133">
        <f t="shared" si="5"/>
        <v>0</v>
      </c>
      <c r="T40" s="134">
        <f t="shared" si="5"/>
        <v>0</v>
      </c>
      <c r="U40" s="133">
        <f t="shared" si="6"/>
        <v>0</v>
      </c>
      <c r="V40" s="134">
        <f t="shared" si="6"/>
        <v>0</v>
      </c>
      <c r="W40" s="138"/>
      <c r="X40" s="138"/>
    </row>
    <row r="41" spans="2:24" ht="17.25">
      <c r="B41" s="277"/>
      <c r="C41" s="278">
        <v>-0.3</v>
      </c>
      <c r="D41" s="279" t="s">
        <v>134</v>
      </c>
      <c r="E41" s="278">
        <v>0.3</v>
      </c>
      <c r="F41" s="13" t="s">
        <v>55</v>
      </c>
      <c r="G41" s="20">
        <f>(F5*G40)-(F6*G40)</f>
        <v>358565.07333416742</v>
      </c>
      <c r="H41" s="20">
        <f>F7</f>
        <v>512235.81904881063</v>
      </c>
      <c r="I41" s="20">
        <f>(F11+F19)*I39+(F23-F11-F19)</f>
        <v>302685.86996050552</v>
      </c>
      <c r="P41" s="146"/>
      <c r="Q41" s="145"/>
      <c r="R41" s="13"/>
      <c r="S41" s="133">
        <f t="shared" si="5"/>
        <v>0</v>
      </c>
      <c r="T41" s="134">
        <f t="shared" si="5"/>
        <v>0</v>
      </c>
      <c r="U41" s="133">
        <f t="shared" si="6"/>
        <v>0</v>
      </c>
      <c r="V41" s="134">
        <f t="shared" si="6"/>
        <v>0</v>
      </c>
      <c r="W41" s="138"/>
      <c r="X41" s="138"/>
    </row>
    <row r="42" spans="2:24" ht="17.25">
      <c r="B42" s="307" t="s">
        <v>192</v>
      </c>
      <c r="C42" s="308">
        <f>(G41-G42-G43)/'Capital Inputs'!$F$39</f>
        <v>-6.2223617348132365E-2</v>
      </c>
      <c r="D42" s="308">
        <f>(H41-H42-H43)/'Capital Inputs'!$F$39</f>
        <v>0.2703603727011914</v>
      </c>
      <c r="E42" s="308">
        <f>(I40-I41-I42)/'Capital Inputs'!$F$39</f>
        <v>0.60294436275051522</v>
      </c>
      <c r="F42" s="13" t="s">
        <v>59</v>
      </c>
      <c r="G42" s="20">
        <f>(F11+F19)*G40+(F23-F11-F19)</f>
        <v>295568.69466272125</v>
      </c>
      <c r="H42" s="20">
        <f>F23</f>
        <v>299127.28231161338</v>
      </c>
      <c r="I42" s="20">
        <f>F31</f>
        <v>91081.078363095236</v>
      </c>
      <c r="P42" s="146"/>
      <c r="Q42" s="145"/>
      <c r="R42" s="13"/>
      <c r="S42" s="133">
        <f t="shared" si="5"/>
        <v>0</v>
      </c>
      <c r="T42" s="134">
        <f t="shared" si="5"/>
        <v>0</v>
      </c>
      <c r="U42" s="133"/>
      <c r="V42" s="133"/>
      <c r="W42" s="138"/>
      <c r="X42" s="138"/>
    </row>
    <row r="43" spans="2:24">
      <c r="B43" s="307" t="s">
        <v>193</v>
      </c>
      <c r="C43" s="207">
        <f>(G41-G42)/G41</f>
        <v>0.17569022572573939</v>
      </c>
      <c r="D43" s="207">
        <f>(H41-H42)/H41</f>
        <v>0.41603599126067808</v>
      </c>
      <c r="E43" s="207">
        <f>(I40-I41)/I40</f>
        <v>0.54545294193333738</v>
      </c>
      <c r="F43" s="13" t="s">
        <v>60</v>
      </c>
      <c r="G43" s="20">
        <f>F31</f>
        <v>91081.078363095236</v>
      </c>
      <c r="H43" s="20">
        <f>F31</f>
        <v>91081.078363095236</v>
      </c>
      <c r="P43" s="146"/>
      <c r="Q43" s="145"/>
      <c r="R43" s="13"/>
      <c r="S43" s="138"/>
      <c r="T43" s="138"/>
      <c r="U43" s="138"/>
      <c r="V43" s="138"/>
      <c r="W43" s="138"/>
      <c r="X43" s="138"/>
    </row>
    <row r="44" spans="2:24">
      <c r="B44" s="307" t="s">
        <v>21</v>
      </c>
      <c r="C44" s="309">
        <f>G41-G42-G43</f>
        <v>-28084.699691649061</v>
      </c>
      <c r="D44" s="309">
        <f>H41-H42-H43</f>
        <v>122027.45837410202</v>
      </c>
      <c r="E44" s="309">
        <f>I40-I41-I42</f>
        <v>272139.61643985315</v>
      </c>
      <c r="P44" s="146"/>
      <c r="Q44" s="145"/>
      <c r="R44" s="13"/>
      <c r="S44" s="138"/>
      <c r="T44" s="138"/>
      <c r="U44" s="138"/>
      <c r="V44" s="138"/>
      <c r="W44" s="138"/>
      <c r="X44" s="138"/>
    </row>
    <row r="45" spans="2:24">
      <c r="B45" s="310" t="s">
        <v>221</v>
      </c>
      <c r="C45" s="311">
        <f>(G42+G43)/($D$5*G40)</f>
        <v>7.2247791877338949</v>
      </c>
      <c r="D45" s="311">
        <f>(H42+H43)/($D$5*H40)</f>
        <v>5.1038914486209013</v>
      </c>
      <c r="E45" s="311">
        <f>(I41+I42)/($D$5*I39)</f>
        <v>3.9618749737139045</v>
      </c>
      <c r="P45" s="146"/>
      <c r="Q45" s="145"/>
      <c r="S45"/>
      <c r="T45"/>
      <c r="U45"/>
    </row>
    <row r="46" spans="2:24">
      <c r="B46" s="312" t="s">
        <v>271</v>
      </c>
      <c r="C46" s="313"/>
      <c r="D46" s="313"/>
      <c r="E46" s="313"/>
      <c r="P46" s="146"/>
      <c r="Q46" s="145"/>
      <c r="S46"/>
      <c r="T46"/>
      <c r="U46"/>
    </row>
    <row r="47" spans="2:24" ht="17.25" hidden="1">
      <c r="B47" s="96"/>
      <c r="C47" s="97"/>
      <c r="D47" s="97"/>
      <c r="E47" s="97"/>
      <c r="P47" s="146"/>
      <c r="Q47" s="145"/>
      <c r="S47"/>
      <c r="T47"/>
      <c r="U47"/>
    </row>
    <row r="48" spans="2:24" hidden="1">
      <c r="P48" s="146"/>
      <c r="Q48" s="145"/>
      <c r="S48"/>
      <c r="T48"/>
      <c r="U48"/>
    </row>
    <row r="49" spans="2:26" hidden="1">
      <c r="B49" s="13"/>
      <c r="C49" s="13"/>
      <c r="D49" s="13"/>
      <c r="E49" s="13"/>
      <c r="F49" s="13"/>
      <c r="P49" s="146"/>
      <c r="Q49" s="145"/>
      <c r="S49"/>
      <c r="T49"/>
      <c r="U49"/>
    </row>
    <row r="50" spans="2:26" ht="17.25" hidden="1">
      <c r="B50" s="135" t="str">
        <f>'3- Stocking- Trout RAS'!B50</f>
        <v>Year</v>
      </c>
      <c r="C50" s="140"/>
      <c r="D50" s="140"/>
      <c r="E50" s="140"/>
      <c r="F50" s="13"/>
      <c r="P50" s="146"/>
      <c r="Q50" s="145"/>
      <c r="S50"/>
      <c r="T50"/>
      <c r="U50"/>
    </row>
    <row r="51" spans="2:26" ht="17.25" hidden="1">
      <c r="B51" s="91" t="s">
        <v>309</v>
      </c>
      <c r="C51" s="107" t="str">
        <f>'3- Stocking- Trout RAS'!C50</f>
        <v>Investment</v>
      </c>
      <c r="D51" s="107" t="str">
        <f>'3- Stocking- Trout RAS'!D50</f>
        <v>Revenue - Cash Costs</v>
      </c>
      <c r="E51" s="107" t="str">
        <f>'3- Stocking- Trout RAS'!E50</f>
        <v>Net cash flow</v>
      </c>
      <c r="F51" s="107" t="str">
        <f>'3- Stocking- Trout RAS'!F50</f>
        <v>Cumulated cash flow</v>
      </c>
      <c r="G51" s="107"/>
      <c r="H51" s="107"/>
      <c r="P51" s="146"/>
      <c r="Q51" s="145"/>
      <c r="S51"/>
      <c r="T51"/>
      <c r="U51"/>
    </row>
    <row r="52" spans="2:26" ht="17.25" hidden="1">
      <c r="B52" s="576">
        <v>0</v>
      </c>
      <c r="C52" s="107">
        <f>'3- Stocking- Trout RAS'!C51</f>
        <v>451351.125</v>
      </c>
      <c r="D52" s="107">
        <v>0</v>
      </c>
      <c r="E52" s="107">
        <f>D52-C52</f>
        <v>-451351.125</v>
      </c>
      <c r="F52" s="389">
        <f>E52</f>
        <v>-451351.125</v>
      </c>
      <c r="G52" s="107"/>
      <c r="H52" s="107"/>
      <c r="I52" s="107"/>
      <c r="J52" s="91"/>
      <c r="P52" s="146"/>
      <c r="Q52" s="145"/>
      <c r="S52"/>
      <c r="T52"/>
      <c r="U52"/>
    </row>
    <row r="53" spans="2:26" ht="17.25" hidden="1">
      <c r="B53" s="576">
        <v>1</v>
      </c>
      <c r="C53" s="107">
        <f t="array" ref="C53:C62" ca="1">TRANSPOSE('3- Stocking- Trout RAS'!K63:T63)</f>
        <v>0</v>
      </c>
      <c r="D53" s="390">
        <f>F7-F23-F26-F27-F28</f>
        <v>164108.53673719725</v>
      </c>
      <c r="E53" s="107">
        <f t="shared" ref="E53:E61" ca="1" si="7">D53-C53</f>
        <v>164108.53673719725</v>
      </c>
      <c r="F53" s="389">
        <f ca="1">F52+E53</f>
        <v>-287242.58826280275</v>
      </c>
      <c r="G53" s="107"/>
      <c r="H53" s="107"/>
      <c r="I53" s="107"/>
      <c r="J53" s="91"/>
    </row>
    <row r="54" spans="2:26" s="2" customFormat="1" ht="17.25" hidden="1">
      <c r="B54" s="576">
        <v>2</v>
      </c>
      <c r="C54" s="107">
        <f ca="1"/>
        <v>6150</v>
      </c>
      <c r="D54" s="390">
        <f>D53</f>
        <v>164108.53673719725</v>
      </c>
      <c r="E54" s="107">
        <f t="shared" ca="1" si="7"/>
        <v>157958.53673719725</v>
      </c>
      <c r="F54" s="389">
        <f t="shared" ref="F54:F61" ca="1" si="8">F53+E54</f>
        <v>-129284.05152560549</v>
      </c>
      <c r="G54" s="107"/>
      <c r="H54" s="107"/>
      <c r="I54" s="107"/>
      <c r="J54" s="107"/>
      <c r="K54" s="96"/>
      <c r="L54" s="96"/>
      <c r="M54" s="96"/>
      <c r="N54" s="96"/>
      <c r="O54" s="96"/>
      <c r="V54"/>
      <c r="W54"/>
      <c r="X54"/>
      <c r="Y54"/>
      <c r="Z54"/>
    </row>
    <row r="55" spans="2:26" s="2" customFormat="1" ht="17.25" hidden="1">
      <c r="B55" s="576">
        <v>3</v>
      </c>
      <c r="C55" s="107">
        <v>200</v>
      </c>
      <c r="D55" s="390">
        <f t="shared" ref="D55:D62" si="9">D54</f>
        <v>164108.53673719725</v>
      </c>
      <c r="E55" s="107">
        <f t="shared" si="7"/>
        <v>163908.53673719725</v>
      </c>
      <c r="F55" s="389">
        <f t="shared" ca="1" si="8"/>
        <v>34624.48521159176</v>
      </c>
      <c r="G55" s="107"/>
      <c r="H55" s="107"/>
      <c r="I55" s="107"/>
      <c r="J55" s="107"/>
      <c r="K55" s="96"/>
      <c r="L55" s="96"/>
      <c r="M55" s="96"/>
      <c r="N55" s="96"/>
      <c r="O55" s="96"/>
      <c r="V55"/>
      <c r="W55"/>
      <c r="X55"/>
      <c r="Y55"/>
      <c r="Z55"/>
    </row>
    <row r="56" spans="2:26" s="2" customFormat="1" ht="17.25" hidden="1">
      <c r="B56" s="576">
        <v>4</v>
      </c>
      <c r="C56" s="107">
        <f ca="1"/>
        <v>0</v>
      </c>
      <c r="D56" s="390">
        <f t="shared" si="9"/>
        <v>164108.53673719725</v>
      </c>
      <c r="E56" s="107">
        <f t="shared" ca="1" si="7"/>
        <v>164108.53673719725</v>
      </c>
      <c r="F56" s="389">
        <f t="shared" ca="1" si="8"/>
        <v>198733.02194878901</v>
      </c>
      <c r="G56" s="107"/>
      <c r="H56" s="107"/>
      <c r="I56" s="107"/>
      <c r="J56" s="107"/>
      <c r="K56" s="96"/>
      <c r="L56" s="96"/>
      <c r="M56" s="96"/>
      <c r="N56" s="96"/>
      <c r="O56" s="96"/>
      <c r="V56"/>
      <c r="W56"/>
      <c r="X56"/>
      <c r="Y56"/>
      <c r="Z56"/>
    </row>
    <row r="57" spans="2:26" s="2" customFormat="1" ht="17.25" hidden="1">
      <c r="B57" s="576">
        <v>5</v>
      </c>
      <c r="C57" s="107">
        <f ca="1"/>
        <v>19444.800000000003</v>
      </c>
      <c r="D57" s="390">
        <f t="shared" si="9"/>
        <v>164108.53673719725</v>
      </c>
      <c r="E57" s="107">
        <f t="shared" ca="1" si="7"/>
        <v>144663.73673719727</v>
      </c>
      <c r="F57" s="389">
        <f t="shared" ca="1" si="8"/>
        <v>343396.75868598628</v>
      </c>
      <c r="G57" s="107"/>
      <c r="H57" s="107"/>
      <c r="I57" s="107"/>
      <c r="J57" s="107"/>
      <c r="K57" s="96"/>
      <c r="L57" s="96"/>
      <c r="M57" s="96"/>
      <c r="N57" s="96"/>
      <c r="O57" s="96"/>
      <c r="P57" s="96"/>
      <c r="Q57" s="96"/>
      <c r="R57" s="96"/>
      <c r="S57" s="96"/>
      <c r="T57" s="96"/>
      <c r="U57" s="96"/>
    </row>
    <row r="58" spans="2:26" s="2" customFormat="1" ht="17.25" hidden="1">
      <c r="B58" s="576">
        <v>6</v>
      </c>
      <c r="C58" s="107">
        <f ca="1"/>
        <v>0</v>
      </c>
      <c r="D58" s="390">
        <f t="shared" si="9"/>
        <v>164108.53673719725</v>
      </c>
      <c r="E58" s="107">
        <f t="shared" ca="1" si="7"/>
        <v>164108.53673719725</v>
      </c>
      <c r="F58" s="389">
        <f t="shared" ca="1" si="8"/>
        <v>507505.29542318353</v>
      </c>
      <c r="G58" s="107"/>
      <c r="H58" s="107"/>
      <c r="I58" s="107"/>
      <c r="J58" s="107"/>
      <c r="K58" s="96"/>
      <c r="L58" s="96"/>
      <c r="M58" s="96"/>
      <c r="N58" s="96"/>
      <c r="O58" s="96"/>
      <c r="P58" s="96"/>
      <c r="Q58" s="96"/>
      <c r="R58" s="96"/>
      <c r="S58" s="96"/>
      <c r="T58" s="96"/>
      <c r="U58" s="96"/>
    </row>
    <row r="59" spans="2:26" s="2" customFormat="1" ht="17.25" hidden="1">
      <c r="B59" s="576">
        <v>7</v>
      </c>
      <c r="C59" s="107">
        <f ca="1"/>
        <v>990</v>
      </c>
      <c r="D59" s="390">
        <f t="shared" si="9"/>
        <v>164108.53673719725</v>
      </c>
      <c r="E59" s="107">
        <f t="shared" ca="1" si="7"/>
        <v>163118.53673719725</v>
      </c>
      <c r="F59" s="389">
        <f t="shared" ca="1" si="8"/>
        <v>670623.83216038079</v>
      </c>
      <c r="G59" s="107"/>
      <c r="H59" s="107"/>
      <c r="I59" s="107"/>
      <c r="J59" s="107"/>
      <c r="K59" s="96"/>
      <c r="L59" s="96"/>
      <c r="M59" s="96"/>
      <c r="N59" s="96"/>
      <c r="O59" s="96"/>
      <c r="P59" s="96"/>
      <c r="Q59" s="96"/>
      <c r="R59" s="96"/>
      <c r="S59" s="96"/>
      <c r="T59" s="96"/>
      <c r="U59" s="96"/>
    </row>
    <row r="60" spans="2:26" s="2" customFormat="1" ht="17.25" hidden="1">
      <c r="B60" s="576">
        <v>8</v>
      </c>
      <c r="C60" s="107">
        <f ca="1"/>
        <v>0</v>
      </c>
      <c r="D60" s="390">
        <f t="shared" si="9"/>
        <v>164108.53673719725</v>
      </c>
      <c r="E60" s="107">
        <f t="shared" ca="1" si="7"/>
        <v>164108.53673719725</v>
      </c>
      <c r="F60" s="389">
        <f t="shared" ca="1" si="8"/>
        <v>834732.36889757798</v>
      </c>
      <c r="G60" s="107"/>
      <c r="H60" s="107"/>
      <c r="I60" s="107"/>
      <c r="J60" s="107"/>
      <c r="K60" s="96"/>
      <c r="L60" s="96"/>
      <c r="M60" s="96"/>
      <c r="N60" s="96"/>
      <c r="O60" s="96"/>
      <c r="P60" s="96"/>
      <c r="Q60" s="96"/>
      <c r="R60" s="96"/>
      <c r="S60" s="96"/>
      <c r="T60" s="96"/>
      <c r="U60" s="96"/>
    </row>
    <row r="61" spans="2:26" s="2" customFormat="1" ht="17.25" hidden="1">
      <c r="B61" s="576">
        <v>9</v>
      </c>
      <c r="C61" s="107">
        <f ca="1"/>
        <v>0</v>
      </c>
      <c r="D61" s="390">
        <f t="shared" si="9"/>
        <v>164108.53673719725</v>
      </c>
      <c r="E61" s="107">
        <f t="shared" ca="1" si="7"/>
        <v>164108.53673719725</v>
      </c>
      <c r="F61" s="389">
        <f t="shared" ca="1" si="8"/>
        <v>998840.90563477529</v>
      </c>
      <c r="G61" s="107"/>
      <c r="H61" s="107"/>
      <c r="I61" s="107"/>
      <c r="J61" s="107"/>
      <c r="K61" s="96"/>
      <c r="L61" s="96"/>
      <c r="M61" s="96"/>
      <c r="N61" s="96"/>
      <c r="O61" s="96"/>
      <c r="P61" s="96"/>
      <c r="Q61" s="96"/>
      <c r="R61" s="96"/>
      <c r="S61" s="96"/>
      <c r="T61" s="96"/>
      <c r="U61" s="96"/>
    </row>
    <row r="62" spans="2:26" s="2" customFormat="1" ht="17.25" hidden="1">
      <c r="B62" s="576">
        <v>10</v>
      </c>
      <c r="C62" s="107">
        <f ca="1"/>
        <v>93157</v>
      </c>
      <c r="D62" s="390">
        <f t="shared" si="9"/>
        <v>164108.53673719725</v>
      </c>
      <c r="E62" s="390">
        <f ca="1">D62-C62+D63</f>
        <v>389950.58435624483</v>
      </c>
      <c r="F62" s="389">
        <f ca="1">F61+E62</f>
        <v>1388791.4899910202</v>
      </c>
      <c r="G62" s="107"/>
      <c r="H62" s="107"/>
      <c r="I62" s="107"/>
      <c r="J62" s="107"/>
      <c r="K62" s="96"/>
      <c r="L62" s="96"/>
      <c r="M62" s="96"/>
      <c r="N62" s="96"/>
      <c r="O62" s="96"/>
      <c r="P62" s="96"/>
      <c r="Q62" s="96"/>
      <c r="R62" s="96"/>
      <c r="S62" s="96"/>
      <c r="T62" s="96"/>
      <c r="U62" s="96"/>
    </row>
    <row r="63" spans="2:26" s="2" customFormat="1" ht="17.25" hidden="1">
      <c r="B63" s="107" t="str">
        <f>'3- Stocking- Trout RAS'!B62</f>
        <v>Residual value at year 10</v>
      </c>
      <c r="C63" s="107"/>
      <c r="D63" s="390">
        <f>SUM('Capital Inputs'!R6:R35)- SUM('Capital Inputs'!R17:R19)</f>
        <v>318999.04761904757</v>
      </c>
      <c r="E63" s="107"/>
      <c r="F63" s="107"/>
      <c r="G63" s="107"/>
      <c r="H63" s="107"/>
      <c r="I63" s="107"/>
      <c r="J63" s="107"/>
      <c r="K63" s="96"/>
      <c r="L63" s="96"/>
      <c r="M63" s="96"/>
      <c r="N63" s="96"/>
      <c r="O63" s="96"/>
      <c r="P63" s="96"/>
      <c r="Q63" s="96"/>
      <c r="R63" s="96"/>
      <c r="S63" s="96"/>
      <c r="T63" s="96"/>
      <c r="U63" s="96"/>
    </row>
    <row r="64" spans="2:26" s="2" customFormat="1" ht="17.25" hidden="1">
      <c r="B64" s="91"/>
      <c r="C64" s="91"/>
      <c r="D64" s="91"/>
      <c r="E64" s="91"/>
      <c r="F64" s="91"/>
      <c r="G64" s="91"/>
      <c r="H64" s="91"/>
      <c r="I64" s="107"/>
      <c r="J64" s="107"/>
      <c r="K64" s="96"/>
      <c r="L64" s="96"/>
      <c r="M64" s="96"/>
      <c r="N64" s="96"/>
      <c r="O64" s="96"/>
      <c r="P64" s="96"/>
      <c r="Q64" s="96"/>
      <c r="R64" s="96"/>
      <c r="S64" s="96"/>
      <c r="T64" s="96"/>
      <c r="U64" s="96"/>
    </row>
    <row r="65" spans="2:21" s="2" customFormat="1" ht="17.25" hidden="1">
      <c r="B65" s="13"/>
      <c r="C65" s="91"/>
      <c r="D65" s="91"/>
      <c r="E65" s="91"/>
      <c r="F65" s="91"/>
      <c r="G65" s="91"/>
      <c r="H65" s="91"/>
      <c r="I65" s="91"/>
      <c r="J65" s="91"/>
      <c r="P65" s="96"/>
      <c r="Q65" s="96"/>
      <c r="R65" s="96"/>
      <c r="S65" s="96"/>
      <c r="T65" s="96"/>
      <c r="U65" s="96"/>
    </row>
    <row r="66" spans="2:21" s="2" customFormat="1" ht="17.25" hidden="1">
      <c r="B66" s="13"/>
      <c r="C66" s="13"/>
      <c r="D66" s="13"/>
      <c r="E66" s="13"/>
      <c r="F66" s="13"/>
      <c r="I66" s="91"/>
      <c r="J66" s="91"/>
      <c r="P66" s="96"/>
      <c r="Q66" s="96"/>
      <c r="R66" s="96"/>
      <c r="S66" s="96"/>
      <c r="T66" s="96"/>
      <c r="U66" s="96"/>
    </row>
    <row r="67" spans="2:21" s="2" customFormat="1" ht="17.25" hidden="1">
      <c r="B67" s="13"/>
      <c r="C67" s="13"/>
      <c r="D67" s="13"/>
      <c r="E67" s="13"/>
      <c r="F67" s="13"/>
      <c r="P67" s="96"/>
      <c r="Q67" s="96"/>
      <c r="R67" s="96"/>
      <c r="S67" s="96"/>
      <c r="T67" s="96"/>
      <c r="U67" s="96"/>
    </row>
    <row r="68" spans="2:21" hidden="1">
      <c r="B68" s="13"/>
      <c r="C68" s="13"/>
      <c r="D68" s="13"/>
      <c r="E68" s="13"/>
      <c r="F68" s="13"/>
    </row>
    <row r="69" spans="2:21" hidden="1">
      <c r="B69" s="13"/>
      <c r="C69" s="13"/>
      <c r="D69" s="13"/>
      <c r="E69" s="13"/>
      <c r="F69" s="13"/>
    </row>
  </sheetData>
  <sheetProtection sheet="1" objects="1" scenarios="1"/>
  <mergeCells count="1">
    <mergeCell ref="B2:H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3FC93-0BAC-4578-BB16-BBD18316704C}">
  <dimension ref="A1:Y70"/>
  <sheetViews>
    <sheetView showGridLines="0" zoomScaleNormal="100" workbookViewId="0">
      <selection activeCell="G44" sqref="G44"/>
    </sheetView>
  </sheetViews>
  <sheetFormatPr defaultColWidth="11.88671875" defaultRowHeight="17.25" zeroHeight="1"/>
  <cols>
    <col min="1" max="1" width="2.33203125" style="2" customWidth="1"/>
    <col min="2" max="2" width="33.77734375" style="13" customWidth="1"/>
    <col min="3" max="3" width="10.33203125" style="140" customWidth="1"/>
    <col min="4" max="4" width="12" style="13" customWidth="1"/>
    <col min="5" max="5" width="11.77734375" style="13" customWidth="1"/>
    <col min="6" max="6" width="13.77734375" style="13" customWidth="1"/>
    <col min="7" max="7" width="11.77734375" style="13" customWidth="1"/>
    <col min="8" max="8" width="9.6640625" style="13" customWidth="1"/>
    <col min="9" max="9" width="3.33203125" style="13" customWidth="1"/>
    <col min="10" max="10" width="33.21875" style="13" customWidth="1"/>
    <col min="11" max="24" width="10.77734375" style="13" customWidth="1"/>
    <col min="25" max="25" width="28.21875" style="13" customWidth="1"/>
    <col min="26" max="16384" width="11.88671875" style="2"/>
  </cols>
  <sheetData>
    <row r="1" spans="2:25" ht="16.5" customHeight="1"/>
    <row r="2" spans="2:25" ht="21.95" customHeight="1">
      <c r="B2" s="612" t="s">
        <v>291</v>
      </c>
      <c r="C2" s="612"/>
      <c r="D2" s="612"/>
      <c r="E2" s="612"/>
      <c r="F2" s="612"/>
      <c r="G2" s="612"/>
      <c r="H2" s="612"/>
      <c r="I2" s="1"/>
      <c r="J2" s="74" t="s">
        <v>441</v>
      </c>
      <c r="K2" s="74"/>
      <c r="L2" s="74"/>
      <c r="M2" s="74"/>
      <c r="N2" s="332" t="s">
        <v>432</v>
      </c>
      <c r="O2" s="332" t="s">
        <v>433</v>
      </c>
      <c r="P2" s="33"/>
      <c r="Q2" s="2"/>
      <c r="R2" s="2"/>
      <c r="S2" s="2"/>
      <c r="T2" s="2"/>
      <c r="U2" s="2"/>
      <c r="V2" s="2"/>
      <c r="W2" s="2"/>
      <c r="X2" s="2"/>
      <c r="Y2" s="2"/>
    </row>
    <row r="3" spans="2:25" ht="16.5" customHeight="1">
      <c r="B3" s="82"/>
      <c r="C3" s="82"/>
      <c r="D3" s="81"/>
      <c r="E3" s="83"/>
      <c r="F3" s="81"/>
      <c r="G3" s="81"/>
      <c r="H3" s="81"/>
      <c r="I3" s="1"/>
      <c r="J3" s="214" t="s">
        <v>135</v>
      </c>
      <c r="K3" s="214" t="s">
        <v>11</v>
      </c>
      <c r="L3" s="214" t="s">
        <v>45</v>
      </c>
      <c r="M3" s="223"/>
      <c r="N3" s="333" t="s">
        <v>435</v>
      </c>
      <c r="O3" s="333" t="s">
        <v>434</v>
      </c>
      <c r="P3" s="69"/>
      <c r="Q3" s="2"/>
      <c r="R3" s="2"/>
      <c r="S3" s="2"/>
      <c r="T3" s="2"/>
      <c r="U3" s="2"/>
      <c r="V3" s="2"/>
      <c r="W3" s="2"/>
      <c r="X3" s="2"/>
      <c r="Y3" s="2"/>
    </row>
    <row r="4" spans="2:25" ht="16.5" customHeight="1">
      <c r="B4" s="70" t="s">
        <v>197</v>
      </c>
      <c r="C4" s="70" t="s">
        <v>11</v>
      </c>
      <c r="D4" s="71" t="s">
        <v>13</v>
      </c>
      <c r="E4" s="72" t="s">
        <v>426</v>
      </c>
      <c r="F4" s="71" t="s">
        <v>0</v>
      </c>
      <c r="G4" s="71" t="s">
        <v>437</v>
      </c>
      <c r="H4" s="71" t="s">
        <v>137</v>
      </c>
      <c r="I4" s="1"/>
      <c r="J4" s="126" t="s">
        <v>359</v>
      </c>
      <c r="K4" s="231" t="s">
        <v>183</v>
      </c>
      <c r="L4" s="234">
        <v>3</v>
      </c>
      <c r="M4" s="105"/>
      <c r="N4" s="334"/>
      <c r="O4" s="335">
        <f>G34</f>
        <v>0.22539823361503203</v>
      </c>
      <c r="P4" s="87"/>
      <c r="Q4" s="2"/>
      <c r="R4" s="2"/>
      <c r="S4" s="2"/>
      <c r="T4" s="2"/>
      <c r="U4" s="2"/>
      <c r="V4" s="2"/>
      <c r="W4" s="2"/>
      <c r="X4" s="2"/>
      <c r="Y4" s="2"/>
    </row>
    <row r="5" spans="2:25" ht="16.5" customHeight="1">
      <c r="B5" s="4" t="s">
        <v>362</v>
      </c>
      <c r="C5" s="7" t="s">
        <v>191</v>
      </c>
      <c r="D5" s="6">
        <f>D14*1000*L13*L14*L15*L16</f>
        <v>142447.81525862141</v>
      </c>
      <c r="E5" s="247">
        <f>L4</f>
        <v>3</v>
      </c>
      <c r="F5" s="248">
        <f>D5*E5</f>
        <v>427343.44577586424</v>
      </c>
      <c r="G5" s="250">
        <f>E5</f>
        <v>3</v>
      </c>
      <c r="H5" s="283">
        <f>F5/$F$5</f>
        <v>1</v>
      </c>
      <c r="I5" s="1"/>
      <c r="J5" s="127" t="s">
        <v>340</v>
      </c>
      <c r="K5" s="231" t="s">
        <v>182</v>
      </c>
      <c r="L5" s="235">
        <v>3346.5736363636361</v>
      </c>
      <c r="M5" s="105"/>
      <c r="N5" s="335">
        <v>1.5</v>
      </c>
      <c r="O5" s="335">
        <f t="dataTable" ref="O5:O23" dt2D="0" dtr="0" r1="L4"/>
        <v>-1.2439236413849677</v>
      </c>
      <c r="P5" s="87"/>
      <c r="Q5" s="2"/>
      <c r="R5" s="87"/>
      <c r="S5" s="2"/>
      <c r="T5" s="2"/>
      <c r="U5" s="2"/>
      <c r="V5" s="2"/>
      <c r="W5" s="2"/>
      <c r="X5" s="2"/>
      <c r="Y5" s="2"/>
    </row>
    <row r="6" spans="2:25" ht="16.5" customHeight="1">
      <c r="B6" s="4" t="s">
        <v>220</v>
      </c>
      <c r="C6" s="7" t="s">
        <v>7</v>
      </c>
      <c r="D6" s="6">
        <f>D5/L24*L23</f>
        <v>28489.563051724283</v>
      </c>
      <c r="E6" s="247">
        <f>'Operating Inputs'!D10</f>
        <v>1.5</v>
      </c>
      <c r="F6" s="252">
        <f t="shared" ref="F6" si="0">D6*E6</f>
        <v>42734.344577586424</v>
      </c>
      <c r="G6" s="253">
        <f>F6/D5</f>
        <v>0.3</v>
      </c>
      <c r="H6" s="290">
        <f t="shared" ref="H6:H7" si="1">F6/$F$5</f>
        <v>0.1</v>
      </c>
      <c r="I6" s="1"/>
      <c r="J6" s="127" t="s">
        <v>338</v>
      </c>
      <c r="K6" s="231" t="s">
        <v>182</v>
      </c>
      <c r="L6" s="235">
        <v>2050.2209090909091</v>
      </c>
      <c r="M6" s="105"/>
      <c r="N6" s="335">
        <v>1.75</v>
      </c>
      <c r="O6" s="335">
        <v>-0.99903666221830145</v>
      </c>
      <c r="P6" s="87"/>
      <c r="Q6" s="2"/>
      <c r="R6" s="87"/>
      <c r="S6" s="2"/>
      <c r="T6" s="2"/>
      <c r="U6" s="2"/>
      <c r="V6" s="2"/>
      <c r="W6" s="2"/>
      <c r="X6" s="2"/>
      <c r="Y6" s="2"/>
    </row>
    <row r="7" spans="2:25" ht="16.5" customHeight="1">
      <c r="B7" s="238"/>
      <c r="C7" s="7"/>
      <c r="D7" s="6"/>
      <c r="E7" s="84" t="s">
        <v>197</v>
      </c>
      <c r="F7" s="249">
        <f>F5-F6</f>
        <v>384609.10119827779</v>
      </c>
      <c r="G7" s="251">
        <f>G5-G6</f>
        <v>2.7</v>
      </c>
      <c r="H7" s="291">
        <f t="shared" si="1"/>
        <v>0.89999999999999991</v>
      </c>
      <c r="I7" s="1"/>
      <c r="J7" s="2" t="s">
        <v>358</v>
      </c>
      <c r="K7" s="231" t="s">
        <v>182</v>
      </c>
      <c r="L7" s="233">
        <v>150</v>
      </c>
      <c r="M7" s="105"/>
      <c r="N7" s="335">
        <v>2</v>
      </c>
      <c r="O7" s="335">
        <v>-0.75414968305163443</v>
      </c>
      <c r="P7" s="2"/>
      <c r="Q7" s="2"/>
      <c r="R7" s="2"/>
      <c r="S7" s="2"/>
      <c r="T7" s="2"/>
      <c r="U7" s="2"/>
      <c r="V7" s="2"/>
      <c r="W7" s="2"/>
      <c r="X7" s="2"/>
      <c r="Y7" s="2"/>
    </row>
    <row r="8" spans="2:25" ht="16.5" customHeight="1">
      <c r="B8" s="238"/>
      <c r="C8" s="7"/>
      <c r="D8" s="6"/>
      <c r="E8" s="73"/>
      <c r="F8" s="14"/>
      <c r="G8" s="15"/>
      <c r="H8" s="239"/>
      <c r="I8" s="1"/>
      <c r="J8" s="22" t="s">
        <v>282</v>
      </c>
      <c r="K8" s="231" t="s">
        <v>186</v>
      </c>
      <c r="L8" s="228">
        <v>1.1000000000000001</v>
      </c>
      <c r="M8" s="105"/>
      <c r="N8" s="335">
        <v>2.25</v>
      </c>
      <c r="O8" s="335">
        <v>-0.50926270388496808</v>
      </c>
      <c r="P8" s="87"/>
      <c r="Q8" s="2"/>
      <c r="R8" s="2"/>
      <c r="S8" s="2"/>
      <c r="T8" s="2"/>
      <c r="U8" s="2"/>
      <c r="V8" s="2"/>
      <c r="W8" s="2"/>
      <c r="X8" s="2"/>
      <c r="Y8" s="2"/>
    </row>
    <row r="9" spans="2:25" ht="16.5" customHeight="1">
      <c r="B9" s="246" t="s">
        <v>10</v>
      </c>
      <c r="C9" s="70" t="s">
        <v>11</v>
      </c>
      <c r="D9" s="71" t="s">
        <v>13</v>
      </c>
      <c r="E9" s="72" t="s">
        <v>426</v>
      </c>
      <c r="F9" s="71" t="s">
        <v>0</v>
      </c>
      <c r="G9" s="71" t="s">
        <v>437</v>
      </c>
      <c r="H9" s="71" t="s">
        <v>137</v>
      </c>
      <c r="I9" s="1"/>
      <c r="J9" s="22" t="s">
        <v>283</v>
      </c>
      <c r="K9" s="231" t="s">
        <v>186</v>
      </c>
      <c r="L9" s="228">
        <v>1.3</v>
      </c>
      <c r="M9" s="105"/>
      <c r="N9" s="335">
        <v>2.5</v>
      </c>
      <c r="O9" s="335">
        <v>-0.26437572471830112</v>
      </c>
      <c r="P9" s="87"/>
      <c r="Q9" s="2"/>
      <c r="R9" s="2"/>
      <c r="S9" s="2"/>
      <c r="T9" s="2"/>
      <c r="U9" s="2"/>
      <c r="V9" s="2"/>
      <c r="W9" s="2"/>
      <c r="X9" s="2"/>
      <c r="Y9" s="2"/>
    </row>
    <row r="10" spans="2:25" ht="16.5" customHeight="1">
      <c r="B10" s="4" t="s">
        <v>14</v>
      </c>
      <c r="C10" s="2"/>
      <c r="D10" s="2"/>
      <c r="E10" s="2"/>
      <c r="F10" s="2"/>
      <c r="G10" s="324"/>
      <c r="H10" s="2"/>
      <c r="I10" s="1"/>
      <c r="J10" s="22" t="s">
        <v>234</v>
      </c>
      <c r="K10" s="231" t="s">
        <v>235</v>
      </c>
      <c r="L10" s="233">
        <v>35</v>
      </c>
      <c r="M10" s="105"/>
      <c r="N10" s="335">
        <v>2.75</v>
      </c>
      <c r="O10" s="335">
        <v>-1.9488745551634525E-2</v>
      </c>
      <c r="P10" s="87"/>
      <c r="Q10" s="2"/>
      <c r="R10" s="2"/>
      <c r="S10" s="2"/>
      <c r="T10" s="2"/>
      <c r="U10" s="2"/>
      <c r="V10" s="2"/>
      <c r="W10" s="2"/>
      <c r="X10" s="2"/>
      <c r="Y10" s="2"/>
    </row>
    <row r="11" spans="2:25" ht="16.5" customHeight="1">
      <c r="B11" s="128" t="s">
        <v>274</v>
      </c>
      <c r="C11" s="7" t="s">
        <v>190</v>
      </c>
      <c r="D11" s="101">
        <f>D14*1000*L13*L14*L17*AVERAGE(1,L15)*L8/2204.6</f>
        <v>1.8377730349808892</v>
      </c>
      <c r="E11" s="286">
        <f>L6</f>
        <v>2050.2209090909091</v>
      </c>
      <c r="F11" s="257">
        <f>D11*E11</f>
        <v>3767.8407024812777</v>
      </c>
      <c r="G11" s="250">
        <f>F11/$D$5</f>
        <v>2.6450673853021665E-2</v>
      </c>
      <c r="H11" s="283">
        <f>F11/$F$5</f>
        <v>8.8168912843405549E-3</v>
      </c>
      <c r="I11" s="1"/>
      <c r="J11" s="2" t="s">
        <v>332</v>
      </c>
      <c r="K11" s="231" t="s">
        <v>333</v>
      </c>
      <c r="L11" s="228">
        <v>1200</v>
      </c>
      <c r="M11" s="105"/>
      <c r="N11" s="335">
        <v>3</v>
      </c>
      <c r="O11" s="335">
        <v>0.22539823361503203</v>
      </c>
      <c r="P11" s="2"/>
      <c r="Q11" s="2"/>
      <c r="R11" s="2"/>
      <c r="S11" s="2"/>
      <c r="T11" s="2"/>
      <c r="U11" s="2"/>
      <c r="V11" s="2"/>
      <c r="W11" s="2"/>
      <c r="X11" s="2"/>
      <c r="Y11" s="2"/>
    </row>
    <row r="12" spans="2:25" ht="16.5" customHeight="1">
      <c r="B12" s="128" t="s">
        <v>275</v>
      </c>
      <c r="C12" s="7" t="s">
        <v>190</v>
      </c>
      <c r="D12" s="101">
        <f>D14*1000*L13*L14*L15*L18*AVERAGE(1,L16)*L9/2204.6</f>
        <v>40.267277899190361</v>
      </c>
      <c r="E12" s="286">
        <f>L5</f>
        <v>3346.5736363636361</v>
      </c>
      <c r="F12" s="257">
        <f t="shared" ref="F12" si="2">D12*E12</f>
        <v>134757.41062555855</v>
      </c>
      <c r="G12" s="250">
        <f>F12/$D$5</f>
        <v>0.94601247748798023</v>
      </c>
      <c r="H12" s="283">
        <f>F12/$F$5</f>
        <v>0.31533749249599341</v>
      </c>
      <c r="I12" s="1"/>
      <c r="J12" s="22" t="s">
        <v>284</v>
      </c>
      <c r="K12" s="231"/>
      <c r="L12" s="2"/>
      <c r="M12" s="2"/>
      <c r="N12" s="335">
        <v>3.25</v>
      </c>
      <c r="O12" s="335">
        <v>0.47028521278169899</v>
      </c>
      <c r="P12" s="2"/>
      <c r="Q12" s="2"/>
      <c r="R12" s="2"/>
      <c r="S12" s="2"/>
      <c r="T12" s="2"/>
      <c r="U12" s="2"/>
      <c r="V12" s="2"/>
      <c r="W12" s="2"/>
      <c r="X12" s="2"/>
      <c r="Y12" s="2"/>
    </row>
    <row r="13" spans="2:25" ht="16.5" customHeight="1">
      <c r="B13" s="128" t="s">
        <v>277</v>
      </c>
      <c r="C13" s="7" t="s">
        <v>190</v>
      </c>
      <c r="D13" s="101">
        <f>SUM(D11:D12)</f>
        <v>42.105050934171253</v>
      </c>
      <c r="E13" s="286">
        <f>L7</f>
        <v>150</v>
      </c>
      <c r="F13" s="257">
        <f>D13*E13</f>
        <v>6315.7576401256883</v>
      </c>
      <c r="G13" s="250">
        <f>F13/$D$5</f>
        <v>4.4337342967732445E-2</v>
      </c>
      <c r="H13" s="283">
        <f t="shared" ref="H13:H23" si="3">F13/$F$5</f>
        <v>1.4779114322577482E-2</v>
      </c>
      <c r="I13" s="1"/>
      <c r="J13" s="128" t="s">
        <v>285</v>
      </c>
      <c r="K13" s="231" t="s">
        <v>156</v>
      </c>
      <c r="L13" s="85">
        <v>0.85</v>
      </c>
      <c r="M13" s="224"/>
      <c r="N13" s="335">
        <v>3.5</v>
      </c>
      <c r="O13" s="335">
        <v>0.71517219194836557</v>
      </c>
      <c r="P13" s="104"/>
      <c r="Q13" s="2"/>
      <c r="R13" s="2"/>
      <c r="S13" s="87"/>
      <c r="T13" s="2"/>
      <c r="U13" s="2"/>
      <c r="V13" s="2"/>
      <c r="W13" s="2"/>
      <c r="X13" s="2"/>
      <c r="Y13" s="2"/>
    </row>
    <row r="14" spans="2:25" ht="16.5" customHeight="1">
      <c r="B14" s="4" t="s">
        <v>234</v>
      </c>
      <c r="C14" s="7" t="s">
        <v>241</v>
      </c>
      <c r="D14" s="102">
        <f>L11*Grow_out_capacity/1000*L25/1000</f>
        <v>243.40692085714284</v>
      </c>
      <c r="E14" s="286">
        <f>L10</f>
        <v>35</v>
      </c>
      <c r="F14" s="257">
        <f>D14*E14</f>
        <v>8519.2422299999998</v>
      </c>
      <c r="G14" s="250">
        <f>F14/$D$5</f>
        <v>5.9806057499252427E-2</v>
      </c>
      <c r="H14" s="283">
        <f t="shared" si="3"/>
        <v>1.993535249975081E-2</v>
      </c>
      <c r="I14" s="1"/>
      <c r="J14" s="128" t="s">
        <v>236</v>
      </c>
      <c r="K14" s="231" t="s">
        <v>156</v>
      </c>
      <c r="L14" s="85">
        <v>0.85</v>
      </c>
      <c r="M14" s="224"/>
      <c r="N14" s="335">
        <v>3.75</v>
      </c>
      <c r="O14" s="335">
        <v>0.96005917111503258</v>
      </c>
      <c r="P14" s="104"/>
      <c r="Q14" s="2"/>
      <c r="R14" s="2"/>
      <c r="S14" s="2"/>
      <c r="T14" s="2"/>
      <c r="U14" s="2"/>
      <c r="V14" s="2"/>
      <c r="W14" s="2"/>
      <c r="X14" s="2"/>
      <c r="Y14" s="2"/>
    </row>
    <row r="15" spans="2:25" ht="16.5" customHeight="1">
      <c r="B15" s="4" t="s">
        <v>205</v>
      </c>
      <c r="C15" s="7"/>
      <c r="D15" s="12"/>
      <c r="E15" s="286"/>
      <c r="F15" s="257">
        <f>L21*'Operating Inputs'!D5</f>
        <v>56940</v>
      </c>
      <c r="G15" s="250">
        <f t="shared" ref="G15:G33" si="4">F15/$D$5</f>
        <v>0.39972533026654339</v>
      </c>
      <c r="H15" s="283">
        <f t="shared" si="3"/>
        <v>0.13324177675551446</v>
      </c>
      <c r="I15" s="1"/>
      <c r="J15" s="128" t="s">
        <v>237</v>
      </c>
      <c r="K15" s="231" t="s">
        <v>156</v>
      </c>
      <c r="L15" s="85">
        <v>0.9</v>
      </c>
      <c r="M15" s="224"/>
      <c r="N15" s="335">
        <v>4</v>
      </c>
      <c r="O15" s="335">
        <v>1.2049461502816992</v>
      </c>
      <c r="P15" s="104"/>
      <c r="Q15" s="2"/>
      <c r="R15" s="2"/>
      <c r="S15" s="2"/>
      <c r="T15" s="2"/>
      <c r="U15" s="2"/>
      <c r="V15" s="2"/>
      <c r="W15" s="2"/>
      <c r="X15" s="2"/>
      <c r="Y15" s="2"/>
    </row>
    <row r="16" spans="2:25" ht="16.5" customHeight="1">
      <c r="B16" s="4" t="s">
        <v>115</v>
      </c>
      <c r="C16" s="7"/>
      <c r="D16" s="6"/>
      <c r="E16" s="286"/>
      <c r="F16" s="257">
        <f>'Trout Utilities'!G17+'Trout Utilities'!O3</f>
        <v>14192.368703886877</v>
      </c>
      <c r="G16" s="250">
        <f t="shared" si="4"/>
        <v>9.963205597867468E-2</v>
      </c>
      <c r="H16" s="283">
        <f t="shared" si="3"/>
        <v>3.3210685326224891E-2</v>
      </c>
      <c r="I16" s="1"/>
      <c r="J16" s="128" t="s">
        <v>238</v>
      </c>
      <c r="K16" s="231" t="s">
        <v>156</v>
      </c>
      <c r="L16" s="85">
        <v>0.9</v>
      </c>
      <c r="M16" s="224"/>
      <c r="N16" s="335">
        <v>4.25</v>
      </c>
      <c r="O16" s="335">
        <v>1.4498331294483653</v>
      </c>
      <c r="P16" s="104"/>
      <c r="Q16" s="2"/>
      <c r="R16" s="2"/>
      <c r="S16" s="130"/>
      <c r="T16" s="2"/>
      <c r="U16" s="2"/>
      <c r="V16" s="2"/>
      <c r="W16" s="2"/>
      <c r="X16" s="2"/>
      <c r="Y16" s="2"/>
    </row>
    <row r="17" spans="2:25" ht="16.5" customHeight="1">
      <c r="B17" s="4" t="s">
        <v>51</v>
      </c>
      <c r="C17" s="7"/>
      <c r="D17" s="6"/>
      <c r="E17" s="286"/>
      <c r="F17" s="257">
        <f>'Operating Inputs'!D7*12</f>
        <v>8400</v>
      </c>
      <c r="G17" s="250">
        <f t="shared" si="4"/>
        <v>5.8968963369142327E-2</v>
      </c>
      <c r="H17" s="283">
        <f t="shared" si="3"/>
        <v>1.9656321123047445E-2</v>
      </c>
      <c r="I17" s="1"/>
      <c r="J17" s="22" t="s">
        <v>270</v>
      </c>
      <c r="K17" s="231" t="s">
        <v>184</v>
      </c>
      <c r="L17" s="584">
        <v>2.2046244201837775E-2</v>
      </c>
      <c r="M17" s="225"/>
      <c r="N17" s="335">
        <v>4.5</v>
      </c>
      <c r="O17" s="335">
        <v>1.6947201086150323</v>
      </c>
      <c r="P17" s="104"/>
      <c r="Q17" s="2"/>
      <c r="R17" s="2"/>
      <c r="S17" s="2"/>
      <c r="T17" s="2"/>
      <c r="U17" s="2"/>
      <c r="V17" s="2"/>
      <c r="W17" s="2"/>
      <c r="X17" s="2"/>
      <c r="Y17" s="2"/>
    </row>
    <row r="18" spans="2:25" ht="16.5" customHeight="1">
      <c r="B18" s="4" t="s">
        <v>8</v>
      </c>
      <c r="C18" s="7"/>
      <c r="D18" s="6"/>
      <c r="E18" s="286"/>
      <c r="F18" s="257">
        <f>'Operating Inputs'!D8</f>
        <v>14414</v>
      </c>
      <c r="G18" s="250">
        <f t="shared" si="4"/>
        <v>0.10118793309557352</v>
      </c>
      <c r="H18" s="283">
        <f t="shared" si="3"/>
        <v>3.3729311031857841E-2</v>
      </c>
      <c r="I18" s="1"/>
      <c r="J18" s="22" t="s">
        <v>442</v>
      </c>
      <c r="K18" s="231" t="s">
        <v>184</v>
      </c>
      <c r="L18" s="584">
        <v>0.45415263055785821</v>
      </c>
      <c r="M18" s="225"/>
      <c r="N18" s="335">
        <v>4.75</v>
      </c>
      <c r="O18" s="335">
        <v>1.9396070877816989</v>
      </c>
      <c r="P18" s="104"/>
      <c r="Q18" s="2"/>
      <c r="R18" s="2"/>
      <c r="S18" s="2"/>
      <c r="T18" s="2"/>
      <c r="U18" s="2"/>
      <c r="V18" s="2"/>
      <c r="W18" s="2"/>
      <c r="X18" s="2"/>
      <c r="Y18" s="2"/>
    </row>
    <row r="19" spans="2:25" ht="16.5" customHeight="1">
      <c r="B19" s="4" t="s">
        <v>54</v>
      </c>
      <c r="C19" s="7"/>
      <c r="D19" s="6"/>
      <c r="E19" s="286"/>
      <c r="F19" s="257">
        <f>F5*'3- Stocking- Trout RAS'!L20</f>
        <v>8546.8689155172851</v>
      </c>
      <c r="G19" s="250">
        <f t="shared" si="4"/>
        <v>6.0000000000000005E-2</v>
      </c>
      <c r="H19" s="283">
        <f t="shared" si="3"/>
        <v>0.02</v>
      </c>
      <c r="I19" s="1"/>
      <c r="J19" s="22" t="s">
        <v>281</v>
      </c>
      <c r="K19" s="231" t="s">
        <v>189</v>
      </c>
      <c r="L19" s="105">
        <f>L11*L14*L15*L16/1000*L18</f>
        <v>0.37522090336690245</v>
      </c>
      <c r="M19" s="105"/>
      <c r="N19" s="335">
        <v>5</v>
      </c>
      <c r="O19" s="335">
        <v>2.1844940669483659</v>
      </c>
      <c r="P19" s="124"/>
      <c r="Q19" s="2"/>
      <c r="R19" s="2"/>
      <c r="S19" s="2"/>
      <c r="T19" s="2"/>
      <c r="U19" s="2"/>
      <c r="V19" s="2"/>
      <c r="W19" s="2"/>
      <c r="X19" s="2"/>
      <c r="Y19" s="2"/>
    </row>
    <row r="20" spans="2:25" ht="16.5" customHeight="1">
      <c r="B20" s="4" t="s">
        <v>141</v>
      </c>
      <c r="C20" s="7"/>
      <c r="D20" s="6"/>
      <c r="E20" s="286"/>
      <c r="F20" s="257">
        <f>'Operating Inputs'!D9</f>
        <v>3000</v>
      </c>
      <c r="G20" s="250">
        <f t="shared" si="4"/>
        <v>2.1060344060407975E-2</v>
      </c>
      <c r="H20" s="283">
        <f t="shared" si="3"/>
        <v>7.0201146868026582E-3</v>
      </c>
      <c r="I20" s="1"/>
      <c r="J20" s="127" t="s">
        <v>136</v>
      </c>
      <c r="K20" s="231" t="s">
        <v>137</v>
      </c>
      <c r="L20" s="85">
        <v>0.02</v>
      </c>
      <c r="M20" s="224"/>
      <c r="N20" s="335">
        <v>5.25</v>
      </c>
      <c r="O20" s="335">
        <v>2.4293810461150325</v>
      </c>
      <c r="P20" s="22"/>
      <c r="Q20" s="2"/>
      <c r="R20" s="2"/>
      <c r="S20" s="2"/>
      <c r="T20" s="2"/>
      <c r="U20" s="2"/>
      <c r="V20" s="2"/>
      <c r="W20" s="2"/>
      <c r="X20" s="2"/>
      <c r="Y20" s="2"/>
    </row>
    <row r="21" spans="2:25" ht="16.5" customHeight="1">
      <c r="B21" s="4" t="s">
        <v>22</v>
      </c>
      <c r="C21" s="7"/>
      <c r="D21" s="6"/>
      <c r="E21" s="9"/>
      <c r="F21" s="258">
        <v>0</v>
      </c>
      <c r="G21" s="250">
        <f t="shared" si="4"/>
        <v>0</v>
      </c>
      <c r="H21" s="283">
        <f t="shared" si="3"/>
        <v>0</v>
      </c>
      <c r="I21" s="1"/>
      <c r="J21" s="22" t="s">
        <v>205</v>
      </c>
      <c r="K21" s="231" t="s">
        <v>327</v>
      </c>
      <c r="L21" s="229">
        <v>2920</v>
      </c>
      <c r="M21" s="226"/>
      <c r="N21" s="335">
        <v>5.5</v>
      </c>
      <c r="O21" s="335">
        <v>2.674268025281699</v>
      </c>
      <c r="P21" s="2"/>
      <c r="Q21" s="2"/>
      <c r="R21" s="2"/>
      <c r="S21" s="2"/>
      <c r="T21" s="2"/>
      <c r="U21" s="2"/>
      <c r="V21" s="2"/>
      <c r="W21" s="2"/>
      <c r="X21" s="2"/>
      <c r="Y21" s="2"/>
    </row>
    <row r="22" spans="2:25" ht="16.5" customHeight="1">
      <c r="B22" s="4" t="s">
        <v>17</v>
      </c>
      <c r="C22" s="7" t="s">
        <v>138</v>
      </c>
      <c r="D22" s="6"/>
      <c r="E22" s="88">
        <f>'Operating Inputs'!D11</f>
        <v>7.7499999999999999E-2</v>
      </c>
      <c r="F22" s="259">
        <f>SUM(F11:F20)*(1-'Operating Inputs'!D12)*E22/L25</f>
        <v>5851.1674034804819</v>
      </c>
      <c r="G22" s="253">
        <f t="shared" si="4"/>
        <v>4.1075866224114306E-2</v>
      </c>
      <c r="H22" s="290">
        <f t="shared" si="3"/>
        <v>1.3691955408038102E-2</v>
      </c>
      <c r="I22" s="1"/>
      <c r="J22" s="22" t="s">
        <v>227</v>
      </c>
      <c r="K22" s="231" t="s">
        <v>240</v>
      </c>
      <c r="L22" s="585">
        <v>7</v>
      </c>
      <c r="M22" s="96"/>
      <c r="N22" s="335">
        <v>5.75</v>
      </c>
      <c r="O22" s="335">
        <v>2.9191550044483661</v>
      </c>
      <c r="P22" s="104"/>
      <c r="Q22" s="2"/>
      <c r="R22" s="2"/>
      <c r="S22" s="2"/>
      <c r="T22" s="2"/>
      <c r="U22" s="2"/>
      <c r="V22" s="2"/>
      <c r="W22" s="2"/>
      <c r="X22" s="2"/>
      <c r="Y22" s="2"/>
    </row>
    <row r="23" spans="2:25" ht="16.5" customHeight="1">
      <c r="B23" s="68" t="s">
        <v>16</v>
      </c>
      <c r="C23" s="68"/>
      <c r="D23" s="68"/>
      <c r="E23" s="68"/>
      <c r="F23" s="260">
        <f>SUM(F12:F22)</f>
        <v>260936.81551856888</v>
      </c>
      <c r="G23" s="251">
        <f>F23/$D$5</f>
        <v>1.8318063709494212</v>
      </c>
      <c r="H23" s="291">
        <f t="shared" si="3"/>
        <v>0.61060212364980704</v>
      </c>
      <c r="I23" s="1"/>
      <c r="J23" s="75" t="s">
        <v>188</v>
      </c>
      <c r="K23" s="231" t="s">
        <v>187</v>
      </c>
      <c r="L23" s="230">
        <v>400</v>
      </c>
      <c r="M23" s="227"/>
      <c r="N23" s="336">
        <v>6</v>
      </c>
      <c r="O23" s="336">
        <v>3.1640419836150322</v>
      </c>
      <c r="P23" s="2"/>
      <c r="Q23" s="2"/>
      <c r="R23" s="2"/>
      <c r="S23" s="2"/>
      <c r="T23" s="2"/>
      <c r="U23" s="2"/>
      <c r="V23" s="2"/>
      <c r="W23" s="2"/>
      <c r="X23" s="2"/>
      <c r="Y23" s="2"/>
    </row>
    <row r="24" spans="2:25" ht="16.5" customHeight="1">
      <c r="B24" s="78"/>
      <c r="C24" s="78"/>
      <c r="D24" s="78"/>
      <c r="E24" s="78"/>
      <c r="F24" s="76"/>
      <c r="G24" s="325"/>
      <c r="H24" s="239"/>
      <c r="I24" s="1"/>
      <c r="J24" s="75" t="s">
        <v>222</v>
      </c>
      <c r="K24" s="231" t="s">
        <v>219</v>
      </c>
      <c r="L24" s="230">
        <v>2000</v>
      </c>
      <c r="M24" s="227"/>
      <c r="N24" s="227"/>
      <c r="O24" s="227"/>
      <c r="P24" s="2"/>
      <c r="Q24" s="2"/>
      <c r="R24" s="2"/>
      <c r="S24" s="2"/>
      <c r="T24" s="2"/>
      <c r="U24" s="2"/>
      <c r="V24" s="2"/>
      <c r="W24" s="2"/>
      <c r="X24" s="2"/>
      <c r="Y24" s="2"/>
    </row>
    <row r="25" spans="2:25" ht="16.5" customHeight="1">
      <c r="B25" s="246" t="s">
        <v>18</v>
      </c>
      <c r="C25" s="70" t="s">
        <v>11</v>
      </c>
      <c r="D25" s="71" t="s">
        <v>13</v>
      </c>
      <c r="E25" s="72" t="s">
        <v>426</v>
      </c>
      <c r="F25" s="71" t="s">
        <v>0</v>
      </c>
      <c r="G25" s="71" t="s">
        <v>437</v>
      </c>
      <c r="H25" s="71" t="s">
        <v>137</v>
      </c>
      <c r="I25" s="1"/>
      <c r="J25" s="111" t="s">
        <v>57</v>
      </c>
      <c r="K25" s="232" t="s">
        <v>58</v>
      </c>
      <c r="L25" s="129">
        <f>12/L22</f>
        <v>1.7142857142857142</v>
      </c>
      <c r="M25" s="105"/>
      <c r="N25" s="105"/>
      <c r="O25" s="105"/>
      <c r="P25" s="2"/>
      <c r="Q25" s="2"/>
      <c r="R25" s="2"/>
      <c r="S25" s="2"/>
      <c r="T25" s="2"/>
      <c r="U25" s="2"/>
      <c r="V25" s="2"/>
      <c r="W25" s="2"/>
      <c r="X25" s="2"/>
      <c r="Y25" s="2"/>
    </row>
    <row r="26" spans="2:25" ht="16.5" customHeight="1">
      <c r="B26" s="4" t="s">
        <v>6</v>
      </c>
      <c r="C26" s="7" t="s">
        <v>163</v>
      </c>
      <c r="D26" s="10">
        <v>12</v>
      </c>
      <c r="E26" s="9"/>
      <c r="F26" s="261">
        <f>'Operating Inputs'!D15</f>
        <v>3000</v>
      </c>
      <c r="G26" s="250">
        <f t="shared" si="4"/>
        <v>2.1060344060407975E-2</v>
      </c>
      <c r="H26" s="283">
        <f t="shared" ref="H26:H31" si="5">F26/$F$5</f>
        <v>7.0201146868026582E-3</v>
      </c>
      <c r="I26" s="1"/>
      <c r="J26" s="2"/>
      <c r="K26" s="2"/>
      <c r="L26" s="2"/>
      <c r="M26" s="2"/>
      <c r="N26" s="2"/>
      <c r="O26" s="2"/>
      <c r="P26" s="2"/>
      <c r="Q26" s="2"/>
      <c r="R26" s="2"/>
      <c r="S26" s="2"/>
      <c r="T26" s="2"/>
      <c r="U26" s="2"/>
      <c r="V26" s="2"/>
      <c r="W26" s="2"/>
      <c r="X26" s="2"/>
      <c r="Y26" s="2"/>
    </row>
    <row r="27" spans="2:25" ht="16.5" customHeight="1">
      <c r="B27" s="4" t="s">
        <v>5</v>
      </c>
      <c r="C27" s="7" t="s">
        <v>163</v>
      </c>
      <c r="D27" s="10">
        <v>12</v>
      </c>
      <c r="E27" s="9"/>
      <c r="F27" s="261">
        <f>'Operating Inputs'!D16</f>
        <v>1000</v>
      </c>
      <c r="G27" s="250">
        <f t="shared" si="4"/>
        <v>7.0201146868026582E-3</v>
      </c>
      <c r="H27" s="283">
        <f t="shared" si="5"/>
        <v>2.3400382289342193E-3</v>
      </c>
      <c r="I27" s="1"/>
      <c r="J27" s="2"/>
      <c r="K27" s="2"/>
      <c r="L27" s="2"/>
      <c r="M27" s="2"/>
      <c r="N27" s="2"/>
      <c r="O27" s="2"/>
      <c r="P27" s="2"/>
      <c r="Q27" s="2"/>
      <c r="R27" s="2"/>
      <c r="S27" s="2"/>
      <c r="T27" s="2"/>
      <c r="U27" s="2"/>
      <c r="V27" s="2"/>
      <c r="W27" s="2"/>
      <c r="X27" s="2"/>
      <c r="Y27" s="2"/>
    </row>
    <row r="28" spans="2:25" ht="16.5" customHeight="1">
      <c r="B28" s="4" t="s">
        <v>198</v>
      </c>
      <c r="C28" s="7" t="s">
        <v>163</v>
      </c>
      <c r="D28" s="10">
        <v>1</v>
      </c>
      <c r="E28" s="9"/>
      <c r="F28" s="261">
        <f>'Operating Inputs'!D17</f>
        <v>45000</v>
      </c>
      <c r="G28" s="250">
        <f t="shared" si="4"/>
        <v>0.31590516090611964</v>
      </c>
      <c r="H28" s="283">
        <f t="shared" si="5"/>
        <v>0.10530172030203988</v>
      </c>
      <c r="I28" s="1"/>
      <c r="J28" s="2"/>
      <c r="K28" s="2"/>
      <c r="L28" s="2"/>
      <c r="M28" s="2"/>
      <c r="N28" s="2"/>
      <c r="O28" s="2"/>
      <c r="P28" s="2"/>
      <c r="Q28" s="2"/>
      <c r="R28" s="2"/>
      <c r="S28" s="2"/>
      <c r="T28" s="2"/>
      <c r="U28" s="2"/>
      <c r="V28" s="2"/>
      <c r="W28" s="2"/>
      <c r="X28" s="2"/>
      <c r="Y28" s="2"/>
    </row>
    <row r="29" spans="2:25" ht="16.5" customHeight="1">
      <c r="B29" s="4" t="s">
        <v>19</v>
      </c>
      <c r="C29" s="7"/>
      <c r="D29" s="10"/>
      <c r="E29" s="11">
        <f>'Operating Inputs'!D13</f>
        <v>7.2499999999999995E-2</v>
      </c>
      <c r="F29" s="261">
        <f>('Capital Inputs'!F39-(SUMPRODUCT('Capital Inputs'!F5:F19,'Capital Inputs'!H5:H19)+SUMPRODUCT('Capital Inputs'!F21:F38,'Capital Inputs'!H21:H38)))/2*E29</f>
        <v>14331.162</v>
      </c>
      <c r="G29" s="250">
        <f t="shared" si="4"/>
        <v>0.10060640083514816</v>
      </c>
      <c r="H29" s="283">
        <f t="shared" si="5"/>
        <v>3.3535466945049386E-2</v>
      </c>
      <c r="I29" s="1"/>
      <c r="J29" s="2"/>
      <c r="K29" s="2"/>
      <c r="L29" s="2"/>
      <c r="M29" s="2"/>
      <c r="N29" s="2"/>
      <c r="O29" s="2"/>
      <c r="P29" s="2"/>
      <c r="Q29" s="2"/>
      <c r="R29" s="2"/>
      <c r="S29" s="2"/>
      <c r="T29" s="2"/>
      <c r="U29" s="2"/>
      <c r="V29" s="2"/>
      <c r="W29" s="2"/>
      <c r="X29" s="2"/>
      <c r="Y29" s="2"/>
    </row>
    <row r="30" spans="2:25" ht="16.5" customHeight="1">
      <c r="B30" s="4" t="s">
        <v>20</v>
      </c>
      <c r="C30" s="7"/>
      <c r="D30" s="6"/>
      <c r="E30" s="9"/>
      <c r="F30" s="261">
        <f>'Capital Inputs'!I39</f>
        <v>28233.637738095244</v>
      </c>
      <c r="G30" s="250">
        <f t="shared" si="4"/>
        <v>0.19820337494706822</v>
      </c>
      <c r="H30" s="283">
        <f t="shared" si="5"/>
        <v>6.6067791649022739E-2</v>
      </c>
      <c r="I30" s="1"/>
      <c r="J30" s="2"/>
      <c r="K30" s="2"/>
      <c r="L30" s="2"/>
      <c r="M30" s="2"/>
      <c r="N30" s="2"/>
      <c r="O30" s="2"/>
      <c r="P30" s="2"/>
      <c r="S30" s="2"/>
      <c r="T30" s="2"/>
      <c r="U30" s="2"/>
      <c r="V30" s="2"/>
      <c r="W30" s="2"/>
      <c r="X30" s="2"/>
      <c r="Y30" s="2"/>
    </row>
    <row r="31" spans="2:25" ht="16.5" customHeight="1">
      <c r="B31" s="78" t="s">
        <v>4</v>
      </c>
      <c r="C31" s="78"/>
      <c r="D31" s="78"/>
      <c r="E31" s="78"/>
      <c r="F31" s="262">
        <f>SUM(F26:F30)</f>
        <v>91564.799738095244</v>
      </c>
      <c r="G31" s="251">
        <f t="shared" si="4"/>
        <v>0.64279539543554665</v>
      </c>
      <c r="H31" s="291">
        <f t="shared" si="5"/>
        <v>0.21426513181184886</v>
      </c>
      <c r="I31" s="1"/>
      <c r="J31" s="2"/>
      <c r="K31" s="2"/>
      <c r="L31" s="2"/>
      <c r="M31" s="2"/>
      <c r="N31" s="2"/>
      <c r="O31" s="2"/>
      <c r="P31" s="2"/>
      <c r="S31" s="2"/>
      <c r="T31" s="2"/>
      <c r="U31" s="2"/>
    </row>
    <row r="32" spans="2:25" ht="16.5" customHeight="1">
      <c r="B32" s="4"/>
      <c r="C32" s="7"/>
      <c r="D32" s="5"/>
      <c r="E32" s="5"/>
      <c r="F32" s="261"/>
      <c r="G32" s="250"/>
      <c r="H32" s="316"/>
      <c r="I32" s="1"/>
      <c r="J32" s="2"/>
      <c r="K32" s="2"/>
      <c r="L32" s="2"/>
      <c r="M32" s="2"/>
      <c r="N32" s="2"/>
      <c r="O32" s="2"/>
      <c r="P32" s="2"/>
      <c r="S32" s="2"/>
      <c r="X32" s="2"/>
      <c r="Y32" s="2"/>
    </row>
    <row r="33" spans="2:25" ht="16.5" customHeight="1">
      <c r="B33" s="92" t="s">
        <v>3</v>
      </c>
      <c r="C33" s="93"/>
      <c r="D33" s="93"/>
      <c r="E33" s="93"/>
      <c r="F33" s="265">
        <f>SUM(F31,F23)</f>
        <v>352501.61525666411</v>
      </c>
      <c r="G33" s="303">
        <f t="shared" si="4"/>
        <v>2.4746017663849678</v>
      </c>
      <c r="H33" s="292">
        <f>F33/$F$5</f>
        <v>0.82486725546165596</v>
      </c>
      <c r="I33" s="1"/>
      <c r="L33" s="125"/>
      <c r="M33" s="125"/>
      <c r="N33" s="125"/>
      <c r="O33" s="125"/>
      <c r="P33" s="2"/>
      <c r="Q33" s="141"/>
      <c r="R33" s="141"/>
      <c r="S33" s="2"/>
      <c r="T33" s="132" t="s">
        <v>313</v>
      </c>
      <c r="U33" s="132" t="s">
        <v>360</v>
      </c>
      <c r="V33" s="132" t="s">
        <v>313</v>
      </c>
      <c r="W33" s="132" t="s">
        <v>360</v>
      </c>
      <c r="X33" s="2"/>
      <c r="Y33" s="2"/>
    </row>
    <row r="34" spans="2:25" ht="16.5" customHeight="1">
      <c r="B34" s="94" t="s">
        <v>21</v>
      </c>
      <c r="C34" s="95"/>
      <c r="D34" s="95"/>
      <c r="E34" s="95"/>
      <c r="F34" s="268">
        <f>F7-F33</f>
        <v>32107.485941613675</v>
      </c>
      <c r="G34" s="304">
        <f>F34/$D$5</f>
        <v>0.22539823361503203</v>
      </c>
      <c r="H34" s="293">
        <f>F34/$F$5</f>
        <v>7.513274453834401E-2</v>
      </c>
      <c r="I34" s="1"/>
      <c r="L34" s="107"/>
      <c r="M34" s="107"/>
      <c r="N34" s="107"/>
      <c r="O34" s="107"/>
      <c r="P34" s="2"/>
      <c r="R34" s="142"/>
      <c r="S34" s="2"/>
      <c r="T34" s="133">
        <f>Q35</f>
        <v>0</v>
      </c>
      <c r="U34" s="134">
        <f>R35</f>
        <v>0</v>
      </c>
      <c r="V34" s="133">
        <f>Q45</f>
        <v>0</v>
      </c>
      <c r="W34" s="134">
        <f>R45</f>
        <v>0</v>
      </c>
      <c r="X34" s="2"/>
      <c r="Y34" s="2"/>
    </row>
    <row r="35" spans="2:25" ht="16.5" customHeight="1">
      <c r="B35" s="70"/>
      <c r="C35" s="71"/>
      <c r="D35" s="71"/>
      <c r="E35" s="71"/>
      <c r="F35" s="326"/>
      <c r="G35" s="327"/>
      <c r="H35" s="451"/>
      <c r="I35" s="1"/>
      <c r="L35" s="91"/>
      <c r="M35" s="91"/>
      <c r="N35" s="91"/>
      <c r="O35" s="91"/>
      <c r="P35" s="2"/>
      <c r="Q35" s="143"/>
      <c r="R35" s="142"/>
      <c r="S35" s="2"/>
      <c r="T35" s="133">
        <f t="shared" ref="T35:U43" si="6">Q36</f>
        <v>0</v>
      </c>
      <c r="U35" s="134">
        <f t="shared" si="6"/>
        <v>0</v>
      </c>
      <c r="V35" s="133">
        <f t="shared" ref="V35:W42" si="7">Q46</f>
        <v>0</v>
      </c>
      <c r="W35" s="134">
        <f t="shared" si="7"/>
        <v>0</v>
      </c>
      <c r="X35" s="2"/>
      <c r="Y35" s="2"/>
    </row>
    <row r="36" spans="2:25" ht="17.25" customHeight="1">
      <c r="B36" s="7"/>
      <c r="C36" s="68" t="s">
        <v>41</v>
      </c>
      <c r="E36" s="68" t="s">
        <v>42</v>
      </c>
      <c r="F36" s="2"/>
      <c r="G36" s="68" t="s">
        <v>296</v>
      </c>
      <c r="H36" s="243" cm="1">
        <f t="array" aca="1" ref="H36" ca="1">IFERROR(INDEX(_xlfn._xlws.FILTER(B52:B61, F52:F61&gt;0), 1),"&gt;10 years")</f>
        <v>7</v>
      </c>
      <c r="I36" s="1"/>
      <c r="L36" s="91"/>
      <c r="M36" s="91"/>
      <c r="N36" s="91"/>
      <c r="O36" s="91"/>
      <c r="P36" s="2"/>
      <c r="Q36" s="143"/>
      <c r="R36" s="142"/>
      <c r="S36" s="2"/>
      <c r="T36" s="133">
        <f t="shared" si="6"/>
        <v>0</v>
      </c>
      <c r="U36" s="134">
        <f t="shared" si="6"/>
        <v>0</v>
      </c>
      <c r="V36" s="133">
        <f t="shared" si="7"/>
        <v>0</v>
      </c>
      <c r="W36" s="134">
        <f t="shared" si="7"/>
        <v>0</v>
      </c>
      <c r="X36" s="2"/>
      <c r="Y36" s="2"/>
    </row>
    <row r="37" spans="2:25">
      <c r="B37" s="240" t="s">
        <v>31</v>
      </c>
      <c r="C37" s="247">
        <f>F23/D5</f>
        <v>1.8318063709494212</v>
      </c>
      <c r="E37" s="86">
        <f>F23/E5</f>
        <v>86978.938506189632</v>
      </c>
      <c r="F37" s="2"/>
      <c r="G37" s="242" t="s">
        <v>297</v>
      </c>
      <c r="H37" s="320">
        <f ca="1">IFERROR(IRR(E51:E61),"High loss")</f>
        <v>0.13323688514004717</v>
      </c>
      <c r="I37" s="1"/>
      <c r="L37" s="91"/>
      <c r="M37" s="91"/>
      <c r="N37" s="91"/>
      <c r="O37" s="91"/>
      <c r="P37" s="2"/>
      <c r="Q37" s="143"/>
      <c r="R37" s="142"/>
      <c r="S37" s="2"/>
      <c r="T37" s="133">
        <f t="shared" si="6"/>
        <v>0</v>
      </c>
      <c r="U37" s="134">
        <f t="shared" si="6"/>
        <v>0</v>
      </c>
      <c r="V37" s="133">
        <f t="shared" si="7"/>
        <v>0</v>
      </c>
      <c r="W37" s="134">
        <f t="shared" si="7"/>
        <v>0</v>
      </c>
      <c r="X37" s="2"/>
      <c r="Y37" s="2"/>
    </row>
    <row r="38" spans="2:25">
      <c r="B38" s="270" t="s">
        <v>32</v>
      </c>
      <c r="C38" s="449">
        <f>F33/D5</f>
        <v>2.4746017663849678</v>
      </c>
      <c r="D38" s="450"/>
      <c r="E38" s="271">
        <f>F33/E5</f>
        <v>117500.53841888804</v>
      </c>
      <c r="F38" s="272"/>
      <c r="G38" s="273" t="str">
        <f>"NPV at " &amp; 100*E29 &amp; " % in 10 years"</f>
        <v>NPV at 7.25 % in 10 years</v>
      </c>
      <c r="H38" s="263">
        <f ca="1">NPV(E29,E51:E61)</f>
        <v>152234.8498258763</v>
      </c>
      <c r="I38" s="1"/>
      <c r="L38" s="91"/>
      <c r="M38" s="91"/>
      <c r="N38" s="91"/>
      <c r="O38" s="91"/>
      <c r="P38" s="2"/>
      <c r="Q38" s="143"/>
      <c r="R38" s="142"/>
      <c r="S38" s="2"/>
      <c r="T38" s="133">
        <f t="shared" si="6"/>
        <v>0</v>
      </c>
      <c r="U38" s="134">
        <f t="shared" si="6"/>
        <v>0</v>
      </c>
      <c r="V38" s="133">
        <f t="shared" si="7"/>
        <v>0</v>
      </c>
      <c r="W38" s="134">
        <f t="shared" si="7"/>
        <v>0</v>
      </c>
      <c r="X38" s="2"/>
      <c r="Y38" s="2"/>
    </row>
    <row r="39" spans="2:25">
      <c r="B39" s="317"/>
      <c r="C39" s="317"/>
      <c r="D39" s="317"/>
      <c r="E39" s="317"/>
      <c r="F39" s="317"/>
      <c r="G39" s="317"/>
      <c r="H39" s="317"/>
      <c r="I39" s="1"/>
      <c r="L39" s="91"/>
      <c r="M39" s="91"/>
      <c r="N39" s="91"/>
      <c r="O39" s="91"/>
      <c r="P39" s="2"/>
      <c r="Q39" s="143"/>
      <c r="R39" s="142"/>
      <c r="S39" s="2"/>
      <c r="T39" s="133">
        <f t="shared" si="6"/>
        <v>0</v>
      </c>
      <c r="U39" s="134">
        <f t="shared" si="6"/>
        <v>0</v>
      </c>
      <c r="V39" s="133">
        <f t="shared" si="7"/>
        <v>0</v>
      </c>
      <c r="W39" s="134">
        <f t="shared" si="7"/>
        <v>0</v>
      </c>
      <c r="X39" s="2"/>
      <c r="Y39" s="2"/>
    </row>
    <row r="40" spans="2:25">
      <c r="B40" s="613" t="s">
        <v>438</v>
      </c>
      <c r="C40" s="613"/>
      <c r="D40" s="613"/>
      <c r="E40" s="613"/>
      <c r="F40" s="318"/>
      <c r="G40" s="319">
        <v>0.7</v>
      </c>
      <c r="H40" s="319">
        <v>1</v>
      </c>
      <c r="I40" s="3"/>
      <c r="L40" s="91"/>
      <c r="M40" s="91"/>
      <c r="N40" s="91"/>
      <c r="O40" s="91"/>
      <c r="P40" s="2"/>
      <c r="Q40" s="143"/>
      <c r="R40" s="142"/>
      <c r="S40" s="2"/>
      <c r="T40" s="133">
        <f t="shared" si="6"/>
        <v>0</v>
      </c>
      <c r="U40" s="134">
        <f t="shared" si="6"/>
        <v>0</v>
      </c>
      <c r="V40" s="133">
        <f t="shared" si="7"/>
        <v>0</v>
      </c>
      <c r="W40" s="134">
        <f t="shared" si="7"/>
        <v>0</v>
      </c>
      <c r="X40" s="2"/>
      <c r="Y40" s="2"/>
    </row>
    <row r="41" spans="2:25">
      <c r="B41" s="329"/>
      <c r="C41" s="330">
        <v>-0.3</v>
      </c>
      <c r="D41" s="331" t="s">
        <v>134</v>
      </c>
      <c r="E41" s="330">
        <v>0.3</v>
      </c>
      <c r="F41" s="13" t="s">
        <v>55</v>
      </c>
      <c r="G41" s="142">
        <f>(F5*G40)-(F6*G40)</f>
        <v>269226.37083879445</v>
      </c>
      <c r="H41" s="142">
        <f>F7</f>
        <v>384609.10119827779</v>
      </c>
      <c r="I41" s="19">
        <v>1.3</v>
      </c>
      <c r="L41" s="91"/>
      <c r="M41" s="91"/>
      <c r="N41" s="91"/>
      <c r="O41" s="91"/>
      <c r="P41" s="2"/>
      <c r="Q41" s="143"/>
      <c r="R41" s="142"/>
      <c r="S41" s="2"/>
      <c r="T41" s="133">
        <f t="shared" si="6"/>
        <v>0</v>
      </c>
      <c r="U41" s="134">
        <f t="shared" si="6"/>
        <v>0</v>
      </c>
      <c r="V41" s="133">
        <f t="shared" si="7"/>
        <v>0</v>
      </c>
      <c r="W41" s="134">
        <f t="shared" si="7"/>
        <v>0</v>
      </c>
      <c r="X41" s="2"/>
      <c r="Y41" s="2"/>
    </row>
    <row r="42" spans="2:25">
      <c r="B42" s="307" t="s">
        <v>192</v>
      </c>
      <c r="C42" s="308">
        <f>(G41-G42-G43)/'Capital Inputs'!$F$39</f>
        <v>-8.9251933415579507E-2</v>
      </c>
      <c r="D42" s="308">
        <f>(H41-H42-H43)/'Capital Inputs'!$F$39</f>
        <v>7.1136381772868434E-2</v>
      </c>
      <c r="E42" s="308">
        <f>(I42-I43-I44)/'Capital Inputs'!$F$39</f>
        <v>0.23152469696131636</v>
      </c>
      <c r="F42" s="13" t="s">
        <v>59</v>
      </c>
      <c r="G42" s="142">
        <f>(F12+F19)*G40+(F23-F12-F19)</f>
        <v>217945.53165624611</v>
      </c>
      <c r="H42" s="142">
        <f>F23</f>
        <v>260936.81551856888</v>
      </c>
      <c r="I42" s="20">
        <f>(F5*I41)-(F6*I41)</f>
        <v>499991.83155776112</v>
      </c>
      <c r="L42" s="91"/>
      <c r="M42" s="91"/>
      <c r="N42" s="91"/>
      <c r="O42" s="91"/>
      <c r="P42" s="2"/>
      <c r="Q42" s="143"/>
      <c r="R42" s="142"/>
      <c r="S42" s="2"/>
      <c r="T42" s="133">
        <f t="shared" si="6"/>
        <v>0</v>
      </c>
      <c r="U42" s="134">
        <f t="shared" si="6"/>
        <v>0</v>
      </c>
      <c r="V42" s="133">
        <f t="shared" si="7"/>
        <v>0</v>
      </c>
      <c r="W42" s="134">
        <f t="shared" si="7"/>
        <v>0</v>
      </c>
      <c r="X42" s="2"/>
      <c r="Y42" s="2"/>
    </row>
    <row r="43" spans="2:25">
      <c r="B43" s="307" t="s">
        <v>193</v>
      </c>
      <c r="C43" s="207">
        <f>(G41-G42)/G41</f>
        <v>0.1904748001571285</v>
      </c>
      <c r="D43" s="207">
        <f t="shared" ref="D43" si="8">(H41-H42)/H41</f>
        <v>0.32155319594465875</v>
      </c>
      <c r="E43" s="207">
        <f>(I42-I43)/I42</f>
        <v>0.39213387059948274</v>
      </c>
      <c r="F43" s="13" t="s">
        <v>60</v>
      </c>
      <c r="G43" s="142">
        <f>F31</f>
        <v>91564.799738095244</v>
      </c>
      <c r="H43" s="142">
        <f>F31</f>
        <v>91564.799738095244</v>
      </c>
      <c r="I43" s="20">
        <f>(F12+F19)*I41+(F23-F12-F19)</f>
        <v>303928.09938089165</v>
      </c>
      <c r="L43" s="91"/>
      <c r="M43" s="91"/>
      <c r="N43" s="91"/>
      <c r="O43" s="91"/>
      <c r="P43" s="2"/>
      <c r="Q43" s="143"/>
      <c r="R43" s="142"/>
      <c r="S43" s="2"/>
      <c r="T43" s="133">
        <f t="shared" si="6"/>
        <v>0</v>
      </c>
      <c r="U43" s="134">
        <f t="shared" si="6"/>
        <v>0</v>
      </c>
      <c r="V43" s="133"/>
      <c r="W43" s="133"/>
      <c r="X43" s="2"/>
      <c r="Y43" s="2"/>
    </row>
    <row r="44" spans="2:25" ht="16.5">
      <c r="B44" s="307" t="s">
        <v>21</v>
      </c>
      <c r="C44" s="309">
        <f>G41-G42-G43</f>
        <v>-40283.960555546902</v>
      </c>
      <c r="D44" s="309">
        <f t="shared" ref="D44" si="9">H41-H42-H43</f>
        <v>32107.485941613661</v>
      </c>
      <c r="E44" s="309">
        <f>I42-I43-I44</f>
        <v>104498.93243877422</v>
      </c>
      <c r="F44" s="2"/>
      <c r="G44" s="2"/>
      <c r="H44" s="2"/>
      <c r="I44" s="20">
        <f>F31</f>
        <v>91564.799738095244</v>
      </c>
      <c r="L44" s="91"/>
      <c r="M44" s="91"/>
      <c r="N44" s="91"/>
      <c r="O44" s="91"/>
      <c r="P44" s="2"/>
      <c r="Q44" s="143"/>
      <c r="R44" s="142"/>
      <c r="S44" s="2"/>
      <c r="X44" s="2"/>
      <c r="Y44" s="2"/>
    </row>
    <row r="45" spans="2:25" ht="16.5">
      <c r="B45" s="310" t="s">
        <v>194</v>
      </c>
      <c r="C45" s="311">
        <f>(G42+G43)/($D$5*G40)</f>
        <v>3.103997175912248</v>
      </c>
      <c r="D45" s="311">
        <f>(H42+H43)/($D$5*H40)</f>
        <v>2.4746017663849678</v>
      </c>
      <c r="E45" s="311">
        <f>(I43+I44)/($D$5*I41)</f>
        <v>2.1356965458702786</v>
      </c>
      <c r="F45" s="2"/>
      <c r="G45" s="2"/>
      <c r="H45" s="2"/>
      <c r="I45" s="2"/>
      <c r="L45" s="91"/>
      <c r="M45" s="91"/>
      <c r="N45" s="91"/>
      <c r="O45" s="91"/>
      <c r="P45" s="2"/>
      <c r="Q45" s="143"/>
      <c r="R45" s="142"/>
      <c r="S45" s="2"/>
      <c r="X45" s="2"/>
      <c r="Y45" s="2"/>
    </row>
    <row r="46" spans="2:25" ht="16.5">
      <c r="B46" s="312" t="s">
        <v>271</v>
      </c>
      <c r="C46" s="313"/>
      <c r="D46" s="313"/>
      <c r="E46" s="313"/>
      <c r="F46" s="2"/>
      <c r="G46" s="2"/>
      <c r="H46" s="2"/>
      <c r="I46" s="2"/>
      <c r="L46" s="91"/>
      <c r="M46" s="91"/>
      <c r="N46" s="91"/>
      <c r="O46" s="91"/>
      <c r="P46" s="2"/>
      <c r="Q46" s="143"/>
      <c r="R46" s="142"/>
      <c r="S46" s="2"/>
      <c r="X46" s="2"/>
      <c r="Y46" s="2"/>
    </row>
    <row r="47" spans="2:25" hidden="1">
      <c r="B47" s="96"/>
      <c r="C47" s="97"/>
      <c r="D47" s="97"/>
      <c r="E47" s="97"/>
      <c r="F47" s="2"/>
      <c r="G47" s="2"/>
      <c r="H47" s="2"/>
      <c r="I47" s="2"/>
      <c r="L47" s="91"/>
      <c r="M47" s="91"/>
      <c r="N47" s="91"/>
      <c r="O47" s="91"/>
      <c r="P47" s="2"/>
      <c r="Q47" s="143"/>
      <c r="R47" s="142"/>
      <c r="S47" s="2"/>
      <c r="X47" s="2"/>
      <c r="Y47" s="2"/>
    </row>
    <row r="48" spans="2:25" hidden="1">
      <c r="B48" s="96"/>
      <c r="C48" s="97"/>
      <c r="D48" s="97"/>
      <c r="E48" s="97"/>
      <c r="F48" s="2"/>
      <c r="G48" s="2"/>
      <c r="H48" s="2"/>
      <c r="I48" s="2"/>
      <c r="L48" s="91"/>
      <c r="M48" s="91"/>
      <c r="N48" s="91"/>
      <c r="O48" s="91"/>
      <c r="P48" s="2"/>
      <c r="Q48" s="143"/>
      <c r="R48" s="142"/>
      <c r="S48" s="2"/>
      <c r="T48" s="2"/>
      <c r="U48" s="2"/>
      <c r="V48" s="2"/>
      <c r="W48" s="2"/>
      <c r="X48" s="2"/>
      <c r="Y48" s="2"/>
    </row>
    <row r="49" spans="1:21" s="91" customFormat="1" hidden="1">
      <c r="A49" s="2"/>
      <c r="B49" s="135"/>
      <c r="C49" s="140"/>
      <c r="D49" s="140"/>
      <c r="E49" s="140"/>
      <c r="F49" s="13"/>
      <c r="G49" s="13"/>
      <c r="H49" s="2"/>
      <c r="I49" s="2"/>
      <c r="Q49" s="146"/>
      <c r="R49" s="145"/>
    </row>
    <row r="50" spans="1:21" s="91" customFormat="1" ht="16.5" hidden="1">
      <c r="A50" s="2"/>
      <c r="B50" s="582" t="s">
        <v>309</v>
      </c>
      <c r="C50" s="582" t="s">
        <v>298</v>
      </c>
      <c r="D50" s="580" t="s">
        <v>303</v>
      </c>
      <c r="E50" s="580" t="s">
        <v>304</v>
      </c>
      <c r="F50" s="582" t="s">
        <v>305</v>
      </c>
      <c r="G50" s="429"/>
      <c r="H50" s="574"/>
      <c r="I50" s="574"/>
      <c r="J50" s="381"/>
      <c r="Q50" s="146"/>
      <c r="R50" s="145"/>
    </row>
    <row r="51" spans="1:21" s="91" customFormat="1" ht="16.5" hidden="1">
      <c r="A51" s="2"/>
      <c r="B51" s="581">
        <v>0</v>
      </c>
      <c r="C51" s="215">
        <f>'Capital Inputs'!F39</f>
        <v>451351.125</v>
      </c>
      <c r="D51" s="215">
        <v>0</v>
      </c>
      <c r="E51" s="215">
        <f>D51-C51</f>
        <v>-451351.125</v>
      </c>
      <c r="F51" s="583">
        <f>E51</f>
        <v>-451351.125</v>
      </c>
      <c r="G51" s="381"/>
      <c r="H51" s="381"/>
      <c r="I51" s="574"/>
      <c r="J51" s="381"/>
      <c r="Q51" s="146"/>
      <c r="R51" s="145"/>
    </row>
    <row r="52" spans="1:21" s="91" customFormat="1" ht="16.5" hidden="1">
      <c r="A52" s="2"/>
      <c r="B52" s="581">
        <v>1</v>
      </c>
      <c r="C52" s="215">
        <f t="array" ref="C52:C61" ca="1">TRANSPOSE(K60:T60)</f>
        <v>0</v>
      </c>
      <c r="D52" s="215">
        <f>F7-F23-F26-F27-F28</f>
        <v>74672.285679708904</v>
      </c>
      <c r="E52" s="215">
        <f t="shared" ref="E52:E60" ca="1" si="10">D52-C52</f>
        <v>74672.285679708904</v>
      </c>
      <c r="F52" s="583">
        <f ca="1">F51+E52</f>
        <v>-376678.83932029107</v>
      </c>
      <c r="G52" s="381"/>
      <c r="H52" s="381"/>
      <c r="I52" s="381"/>
      <c r="J52" s="381"/>
      <c r="Q52" s="146"/>
      <c r="R52" s="145"/>
    </row>
    <row r="53" spans="1:21" s="91" customFormat="1" ht="16.5" hidden="1">
      <c r="A53" s="2"/>
      <c r="B53" s="581">
        <v>2</v>
      </c>
      <c r="C53" s="215">
        <f ca="1"/>
        <v>6150</v>
      </c>
      <c r="D53" s="215">
        <f t="shared" ref="D53:D61" si="11">D52</f>
        <v>74672.285679708904</v>
      </c>
      <c r="E53" s="215">
        <f t="shared" ca="1" si="10"/>
        <v>68522.285679708904</v>
      </c>
      <c r="F53" s="583">
        <f t="shared" ref="F53:F61" ca="1" si="12">F52+E53</f>
        <v>-308156.55364058213</v>
      </c>
      <c r="G53" s="381"/>
      <c r="H53" s="381"/>
      <c r="I53" s="381"/>
      <c r="J53" s="381"/>
      <c r="Q53" s="146"/>
      <c r="R53" s="145"/>
    </row>
    <row r="54" spans="1:21" s="91" customFormat="1" ht="16.5" hidden="1">
      <c r="A54" s="2"/>
      <c r="B54" s="581">
        <v>3</v>
      </c>
      <c r="C54" s="215">
        <v>200</v>
      </c>
      <c r="D54" s="215">
        <f t="shared" si="11"/>
        <v>74672.285679708904</v>
      </c>
      <c r="E54" s="215">
        <f t="shared" si="10"/>
        <v>74472.285679708904</v>
      </c>
      <c r="F54" s="583">
        <f t="shared" ca="1" si="12"/>
        <v>-233684.26796087323</v>
      </c>
      <c r="G54" s="381"/>
      <c r="H54" s="381"/>
      <c r="I54" s="381"/>
      <c r="J54" s="381"/>
    </row>
    <row r="55" spans="1:21" s="91" customFormat="1" ht="16.5" hidden="1">
      <c r="A55" s="2"/>
      <c r="B55" s="581">
        <v>4</v>
      </c>
      <c r="C55" s="215">
        <f ca="1"/>
        <v>0</v>
      </c>
      <c r="D55" s="215">
        <f t="shared" si="11"/>
        <v>74672.285679708904</v>
      </c>
      <c r="E55" s="215">
        <f t="shared" ca="1" si="10"/>
        <v>74672.285679708904</v>
      </c>
      <c r="F55" s="583">
        <f t="shared" ca="1" si="12"/>
        <v>-159011.98228116432</v>
      </c>
      <c r="G55" s="381"/>
      <c r="H55" s="381"/>
      <c r="I55" s="381"/>
      <c r="J55" s="381"/>
    </row>
    <row r="56" spans="1:21" s="91" customFormat="1" ht="16.5" hidden="1">
      <c r="A56" s="2"/>
      <c r="B56" s="581">
        <v>5</v>
      </c>
      <c r="C56" s="215">
        <f ca="1"/>
        <v>17632.400000000001</v>
      </c>
      <c r="D56" s="215">
        <f t="shared" si="11"/>
        <v>74672.285679708904</v>
      </c>
      <c r="E56" s="215">
        <f t="shared" ca="1" si="10"/>
        <v>57039.885679708903</v>
      </c>
      <c r="F56" s="583">
        <f t="shared" ca="1" si="12"/>
        <v>-101972.09660145541</v>
      </c>
      <c r="G56" s="381"/>
      <c r="H56" s="381"/>
      <c r="I56" s="381"/>
      <c r="J56" s="381"/>
    </row>
    <row r="57" spans="1:21" s="91" customFormat="1" ht="16.5" hidden="1">
      <c r="A57" s="2"/>
      <c r="B57" s="581">
        <v>6</v>
      </c>
      <c r="C57" s="215">
        <f ca="1"/>
        <v>0</v>
      </c>
      <c r="D57" s="215">
        <f t="shared" si="11"/>
        <v>74672.285679708904</v>
      </c>
      <c r="E57" s="215">
        <f t="shared" ca="1" si="10"/>
        <v>74672.285679708904</v>
      </c>
      <c r="F57" s="583">
        <f t="shared" ca="1" si="12"/>
        <v>-27299.81092174651</v>
      </c>
      <c r="G57" s="381"/>
      <c r="H57" s="381"/>
      <c r="I57" s="381"/>
      <c r="J57" s="381" t="s">
        <v>302</v>
      </c>
      <c r="K57" s="91">
        <v>1</v>
      </c>
      <c r="L57" s="91">
        <v>2</v>
      </c>
      <c r="M57" s="91">
        <v>3</v>
      </c>
      <c r="N57" s="91">
        <v>4</v>
      </c>
      <c r="O57" s="91">
        <v>5</v>
      </c>
      <c r="P57" s="91">
        <v>6</v>
      </c>
      <c r="Q57" s="91">
        <v>7</v>
      </c>
      <c r="R57" s="91">
        <v>8</v>
      </c>
      <c r="S57" s="91">
        <v>9</v>
      </c>
      <c r="T57" s="91">
        <v>10</v>
      </c>
    </row>
    <row r="58" spans="1:21" s="91" customFormat="1" ht="16.5" hidden="1">
      <c r="A58" s="2"/>
      <c r="B58" s="581">
        <v>7</v>
      </c>
      <c r="C58" s="215">
        <f ca="1"/>
        <v>990</v>
      </c>
      <c r="D58" s="215">
        <f t="shared" si="11"/>
        <v>74672.285679708904</v>
      </c>
      <c r="E58" s="215">
        <f t="shared" ca="1" si="10"/>
        <v>73682.285679708904</v>
      </c>
      <c r="F58" s="583">
        <f t="shared" ca="1" si="12"/>
        <v>46382.474757962395</v>
      </c>
      <c r="G58" s="381"/>
      <c r="H58" s="381"/>
      <c r="I58" s="381"/>
      <c r="J58" s="381" t="s">
        <v>299</v>
      </c>
      <c r="K58" s="575">
        <f>SUMIF('Capital Inputs'!$G$5:$G$38,K$57,'Capital Inputs'!$F$5:$F$38)</f>
        <v>0</v>
      </c>
      <c r="L58" s="575">
        <f>SUMIF('Capital Inputs'!$G$5:$G$38,L$57,'Capital Inputs'!$F$5:$F$38)</f>
        <v>6150</v>
      </c>
      <c r="M58" s="575">
        <f>SUMIF('Capital Inputs'!$G$5:$G$38,M$57,'Capital Inputs'!$F$5:$F$38)</f>
        <v>200</v>
      </c>
      <c r="N58" s="575">
        <f>SUMIF('Capital Inputs'!$G$5:$G$38,N$57,'Capital Inputs'!$F$5:$F$38)</f>
        <v>0</v>
      </c>
      <c r="O58" s="575">
        <f>SUMIF('Capital Inputs'!$G$5:$G$38,O$57,'Capital Inputs'!$F$5:$F$38)</f>
        <v>20823</v>
      </c>
      <c r="P58" s="575">
        <f>SUMIF('Capital Inputs'!$G$5:$G$38,P$57,'Capital Inputs'!$F$5:$F$38)</f>
        <v>0</v>
      </c>
      <c r="Q58" s="575">
        <f>SUMIF('Capital Inputs'!$G$5:$G$38,Q$57,'Capital Inputs'!$F$5:$F$38)</f>
        <v>1100</v>
      </c>
      <c r="R58" s="575">
        <f>SUMIF('Capital Inputs'!$G$5:$G$38,R$57,'Capital Inputs'!$F$5:$F$38)</f>
        <v>0</v>
      </c>
      <c r="S58" s="575">
        <f>SUMIF('Capital Inputs'!$G$5:$G$38,S$57,'Capital Inputs'!$F$5:$F$38)</f>
        <v>0</v>
      </c>
      <c r="T58" s="575">
        <f>SUMIF('Capital Inputs'!$G$5:$G$38,T$57,'Capital Inputs'!$F$5:$F$38)</f>
        <v>113828.125</v>
      </c>
    </row>
    <row r="59" spans="1:21" s="91" customFormat="1" ht="16.5" hidden="1">
      <c r="A59" s="2"/>
      <c r="B59" s="581">
        <v>8</v>
      </c>
      <c r="C59" s="215">
        <f ca="1"/>
        <v>0</v>
      </c>
      <c r="D59" s="215">
        <f t="shared" si="11"/>
        <v>74672.285679708904</v>
      </c>
      <c r="E59" s="215">
        <f t="shared" ca="1" si="10"/>
        <v>74672.285679708904</v>
      </c>
      <c r="F59" s="583">
        <f t="shared" ca="1" si="12"/>
        <v>121054.7604376713</v>
      </c>
      <c r="G59" s="381"/>
      <c r="H59" s="381"/>
      <c r="I59" s="381"/>
      <c r="J59" s="381" t="s">
        <v>301</v>
      </c>
      <c r="K59" s="575">
        <f ca="1">SUMIF('Capital Inputs'!$G$5:$G$38,K$57,'Capital Inputs'!$P$4:$P$33)</f>
        <v>0</v>
      </c>
      <c r="L59" s="575">
        <f ca="1">SUMIF('Capital Inputs'!$G$5:$G$38,L$57,'Capital Inputs'!$P$5:$P$37)</f>
        <v>0</v>
      </c>
      <c r="M59" s="575">
        <f>SUMIF('Capital Inputs'!$G$5:$G$38,M$57,'Capital Inputs'!$P$5:$P$38)</f>
        <v>0</v>
      </c>
      <c r="N59" s="575">
        <f ca="1">SUMIF('Capital Inputs'!$G$5:$G$38,N$57,'Capital Inputs'!$P$5:$P$33)</f>
        <v>0</v>
      </c>
      <c r="O59" s="575">
        <f ca="1">SUMIF('Capital Inputs'!$G$5:$G$38,O$57,'Capital Inputs'!$P$5:$P$33)</f>
        <v>3190.6</v>
      </c>
      <c r="P59" s="575">
        <f ca="1">SUMIF('Capital Inputs'!$G$5:$G$38,P$57,'Capital Inputs'!$P$5:$P$33)</f>
        <v>0</v>
      </c>
      <c r="Q59" s="575">
        <f ca="1">SUMIF('Capital Inputs'!$G$5:$G$38,Q$57,'Capital Inputs'!$P$5:$P$33)</f>
        <v>110</v>
      </c>
      <c r="R59" s="575">
        <f ca="1">SUMIF('Capital Inputs'!$G$5:$G$38,R$57,'Capital Inputs'!$P$5:$P$33)</f>
        <v>0</v>
      </c>
      <c r="S59" s="575">
        <f ca="1">SUMIF('Capital Inputs'!$G$5:$G$38,S$57,'Capital Inputs'!$P$5:$P$33)</f>
        <v>0</v>
      </c>
      <c r="T59" s="575">
        <f ca="1">SUMIF('Capital Inputs'!$G$5:$G$38,T$57,'Capital Inputs'!$P$5:$P$33)</f>
        <v>22070.625</v>
      </c>
      <c r="U59" s="91" t="s">
        <v>376</v>
      </c>
    </row>
    <row r="60" spans="1:21" s="91" customFormat="1" ht="16.5" hidden="1">
      <c r="A60" s="2"/>
      <c r="B60" s="581">
        <v>9</v>
      </c>
      <c r="C60" s="215">
        <f ca="1"/>
        <v>0</v>
      </c>
      <c r="D60" s="215">
        <f t="shared" si="11"/>
        <v>74672.285679708904</v>
      </c>
      <c r="E60" s="215">
        <f t="shared" ca="1" si="10"/>
        <v>74672.285679708904</v>
      </c>
      <c r="F60" s="583">
        <f t="shared" ca="1" si="12"/>
        <v>195727.0461173802</v>
      </c>
      <c r="G60" s="381"/>
      <c r="H60" s="381"/>
      <c r="I60" s="381"/>
      <c r="J60" s="381" t="s">
        <v>379</v>
      </c>
      <c r="K60" s="575">
        <f t="shared" ref="K60:L60" ca="1" si="13">K58-K59</f>
        <v>0</v>
      </c>
      <c r="L60" s="575">
        <f t="shared" ca="1" si="13"/>
        <v>6150</v>
      </c>
      <c r="M60" s="575">
        <f t="shared" ref="M60" si="14">M58-M59</f>
        <v>200</v>
      </c>
      <c r="N60" s="575">
        <f t="shared" ref="N60" ca="1" si="15">N58-N59</f>
        <v>0</v>
      </c>
      <c r="O60" s="575">
        <f t="shared" ref="O60" ca="1" si="16">O58-O59</f>
        <v>17632.400000000001</v>
      </c>
      <c r="P60" s="575">
        <f t="shared" ref="P60" ca="1" si="17">P58-P59</f>
        <v>0</v>
      </c>
      <c r="Q60" s="575">
        <f t="shared" ref="Q60" ca="1" si="18">Q58-Q59</f>
        <v>990</v>
      </c>
      <c r="R60" s="575">
        <f t="shared" ref="R60" ca="1" si="19">R58-R59</f>
        <v>0</v>
      </c>
      <c r="S60" s="575">
        <f t="shared" ref="S60" ca="1" si="20">S58-S59</f>
        <v>0</v>
      </c>
      <c r="T60" s="575">
        <f t="shared" ref="T60" ca="1" si="21">T58-T59</f>
        <v>91757.5</v>
      </c>
      <c r="U60" s="575"/>
    </row>
    <row r="61" spans="1:21" s="91" customFormat="1" ht="16.5" hidden="1">
      <c r="A61" s="2"/>
      <c r="B61" s="581">
        <v>10</v>
      </c>
      <c r="C61" s="215">
        <f ca="1"/>
        <v>91757.5</v>
      </c>
      <c r="D61" s="215">
        <f t="shared" si="11"/>
        <v>74672.285679708904</v>
      </c>
      <c r="E61" s="215">
        <f ca="1">D61-C61+D62</f>
        <v>305641.83329875651</v>
      </c>
      <c r="F61" s="583">
        <f t="shared" ca="1" si="12"/>
        <v>501368.87941613671</v>
      </c>
      <c r="G61" s="381"/>
      <c r="H61" s="381"/>
      <c r="I61" s="381"/>
      <c r="J61" s="381" t="s">
        <v>380</v>
      </c>
      <c r="K61" s="575">
        <f>SUMIF('Capital Inputs'!$G$17:$G$19,K$57,'Capital Inputs'!$F$17:$F$19)</f>
        <v>0</v>
      </c>
      <c r="L61" s="575">
        <f>SUMIF('Capital Inputs'!$G$17:$G$19,L$57,'Capital Inputs'!$F$17:$F$19)</f>
        <v>0</v>
      </c>
      <c r="M61" s="575">
        <f>SUMIF('Capital Inputs'!$G$17:$G$19,M$57,'Capital Inputs'!$F$17:$F$19)</f>
        <v>0</v>
      </c>
      <c r="N61" s="575">
        <f>SUMIF('Capital Inputs'!$G$17:$G$19,N$57,'Capital Inputs'!$F$17:$F$19)</f>
        <v>0</v>
      </c>
      <c r="O61" s="575">
        <f>SUMIF('Capital Inputs'!$G$17:$G$19,O$57,'Capital Inputs'!$F$17:$F$19)</f>
        <v>2173</v>
      </c>
      <c r="P61" s="575">
        <f>SUMIF('Capital Inputs'!$G$17:$G$19,P$57,'Capital Inputs'!$F$17:$F$19)</f>
        <v>0</v>
      </c>
      <c r="Q61" s="575">
        <f>SUMIF('Capital Inputs'!$G$17:$G$19,Q$57,'Capital Inputs'!$F$17:$F$19)</f>
        <v>0</v>
      </c>
      <c r="R61" s="575">
        <f>SUMIF('Capital Inputs'!$G$17:$G$19,R$57,'Capital Inputs'!$F$17:$F$19)</f>
        <v>0</v>
      </c>
      <c r="S61" s="575">
        <f>SUMIF('Capital Inputs'!$G$17:$G$19,S$57,'Capital Inputs'!$F$17:$F$19)</f>
        <v>0</v>
      </c>
      <c r="T61" s="575">
        <f>SUMIF('Capital Inputs'!$G$17:$G$19,T$57,'Capital Inputs'!$F$17:$F$19)</f>
        <v>1555</v>
      </c>
    </row>
    <row r="62" spans="1:21" s="91" customFormat="1" ht="16.5" hidden="1">
      <c r="A62" s="2"/>
      <c r="B62" s="582" t="s">
        <v>307</v>
      </c>
      <c r="C62" s="583"/>
      <c r="D62" s="215">
        <f>SUM('Capital Inputs'!R6:R35)</f>
        <v>322727.04761904757</v>
      </c>
      <c r="E62" s="583"/>
      <c r="F62" s="583"/>
      <c r="G62" s="381"/>
      <c r="H62" s="381"/>
      <c r="I62" s="381"/>
      <c r="J62" s="381" t="s">
        <v>381</v>
      </c>
      <c r="K62" s="575">
        <f>SUMIF('Capital Inputs'!$G$17:$G$19,K$57,'Capital Inputs'!$P$17:$P$19)</f>
        <v>0</v>
      </c>
      <c r="L62" s="575">
        <f>SUMIF('Capital Inputs'!$G$17:$G$19,L$57,'Capital Inputs'!$P$17:$P$19)</f>
        <v>0</v>
      </c>
      <c r="M62" s="575">
        <f>SUMIF('Capital Inputs'!$G$17:$G$19,M$57,'Capital Inputs'!$P$17:$P$19)</f>
        <v>0</v>
      </c>
      <c r="N62" s="575">
        <f>SUMIF('Capital Inputs'!$G$17:$G$19,N$57,'Capital Inputs'!$P$17:$P$19)</f>
        <v>0</v>
      </c>
      <c r="O62" s="575">
        <f>SUMIF('Capital Inputs'!$G$17:$G$19,O$57,'Capital Inputs'!$P$17:$P$19)</f>
        <v>360.6</v>
      </c>
      <c r="P62" s="575">
        <f>SUMIF('Capital Inputs'!$G$17:$G$19,P$57,'Capital Inputs'!$P$17:$P$19)</f>
        <v>0</v>
      </c>
      <c r="Q62" s="575">
        <f>SUMIF('Capital Inputs'!$G$17:$G$19,Q$57,'Capital Inputs'!$P$17:$P$19)</f>
        <v>0</v>
      </c>
      <c r="R62" s="575">
        <f>SUMIF('Capital Inputs'!$G$17:$G$19,R$57,'Capital Inputs'!$P$17:$P$19)</f>
        <v>0</v>
      </c>
      <c r="S62" s="575">
        <f>SUMIF('Capital Inputs'!$G$17:$G$19,S$57,'Capital Inputs'!$P$17:$P$19)</f>
        <v>0</v>
      </c>
      <c r="T62" s="575">
        <f>SUMIF('Capital Inputs'!$G$17:$G$19,T$57,'Capital Inputs'!$P$17:$P$19)</f>
        <v>155.5</v>
      </c>
    </row>
    <row r="63" spans="1:21" s="91" customFormat="1" ht="16.5" hidden="1">
      <c r="A63" s="2"/>
      <c r="B63" s="582"/>
      <c r="C63" s="580"/>
      <c r="D63" s="582"/>
      <c r="E63" s="582"/>
      <c r="F63" s="582"/>
      <c r="G63" s="381"/>
      <c r="H63" s="381"/>
      <c r="I63" s="381"/>
      <c r="J63" s="381" t="s">
        <v>382</v>
      </c>
      <c r="K63" s="575">
        <f ca="1">K60+K61-K62</f>
        <v>0</v>
      </c>
      <c r="L63" s="575">
        <f t="shared" ref="L63" ca="1" si="22">L60+L61-L62</f>
        <v>6150</v>
      </c>
      <c r="M63" s="575">
        <f t="shared" ref="M63:T63" si="23">M60+M61-M62</f>
        <v>200</v>
      </c>
      <c r="N63" s="575">
        <f t="shared" ca="1" si="23"/>
        <v>0</v>
      </c>
      <c r="O63" s="575">
        <f t="shared" ca="1" si="23"/>
        <v>19444.800000000003</v>
      </c>
      <c r="P63" s="575">
        <f t="shared" ca="1" si="23"/>
        <v>0</v>
      </c>
      <c r="Q63" s="575">
        <f t="shared" ca="1" si="23"/>
        <v>990</v>
      </c>
      <c r="R63" s="575">
        <f t="shared" ca="1" si="23"/>
        <v>0</v>
      </c>
      <c r="S63" s="575">
        <f t="shared" ca="1" si="23"/>
        <v>0</v>
      </c>
      <c r="T63" s="575">
        <f t="shared" ca="1" si="23"/>
        <v>93157</v>
      </c>
    </row>
    <row r="64" spans="1:21" s="91" customFormat="1" ht="16.5" hidden="1" customHeight="1">
      <c r="A64" s="2"/>
      <c r="C64" s="391"/>
    </row>
    <row r="65" spans="1:10" s="91" customFormat="1" ht="16.5" hidden="1" customHeight="1">
      <c r="A65" s="2"/>
      <c r="C65" s="391"/>
    </row>
    <row r="66" spans="1:10" s="91" customFormat="1" hidden="1">
      <c r="A66" s="2"/>
      <c r="B66" s="13"/>
      <c r="C66" s="391"/>
    </row>
    <row r="67" spans="1:10" hidden="1">
      <c r="E67" s="91"/>
      <c r="F67" s="91"/>
      <c r="G67" s="91"/>
      <c r="H67" s="91"/>
      <c r="I67" s="91"/>
      <c r="J67" s="91"/>
    </row>
    <row r="68" spans="1:10" hidden="1">
      <c r="E68" s="91"/>
      <c r="F68" s="91"/>
      <c r="G68" s="91"/>
      <c r="H68" s="91"/>
      <c r="I68" s="91"/>
      <c r="J68" s="91"/>
    </row>
    <row r="69" spans="1:10" hidden="1">
      <c r="E69" s="91"/>
      <c r="F69" s="91"/>
      <c r="G69" s="91"/>
      <c r="H69" s="91"/>
      <c r="I69" s="91"/>
      <c r="J69" s="91"/>
    </row>
    <row r="70" spans="1:10" hidden="1">
      <c r="I70" s="91"/>
      <c r="J70" s="91"/>
    </row>
  </sheetData>
  <sheetProtection sheet="1" objects="1" scenarios="1"/>
  <mergeCells count="2">
    <mergeCell ref="B2:H2"/>
    <mergeCell ref="B40:E40"/>
  </mergeCells>
  <phoneticPr fontId="21"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D8D66-045A-4C83-9FDC-A18354492674}">
  <dimension ref="A1:Z67"/>
  <sheetViews>
    <sheetView showGridLines="0" zoomScaleNormal="100" workbookViewId="0">
      <selection activeCell="L23" sqref="L23"/>
    </sheetView>
  </sheetViews>
  <sheetFormatPr defaultColWidth="0" defaultRowHeight="16.5" zeroHeight="1"/>
  <cols>
    <col min="1" max="1" width="2.33203125" style="2" customWidth="1"/>
    <col min="2" max="2" width="33.77734375" style="2" customWidth="1"/>
    <col min="3" max="3" width="10" style="2" customWidth="1"/>
    <col min="4" max="4" width="11.77734375" style="2" customWidth="1"/>
    <col min="5" max="5" width="10.33203125" style="2" customWidth="1"/>
    <col min="6" max="8" width="11.77734375" style="2" customWidth="1"/>
    <col min="9" max="9" width="3.33203125" style="2" customWidth="1"/>
    <col min="10" max="10" width="33.21875" style="2" customWidth="1"/>
    <col min="11" max="11" width="12.6640625" style="2" customWidth="1"/>
    <col min="12" max="12" width="10.109375" style="2" customWidth="1"/>
    <col min="13" max="13" width="3.33203125" style="2" customWidth="1"/>
    <col min="14" max="14" width="8.77734375" style="2" customWidth="1"/>
    <col min="15" max="15" width="17.88671875" style="2" customWidth="1"/>
    <col min="16" max="16" width="3.33203125" style="2" customWidth="1"/>
    <col min="17" max="17" width="29" style="2" hidden="1" customWidth="1"/>
    <col min="18" max="26" width="0" style="2" hidden="1" customWidth="1"/>
    <col min="27" max="16384" width="11.88671875" style="2" hidden="1"/>
  </cols>
  <sheetData>
    <row r="1" spans="2:18"/>
    <row r="2" spans="2:18" ht="18.75">
      <c r="B2" s="612" t="s">
        <v>293</v>
      </c>
      <c r="C2" s="612"/>
      <c r="D2" s="612"/>
      <c r="E2" s="612"/>
      <c r="F2" s="612"/>
      <c r="G2" s="612"/>
      <c r="H2" s="612"/>
      <c r="I2" s="355"/>
      <c r="J2" s="373" t="s">
        <v>443</v>
      </c>
      <c r="K2" s="337"/>
      <c r="L2" s="337"/>
      <c r="M2" s="337"/>
      <c r="N2" s="332" t="s">
        <v>432</v>
      </c>
      <c r="O2" s="332" t="s">
        <v>433</v>
      </c>
      <c r="P2" s="356"/>
    </row>
    <row r="3" spans="2:18" ht="15.75" customHeight="1">
      <c r="B3" s="275"/>
      <c r="C3" s="275"/>
      <c r="D3" s="392"/>
      <c r="E3" s="393"/>
      <c r="F3" s="392"/>
      <c r="G3" s="392"/>
      <c r="H3" s="392"/>
      <c r="I3" s="355"/>
      <c r="J3" s="214" t="s">
        <v>135</v>
      </c>
      <c r="K3" s="214" t="s">
        <v>11</v>
      </c>
      <c r="L3" s="214" t="s">
        <v>45</v>
      </c>
      <c r="M3" s="357"/>
      <c r="N3" s="333" t="s">
        <v>435</v>
      </c>
      <c r="O3" s="333" t="s">
        <v>435</v>
      </c>
      <c r="P3" s="353"/>
    </row>
    <row r="4" spans="2:18">
      <c r="B4" s="431" t="s">
        <v>197</v>
      </c>
      <c r="C4" s="431" t="s">
        <v>11</v>
      </c>
      <c r="D4" s="432" t="s">
        <v>13</v>
      </c>
      <c r="E4" s="433" t="s">
        <v>426</v>
      </c>
      <c r="F4" s="432" t="s">
        <v>0</v>
      </c>
      <c r="G4" s="432" t="s">
        <v>437</v>
      </c>
      <c r="H4" s="432" t="s">
        <v>137</v>
      </c>
      <c r="I4" s="355"/>
      <c r="J4" s="338" t="s">
        <v>359</v>
      </c>
      <c r="K4" s="367" t="s">
        <v>183</v>
      </c>
      <c r="L4" s="378">
        <v>4.5</v>
      </c>
      <c r="M4" s="365"/>
      <c r="N4" s="382"/>
      <c r="O4" s="383">
        <f>G33</f>
        <v>0.46675381394491972</v>
      </c>
      <c r="P4" s="358"/>
    </row>
    <row r="5" spans="2:18">
      <c r="B5" s="395" t="s">
        <v>361</v>
      </c>
      <c r="C5" s="396" t="s">
        <v>191</v>
      </c>
      <c r="D5" s="397">
        <f>D13*L10</f>
        <v>263802.70501199999</v>
      </c>
      <c r="E5" s="435">
        <f>L4</f>
        <v>4.5</v>
      </c>
      <c r="F5" s="438">
        <f>D5*E5</f>
        <v>1187112.172554</v>
      </c>
      <c r="G5" s="440">
        <f>E5</f>
        <v>4.5</v>
      </c>
      <c r="H5" s="400">
        <f>F5/$F$5</f>
        <v>1</v>
      </c>
      <c r="I5" s="355"/>
      <c r="J5" s="341" t="s">
        <v>338</v>
      </c>
      <c r="K5" s="367" t="s">
        <v>182</v>
      </c>
      <c r="L5" s="380">
        <v>2050.2209090909091</v>
      </c>
      <c r="M5" s="365"/>
      <c r="N5" s="383">
        <v>2</v>
      </c>
      <c r="O5" s="383">
        <f t="dataTable" ref="O5:O23" dt2D="0" dtr="0" r1="L4"/>
        <v>-1.9824388943884135</v>
      </c>
      <c r="P5" s="358"/>
      <c r="R5" s="87"/>
    </row>
    <row r="6" spans="2:18">
      <c r="B6" s="395" t="s">
        <v>220</v>
      </c>
      <c r="C6" s="396" t="s">
        <v>7</v>
      </c>
      <c r="D6" s="397">
        <f>D5/L17*L16</f>
        <v>52760.541002400001</v>
      </c>
      <c r="E6" s="435">
        <f>'Operating Inputs'!D10</f>
        <v>1.5</v>
      </c>
      <c r="F6" s="469">
        <f t="shared" ref="F6" si="0">D6*E6</f>
        <v>79140.811503600009</v>
      </c>
      <c r="G6" s="470">
        <f>F6/D5</f>
        <v>0.30000000000000004</v>
      </c>
      <c r="H6" s="468">
        <f t="shared" ref="H6:H7" si="1">F6/$F$5</f>
        <v>6.6666666666666666E-2</v>
      </c>
      <c r="I6" s="355"/>
      <c r="J6" s="307" t="s">
        <v>356</v>
      </c>
      <c r="K6" s="367" t="s">
        <v>182</v>
      </c>
      <c r="L6" s="379">
        <v>150</v>
      </c>
      <c r="M6" s="365"/>
      <c r="N6" s="383">
        <v>2.25</v>
      </c>
      <c r="O6" s="383">
        <v>-1.7375196235550803</v>
      </c>
      <c r="P6" s="353"/>
    </row>
    <row r="7" spans="2:18" ht="16.5" customHeight="1">
      <c r="B7" s="443" t="s">
        <v>197</v>
      </c>
      <c r="C7" s="396"/>
      <c r="D7" s="397"/>
      <c r="F7" s="439">
        <f>F5-F6</f>
        <v>1107971.3610504</v>
      </c>
      <c r="G7" s="441">
        <f>G5-G6</f>
        <v>4.2</v>
      </c>
      <c r="H7" s="404">
        <f t="shared" si="1"/>
        <v>0.93333333333333324</v>
      </c>
      <c r="I7" s="355"/>
      <c r="J7" s="190" t="s">
        <v>239</v>
      </c>
      <c r="K7" s="367" t="s">
        <v>186</v>
      </c>
      <c r="L7" s="379">
        <v>1.35</v>
      </c>
      <c r="M7" s="365"/>
      <c r="N7" s="383">
        <v>2.5</v>
      </c>
      <c r="O7" s="383">
        <v>-1.4926003527217466</v>
      </c>
      <c r="P7" s="358"/>
    </row>
    <row r="8" spans="2:18" ht="16.5" customHeight="1">
      <c r="B8" s="401"/>
      <c r="C8" s="396"/>
      <c r="D8" s="397"/>
      <c r="E8" s="405"/>
      <c r="F8" s="402"/>
      <c r="G8" s="403"/>
      <c r="H8" s="406"/>
      <c r="I8" s="355"/>
      <c r="J8" s="190" t="s">
        <v>310</v>
      </c>
      <c r="K8" s="367" t="s">
        <v>183</v>
      </c>
      <c r="L8" s="379">
        <v>1.85</v>
      </c>
      <c r="M8" s="365"/>
      <c r="N8" s="383">
        <v>2.75</v>
      </c>
      <c r="O8" s="383">
        <v>-1.2476810818884134</v>
      </c>
      <c r="P8" s="358"/>
    </row>
    <row r="9" spans="2:18" ht="16.5" customHeight="1">
      <c r="B9" s="434" t="s">
        <v>10</v>
      </c>
      <c r="C9" s="431" t="s">
        <v>11</v>
      </c>
      <c r="D9" s="432" t="s">
        <v>13</v>
      </c>
      <c r="E9" s="433" t="s">
        <v>426</v>
      </c>
      <c r="F9" s="432" t="s">
        <v>0</v>
      </c>
      <c r="G9" s="432" t="s">
        <v>437</v>
      </c>
      <c r="H9" s="432" t="s">
        <v>137</v>
      </c>
      <c r="I9" s="355"/>
      <c r="J9" s="190" t="s">
        <v>336</v>
      </c>
      <c r="K9" s="367" t="s">
        <v>342</v>
      </c>
      <c r="L9" s="374">
        <v>1100</v>
      </c>
      <c r="M9" s="365"/>
      <c r="N9" s="383">
        <v>3</v>
      </c>
      <c r="O9" s="383">
        <v>-1.0027618110550802</v>
      </c>
      <c r="P9" s="353"/>
    </row>
    <row r="10" spans="2:18" ht="16.5" customHeight="1">
      <c r="B10" s="395" t="s">
        <v>14</v>
      </c>
      <c r="C10" s="353"/>
      <c r="D10" s="353"/>
      <c r="E10" s="353"/>
      <c r="F10" s="353"/>
      <c r="G10" s="353"/>
      <c r="H10" s="408"/>
      <c r="I10" s="355"/>
      <c r="J10" s="190" t="s">
        <v>272</v>
      </c>
      <c r="K10" s="367"/>
      <c r="L10" s="375">
        <v>0.84</v>
      </c>
      <c r="M10" s="369"/>
      <c r="N10" s="383">
        <v>3.25</v>
      </c>
      <c r="O10" s="383">
        <v>-0.75784254022174646</v>
      </c>
      <c r="P10" s="358"/>
    </row>
    <row r="11" spans="2:18" ht="16.5" customHeight="1">
      <c r="B11" s="409" t="s">
        <v>273</v>
      </c>
      <c r="C11" s="396" t="s">
        <v>190</v>
      </c>
      <c r="D11" s="410">
        <f>D13*AVERAGE(1,L10)*L11*L7/2204.6</f>
        <v>80.351425373252184</v>
      </c>
      <c r="E11" s="436">
        <f>L5</f>
        <v>2050.2209090909091</v>
      </c>
      <c r="F11" s="438">
        <f t="shared" ref="F11" si="2">D11*E11</f>
        <v>164738.17237549945</v>
      </c>
      <c r="G11" s="440">
        <f>F11/$D$5</f>
        <v>0.6244749172227243</v>
      </c>
      <c r="H11" s="400">
        <f>F11/$F$5</f>
        <v>0.13877220382727204</v>
      </c>
      <c r="I11" s="355"/>
      <c r="J11" s="190" t="s">
        <v>292</v>
      </c>
      <c r="K11" s="367" t="s">
        <v>184</v>
      </c>
      <c r="L11" s="586">
        <v>0.45415263055785821</v>
      </c>
      <c r="M11" s="370"/>
      <c r="N11" s="383">
        <v>3.5</v>
      </c>
      <c r="O11" s="383">
        <v>-0.51292326938841326</v>
      </c>
      <c r="P11" s="353"/>
    </row>
    <row r="12" spans="2:18" ht="16.5" customHeight="1">
      <c r="B12" s="409" t="s">
        <v>287</v>
      </c>
      <c r="C12" s="396" t="s">
        <v>190</v>
      </c>
      <c r="D12" s="411">
        <f>D11</f>
        <v>80.351425373252184</v>
      </c>
      <c r="E12" s="437">
        <f>L6</f>
        <v>150</v>
      </c>
      <c r="F12" s="438">
        <f t="shared" ref="F12" si="3">D12*E12</f>
        <v>12052.713805987827</v>
      </c>
      <c r="G12" s="440">
        <f>F12/$D$5</f>
        <v>4.5688363223718907E-2</v>
      </c>
      <c r="H12" s="400">
        <f t="shared" ref="H12" si="4">F12/$F$5</f>
        <v>1.0152969605270868E-2</v>
      </c>
      <c r="I12" s="355"/>
      <c r="J12" s="190" t="s">
        <v>371</v>
      </c>
      <c r="K12" s="367" t="s">
        <v>189</v>
      </c>
      <c r="L12" s="361">
        <f>L9/1000*L10*L11</f>
        <v>0.41963703063546098</v>
      </c>
      <c r="M12" s="365"/>
      <c r="N12" s="383">
        <v>3.75</v>
      </c>
      <c r="O12" s="383">
        <v>-0.26800399855508039</v>
      </c>
      <c r="P12" s="362"/>
      <c r="R12" s="87"/>
    </row>
    <row r="13" spans="2:18" ht="16.5" customHeight="1">
      <c r="B13" s="395" t="s">
        <v>9</v>
      </c>
      <c r="C13" s="396" t="s">
        <v>191</v>
      </c>
      <c r="D13" s="412">
        <f>L9*('Capital Inputs'!L15+Grow_out_capacity)*L18/1000</f>
        <v>314050.83929999999</v>
      </c>
      <c r="E13" s="436">
        <f>L8</f>
        <v>1.85</v>
      </c>
      <c r="F13" s="438">
        <f>D13*E13</f>
        <v>580994.05270500004</v>
      </c>
      <c r="G13" s="440">
        <f>F13/$D$5</f>
        <v>2.2023809523809526</v>
      </c>
      <c r="H13" s="400">
        <f t="shared" ref="H13:H22" si="5">F13/$F$5</f>
        <v>0.48941798941798942</v>
      </c>
      <c r="I13" s="355"/>
      <c r="J13" s="341" t="s">
        <v>136</v>
      </c>
      <c r="K13" s="367" t="s">
        <v>137</v>
      </c>
      <c r="L13" s="375">
        <v>0.02</v>
      </c>
      <c r="M13" s="369"/>
      <c r="N13" s="383">
        <v>4</v>
      </c>
      <c r="O13" s="383">
        <v>-2.3084727721746294E-2</v>
      </c>
      <c r="P13" s="190"/>
    </row>
    <row r="14" spans="2:18" ht="16.5" customHeight="1">
      <c r="B14" s="395" t="s">
        <v>205</v>
      </c>
      <c r="C14" s="396"/>
      <c r="D14" s="413"/>
      <c r="E14" s="436"/>
      <c r="F14" s="438">
        <f>L14*'Operating Inputs'!D5</f>
        <v>56940</v>
      </c>
      <c r="G14" s="440">
        <f t="shared" ref="G14:G33" si="6">F14/$D$5</f>
        <v>0.21584312411584211</v>
      </c>
      <c r="H14" s="400">
        <f t="shared" si="5"/>
        <v>4.7965138692409356E-2</v>
      </c>
      <c r="I14" s="355"/>
      <c r="J14" s="190" t="s">
        <v>205</v>
      </c>
      <c r="K14" s="367" t="s">
        <v>327</v>
      </c>
      <c r="L14" s="376">
        <v>2920</v>
      </c>
      <c r="M14" s="371"/>
      <c r="N14" s="383">
        <v>4.25</v>
      </c>
      <c r="O14" s="383">
        <v>0.22183454311158693</v>
      </c>
      <c r="P14" s="353"/>
    </row>
    <row r="15" spans="2:18" ht="16.5" customHeight="1">
      <c r="B15" s="395" t="s">
        <v>115</v>
      </c>
      <c r="C15" s="396"/>
      <c r="D15" s="397"/>
      <c r="E15" s="436"/>
      <c r="F15" s="438">
        <f>'Walleye Utilities'!G17+'Walleye Utilities'!O3</f>
        <v>15276.982125998453</v>
      </c>
      <c r="G15" s="440">
        <f t="shared" si="6"/>
        <v>5.7910634863670277E-2</v>
      </c>
      <c r="H15" s="400">
        <f t="shared" si="5"/>
        <v>1.2869029969704505E-2</v>
      </c>
      <c r="I15" s="355"/>
      <c r="J15" s="190" t="s">
        <v>227</v>
      </c>
      <c r="K15" s="367" t="s">
        <v>240</v>
      </c>
      <c r="L15" s="587">
        <v>5</v>
      </c>
      <c r="M15" s="366"/>
      <c r="N15" s="383">
        <v>4.5</v>
      </c>
      <c r="O15" s="383">
        <v>0.46675381394491972</v>
      </c>
      <c r="P15" s="358"/>
    </row>
    <row r="16" spans="2:18" ht="16.5" customHeight="1">
      <c r="B16" s="395" t="s">
        <v>51</v>
      </c>
      <c r="C16" s="396"/>
      <c r="D16" s="397"/>
      <c r="E16" s="436"/>
      <c r="F16" s="438">
        <f>'Operating Inputs'!D7*12</f>
        <v>8400</v>
      </c>
      <c r="G16" s="440">
        <f t="shared" si="6"/>
        <v>3.1841978267879767E-2</v>
      </c>
      <c r="H16" s="400">
        <f t="shared" si="5"/>
        <v>7.0759951706399473E-3</v>
      </c>
      <c r="I16" s="355"/>
      <c r="J16" s="345" t="s">
        <v>188</v>
      </c>
      <c r="K16" s="367" t="s">
        <v>187</v>
      </c>
      <c r="L16" s="377">
        <v>400</v>
      </c>
      <c r="M16" s="372"/>
      <c r="N16" s="383">
        <v>4.75</v>
      </c>
      <c r="O16" s="383">
        <v>0.71167308477825297</v>
      </c>
      <c r="P16" s="353"/>
    </row>
    <row r="17" spans="2:26" ht="16.5" customHeight="1">
      <c r="B17" s="395" t="s">
        <v>8</v>
      </c>
      <c r="C17" s="396"/>
      <c r="D17" s="397"/>
      <c r="E17" s="436"/>
      <c r="F17" s="438">
        <f>'Operating Inputs'!D8</f>
        <v>14414</v>
      </c>
      <c r="G17" s="440">
        <f t="shared" si="6"/>
        <v>5.4639318423002251E-2</v>
      </c>
      <c r="H17" s="400">
        <f t="shared" si="5"/>
        <v>1.2142070760667166E-2</v>
      </c>
      <c r="I17" s="355"/>
      <c r="J17" s="345" t="s">
        <v>222</v>
      </c>
      <c r="K17" s="367" t="s">
        <v>219</v>
      </c>
      <c r="L17" s="377">
        <v>2000</v>
      </c>
      <c r="M17" s="372"/>
      <c r="N17" s="383">
        <v>5</v>
      </c>
      <c r="O17" s="383">
        <v>0.95659235561158618</v>
      </c>
      <c r="P17" s="353"/>
    </row>
    <row r="18" spans="2:26" ht="16.5" customHeight="1">
      <c r="B18" s="395" t="s">
        <v>54</v>
      </c>
      <c r="C18" s="396"/>
      <c r="D18" s="397"/>
      <c r="E18" s="414"/>
      <c r="F18" s="438">
        <f>F5*'4- Stocking- Walleye RA'!L13</f>
        <v>23742.243451080001</v>
      </c>
      <c r="G18" s="440">
        <f t="shared" si="6"/>
        <v>9.0000000000000011E-2</v>
      </c>
      <c r="H18" s="400">
        <f t="shared" si="5"/>
        <v>0.02</v>
      </c>
      <c r="I18" s="355"/>
      <c r="J18" s="217" t="s">
        <v>57</v>
      </c>
      <c r="K18" s="368" t="s">
        <v>58</v>
      </c>
      <c r="L18" s="364">
        <f>12/L15</f>
        <v>2.4</v>
      </c>
      <c r="M18" s="365"/>
      <c r="N18" s="383">
        <v>5.25</v>
      </c>
      <c r="O18" s="383">
        <v>1.2015116264449195</v>
      </c>
      <c r="P18" s="353"/>
    </row>
    <row r="19" spans="2:26" ht="16.5" customHeight="1">
      <c r="B19" s="395" t="s">
        <v>141</v>
      </c>
      <c r="C19" s="396"/>
      <c r="D19" s="397"/>
      <c r="E19" s="398"/>
      <c r="F19" s="438">
        <f>'Operating Inputs'!D9</f>
        <v>3000</v>
      </c>
      <c r="G19" s="440">
        <f t="shared" si="6"/>
        <v>1.1372135095671344E-2</v>
      </c>
      <c r="H19" s="400">
        <f t="shared" si="5"/>
        <v>2.5271411323714095E-3</v>
      </c>
      <c r="I19" s="355"/>
      <c r="J19" s="353"/>
      <c r="K19" s="353"/>
      <c r="L19" s="366"/>
      <c r="M19" s="366"/>
      <c r="N19" s="383">
        <v>5.5</v>
      </c>
      <c r="O19" s="383">
        <v>1.4464308972782527</v>
      </c>
      <c r="P19" s="353"/>
    </row>
    <row r="20" spans="2:26" ht="16.5" customHeight="1">
      <c r="B20" s="395" t="s">
        <v>22</v>
      </c>
      <c r="C20" s="396"/>
      <c r="D20" s="397"/>
      <c r="E20" s="398"/>
      <c r="F20" s="492">
        <v>0</v>
      </c>
      <c r="G20" s="440">
        <f>F20/$D$5</f>
        <v>0</v>
      </c>
      <c r="H20" s="400">
        <f t="shared" si="5"/>
        <v>0</v>
      </c>
      <c r="I20" s="355"/>
      <c r="J20" s="353"/>
      <c r="K20" s="353"/>
      <c r="L20" s="366"/>
      <c r="M20" s="366"/>
      <c r="N20" s="383">
        <v>5.75</v>
      </c>
      <c r="O20" s="383">
        <v>1.6913501681115868</v>
      </c>
      <c r="P20" s="353"/>
    </row>
    <row r="21" spans="2:26" ht="16.5" customHeight="1">
      <c r="B21" s="395" t="s">
        <v>17</v>
      </c>
      <c r="C21" s="396" t="s">
        <v>138</v>
      </c>
      <c r="D21" s="397"/>
      <c r="E21" s="415">
        <f>'Operating Inputs'!D11</f>
        <v>7.7499999999999999E-2</v>
      </c>
      <c r="F21" s="469">
        <f>SUM(F11:F20)*(1-'Operating Inputs'!D12)*E21/L18</f>
        <v>14201.199530401325</v>
      </c>
      <c r="G21" s="470">
        <f t="shared" si="6"/>
        <v>5.3832653193436109E-2</v>
      </c>
      <c r="H21" s="468">
        <f t="shared" si="5"/>
        <v>1.1962811820763579E-2</v>
      </c>
      <c r="I21" s="355"/>
      <c r="J21" s="353"/>
      <c r="K21" s="353"/>
      <c r="L21" s="353"/>
      <c r="M21" s="353"/>
      <c r="N21" s="383">
        <v>6</v>
      </c>
      <c r="O21" s="383">
        <v>1.93626943894492</v>
      </c>
      <c r="P21" s="353"/>
    </row>
    <row r="22" spans="2:26" ht="16.5" customHeight="1">
      <c r="B22" s="418" t="s">
        <v>16</v>
      </c>
      <c r="C22" s="416"/>
      <c r="D22" s="416"/>
      <c r="E22" s="416"/>
      <c r="F22" s="471">
        <f>SUM(F11:F21)</f>
        <v>893759.36399396718</v>
      </c>
      <c r="G22" s="441">
        <f t="shared" si="6"/>
        <v>3.3879840767868981</v>
      </c>
      <c r="H22" s="404">
        <f t="shared" si="5"/>
        <v>0.75288535039708837</v>
      </c>
      <c r="I22" s="355"/>
      <c r="J22" s="353"/>
      <c r="K22" s="353"/>
      <c r="L22" s="353"/>
      <c r="M22" s="353"/>
      <c r="N22" s="383">
        <v>6.25</v>
      </c>
      <c r="O22" s="383">
        <v>2.1811887097782523</v>
      </c>
      <c r="P22" s="353"/>
    </row>
    <row r="23" spans="2:26" ht="16.5" customHeight="1">
      <c r="B23" s="418"/>
      <c r="C23" s="418"/>
      <c r="D23" s="418"/>
      <c r="E23" s="418"/>
      <c r="F23" s="417"/>
      <c r="G23" s="403"/>
      <c r="H23" s="406"/>
      <c r="I23" s="355"/>
      <c r="J23" s="353"/>
      <c r="K23" s="353"/>
      <c r="L23" s="353"/>
      <c r="M23" s="353"/>
      <c r="N23" s="384">
        <v>6.5</v>
      </c>
      <c r="O23" s="384">
        <v>2.4261079806115857</v>
      </c>
      <c r="P23" s="353"/>
    </row>
    <row r="24" spans="2:26" ht="16.5" customHeight="1">
      <c r="B24" s="434" t="s">
        <v>18</v>
      </c>
      <c r="C24" s="431" t="s">
        <v>11</v>
      </c>
      <c r="D24" s="432" t="s">
        <v>13</v>
      </c>
      <c r="E24" s="433" t="s">
        <v>426</v>
      </c>
      <c r="F24" s="432" t="s">
        <v>0</v>
      </c>
      <c r="G24" s="432" t="s">
        <v>437</v>
      </c>
      <c r="H24" s="432" t="s">
        <v>137</v>
      </c>
      <c r="I24" s="1"/>
      <c r="V24" s="13"/>
      <c r="W24" s="13"/>
      <c r="X24" s="13"/>
      <c r="Y24" s="13"/>
      <c r="Z24" s="13"/>
    </row>
    <row r="25" spans="2:26" ht="16.5" customHeight="1">
      <c r="B25" s="395" t="s">
        <v>6</v>
      </c>
      <c r="C25" s="396" t="s">
        <v>163</v>
      </c>
      <c r="D25" s="421">
        <v>12</v>
      </c>
      <c r="E25" s="398"/>
      <c r="F25" s="438">
        <f>'Operating Inputs'!D15</f>
        <v>3000</v>
      </c>
      <c r="G25" s="440">
        <f t="shared" si="6"/>
        <v>1.1372135095671344E-2</v>
      </c>
      <c r="H25" s="400">
        <f t="shared" ref="H25:H30" si="7">F25/$F$5</f>
        <v>2.5271411323714095E-3</v>
      </c>
      <c r="I25" s="1"/>
      <c r="V25" s="13"/>
      <c r="W25" s="13"/>
      <c r="X25" s="13"/>
      <c r="Y25" s="13"/>
      <c r="Z25" s="13"/>
    </row>
    <row r="26" spans="2:26" ht="16.5" customHeight="1">
      <c r="B26" s="395" t="s">
        <v>5</v>
      </c>
      <c r="C26" s="396" t="s">
        <v>163</v>
      </c>
      <c r="D26" s="421">
        <v>12</v>
      </c>
      <c r="E26" s="398"/>
      <c r="F26" s="438">
        <f>'Operating Inputs'!D16</f>
        <v>1000</v>
      </c>
      <c r="G26" s="440">
        <f t="shared" si="6"/>
        <v>3.7907116985571149E-3</v>
      </c>
      <c r="H26" s="400">
        <f t="shared" si="7"/>
        <v>8.4238037745713661E-4</v>
      </c>
      <c r="I26" s="1"/>
      <c r="V26" s="13"/>
      <c r="W26" s="13"/>
      <c r="X26" s="13"/>
      <c r="Y26" s="13"/>
      <c r="Z26" s="13"/>
    </row>
    <row r="27" spans="2:26" ht="16.5" customHeight="1">
      <c r="B27" s="395" t="s">
        <v>198</v>
      </c>
      <c r="C27" s="396" t="s">
        <v>163</v>
      </c>
      <c r="D27" s="421">
        <v>1</v>
      </c>
      <c r="E27" s="398"/>
      <c r="F27" s="438">
        <f>'Operating Inputs'!D17</f>
        <v>45000</v>
      </c>
      <c r="G27" s="440">
        <f t="shared" si="6"/>
        <v>0.17058202643507017</v>
      </c>
      <c r="H27" s="400">
        <f t="shared" si="7"/>
        <v>3.7907116985571143E-2</v>
      </c>
      <c r="I27" s="1"/>
      <c r="P27" s="144"/>
      <c r="Q27" s="144"/>
      <c r="S27" s="132" t="s">
        <v>313</v>
      </c>
      <c r="T27" s="132" t="s">
        <v>360</v>
      </c>
      <c r="U27" s="132" t="s">
        <v>313</v>
      </c>
      <c r="V27" s="132" t="s">
        <v>360</v>
      </c>
      <c r="W27" s="13"/>
    </row>
    <row r="28" spans="2:26" ht="16.5" customHeight="1">
      <c r="B28" s="395" t="s">
        <v>19</v>
      </c>
      <c r="C28" s="396"/>
      <c r="D28" s="421"/>
      <c r="E28" s="415">
        <f>'Operating Inputs'!D13</f>
        <v>7.2499999999999995E-2</v>
      </c>
      <c r="F28" s="438">
        <f>('Capital Inputs'!F39-(SUMPRODUCT('Capital Inputs'!F5:F16,'Capital Inputs'!H5:H16)+SUMPRODUCT('Capital Inputs'!F21:F38,'Capital Inputs'!H21:H38)))/2*E28</f>
        <v>14349.870625</v>
      </c>
      <c r="G28" s="440">
        <f t="shared" si="6"/>
        <v>5.4396222450968597E-2</v>
      </c>
      <c r="H28" s="400">
        <f t="shared" si="7"/>
        <v>1.2088049433548576E-2</v>
      </c>
      <c r="I28" s="1"/>
      <c r="P28" s="91"/>
      <c r="Q28" s="145"/>
      <c r="S28" s="133">
        <f>P29</f>
        <v>0</v>
      </c>
      <c r="T28" s="134">
        <f>Q29</f>
        <v>0</v>
      </c>
      <c r="U28" s="133">
        <f>P39</f>
        <v>0</v>
      </c>
      <c r="V28" s="134">
        <f>Q39</f>
        <v>0</v>
      </c>
      <c r="W28" s="13"/>
    </row>
    <row r="29" spans="2:26" ht="16.5" customHeight="1">
      <c r="B29" s="395" t="s">
        <v>20</v>
      </c>
      <c r="C29" s="396"/>
      <c r="D29" s="397"/>
      <c r="E29" s="398"/>
      <c r="F29" s="469">
        <f>'Capital Inputs'!I40</f>
        <v>27731.20773809524</v>
      </c>
      <c r="G29" s="470">
        <f t="shared" si="6"/>
        <v>0.10512101358791522</v>
      </c>
      <c r="H29" s="468">
        <f t="shared" si="7"/>
        <v>2.3360225241758934E-2</v>
      </c>
      <c r="I29" s="1"/>
      <c r="P29" s="146"/>
      <c r="Q29" s="145"/>
      <c r="S29" s="133">
        <f t="shared" ref="S29:T37" si="8">P30</f>
        <v>0</v>
      </c>
      <c r="T29" s="134">
        <f t="shared" si="8"/>
        <v>0</v>
      </c>
      <c r="U29" s="133">
        <f t="shared" ref="U29:V36" si="9">P40</f>
        <v>0</v>
      </c>
      <c r="V29" s="134">
        <f t="shared" si="9"/>
        <v>0</v>
      </c>
      <c r="W29" s="13"/>
    </row>
    <row r="30" spans="2:26" ht="16.5" customHeight="1">
      <c r="B30" s="418" t="s">
        <v>4</v>
      </c>
      <c r="C30" s="418"/>
      <c r="D30" s="418"/>
      <c r="E30" s="418"/>
      <c r="F30" s="471">
        <f>SUM(F25:F29)</f>
        <v>91081.078363095236</v>
      </c>
      <c r="G30" s="441">
        <f t="shared" si="6"/>
        <v>0.3452621092681824</v>
      </c>
      <c r="H30" s="404">
        <f t="shared" si="7"/>
        <v>7.6724913170707204E-2</v>
      </c>
      <c r="I30" s="1"/>
      <c r="P30" s="146"/>
      <c r="Q30" s="145"/>
      <c r="S30" s="133">
        <f t="shared" si="8"/>
        <v>0</v>
      </c>
      <c r="T30" s="134">
        <f t="shared" si="8"/>
        <v>0</v>
      </c>
      <c r="U30" s="133">
        <f t="shared" si="9"/>
        <v>0</v>
      </c>
      <c r="V30" s="134">
        <f t="shared" si="9"/>
        <v>0</v>
      </c>
      <c r="W30" s="13"/>
    </row>
    <row r="31" spans="2:26" ht="16.5" customHeight="1">
      <c r="B31" s="395"/>
      <c r="C31" s="396"/>
      <c r="D31" s="422"/>
      <c r="E31" s="422"/>
      <c r="F31" s="438"/>
      <c r="G31" s="440"/>
      <c r="H31" s="423"/>
      <c r="I31" s="1"/>
      <c r="P31" s="146"/>
      <c r="Q31" s="145"/>
      <c r="S31" s="133">
        <f t="shared" si="8"/>
        <v>0</v>
      </c>
      <c r="T31" s="134">
        <f t="shared" si="8"/>
        <v>0</v>
      </c>
      <c r="U31" s="133">
        <f t="shared" si="9"/>
        <v>0</v>
      </c>
      <c r="V31" s="134">
        <f t="shared" si="9"/>
        <v>0</v>
      </c>
      <c r="W31" s="13"/>
    </row>
    <row r="32" spans="2:26" ht="16.5" customHeight="1">
      <c r="B32" s="463" t="s">
        <v>3</v>
      </c>
      <c r="C32" s="464"/>
      <c r="D32" s="464"/>
      <c r="E32" s="464"/>
      <c r="F32" s="472">
        <f>SUM(F30,F22)</f>
        <v>984840.44235706236</v>
      </c>
      <c r="G32" s="474">
        <f t="shared" si="6"/>
        <v>3.7332461860550801</v>
      </c>
      <c r="H32" s="465">
        <f>F32/$F$5</f>
        <v>0.82961026356779555</v>
      </c>
      <c r="I32" s="1"/>
      <c r="P32" s="146"/>
      <c r="Q32" s="145"/>
      <c r="S32" s="133">
        <f t="shared" si="8"/>
        <v>0</v>
      </c>
      <c r="T32" s="134">
        <f t="shared" si="8"/>
        <v>0</v>
      </c>
      <c r="U32" s="133">
        <f t="shared" si="9"/>
        <v>0</v>
      </c>
      <c r="V32" s="134">
        <f t="shared" si="9"/>
        <v>0</v>
      </c>
      <c r="W32" s="13"/>
    </row>
    <row r="33" spans="2:23" ht="16.5" customHeight="1">
      <c r="B33" s="466" t="s">
        <v>21</v>
      </c>
      <c r="C33" s="455"/>
      <c r="D33" s="455"/>
      <c r="E33" s="455"/>
      <c r="F33" s="473">
        <f>F7-F32</f>
        <v>123130.91869333759</v>
      </c>
      <c r="G33" s="475">
        <f t="shared" si="6"/>
        <v>0.46675381394491972</v>
      </c>
      <c r="H33" s="467">
        <f>F33/$F$5</f>
        <v>0.10372306976553772</v>
      </c>
      <c r="I33" s="1"/>
      <c r="P33" s="146"/>
      <c r="Q33" s="145"/>
      <c r="S33" s="133">
        <f t="shared" si="8"/>
        <v>0</v>
      </c>
      <c r="T33" s="134">
        <f t="shared" si="8"/>
        <v>0</v>
      </c>
      <c r="U33" s="133">
        <f t="shared" si="9"/>
        <v>0</v>
      </c>
      <c r="V33" s="134">
        <f t="shared" si="9"/>
        <v>0</v>
      </c>
      <c r="W33" s="13"/>
    </row>
    <row r="34" spans="2:23" ht="16.5" customHeight="1">
      <c r="B34" s="455"/>
      <c r="C34" s="455"/>
      <c r="D34" s="455"/>
      <c r="E34" s="455"/>
      <c r="F34" s="456"/>
      <c r="G34" s="456"/>
      <c r="H34" s="457"/>
      <c r="I34" s="1"/>
      <c r="P34" s="146"/>
      <c r="Q34" s="145"/>
      <c r="S34" s="133">
        <f t="shared" si="8"/>
        <v>0</v>
      </c>
      <c r="T34" s="134">
        <f t="shared" si="8"/>
        <v>0</v>
      </c>
      <c r="U34" s="133">
        <f t="shared" si="9"/>
        <v>0</v>
      </c>
      <c r="V34" s="134">
        <f t="shared" si="9"/>
        <v>0</v>
      </c>
      <c r="W34" s="13"/>
    </row>
    <row r="35" spans="2:23" ht="16.5" customHeight="1">
      <c r="B35" s="396"/>
      <c r="C35" s="418" t="s">
        <v>41</v>
      </c>
      <c r="D35" s="418"/>
      <c r="E35" s="418" t="s">
        <v>42</v>
      </c>
      <c r="F35" s="416"/>
      <c r="G35" s="418" t="s">
        <v>296</v>
      </c>
      <c r="H35" s="444" cm="1">
        <f t="array" aca="1" ref="H35" ca="1">IFERROR(INDEX(_xlfn._xlws.FILTER(B51:B60, F51:F60&gt;0), 1),"&gt;10 years")</f>
        <v>3</v>
      </c>
      <c r="I35" s="1"/>
      <c r="P35" s="146"/>
      <c r="Q35" s="145"/>
      <c r="S35" s="133">
        <f t="shared" si="8"/>
        <v>0</v>
      </c>
      <c r="T35" s="134">
        <f t="shared" si="8"/>
        <v>0</v>
      </c>
      <c r="U35" s="133">
        <f t="shared" si="9"/>
        <v>0</v>
      </c>
      <c r="V35" s="134">
        <f t="shared" si="9"/>
        <v>0</v>
      </c>
      <c r="W35" s="13"/>
    </row>
    <row r="36" spans="2:23" ht="16.5" customHeight="1">
      <c r="B36" s="424" t="s">
        <v>31</v>
      </c>
      <c r="C36" s="399">
        <f>F22/D5</f>
        <v>3.3879840767868981</v>
      </c>
      <c r="D36" s="399"/>
      <c r="E36" s="425">
        <f>F22/E5</f>
        <v>198613.19199865937</v>
      </c>
      <c r="F36" s="425"/>
      <c r="G36" s="448" t="s">
        <v>297</v>
      </c>
      <c r="H36" s="445">
        <f ca="1">IFERROR(IRR(E50:E60),"High loss")</f>
        <v>0.35044991566233419</v>
      </c>
      <c r="I36" s="1"/>
      <c r="P36" s="146"/>
      <c r="Q36" s="145"/>
      <c r="S36" s="133">
        <f t="shared" si="8"/>
        <v>0</v>
      </c>
      <c r="T36" s="134">
        <f t="shared" si="8"/>
        <v>0</v>
      </c>
      <c r="U36" s="133">
        <f t="shared" si="9"/>
        <v>0</v>
      </c>
      <c r="V36" s="134">
        <f t="shared" si="9"/>
        <v>0</v>
      </c>
      <c r="W36" s="13"/>
    </row>
    <row r="37" spans="2:23" ht="16.5" customHeight="1">
      <c r="B37" s="458" t="s">
        <v>32</v>
      </c>
      <c r="C37" s="459">
        <f>F32/D5</f>
        <v>3.7332461860550801</v>
      </c>
      <c r="D37" s="459"/>
      <c r="E37" s="460">
        <f>F32/E5</f>
        <v>218853.43163490275</v>
      </c>
      <c r="F37" s="460"/>
      <c r="G37" s="461" t="str">
        <f>"NPV at " &amp; 100*E28 &amp; " % in 10 years"</f>
        <v>NPV at 7.25 % in 10 years</v>
      </c>
      <c r="H37" s="462">
        <f ca="1">NPV(E28,E50:E60)</f>
        <v>734803.78900375415</v>
      </c>
      <c r="I37" s="1"/>
      <c r="P37" s="146"/>
      <c r="Q37" s="145"/>
      <c r="S37" s="133">
        <f t="shared" si="8"/>
        <v>0</v>
      </c>
      <c r="T37" s="134">
        <f t="shared" si="8"/>
        <v>0</v>
      </c>
      <c r="U37" s="133"/>
      <c r="V37" s="133"/>
      <c r="W37" s="13"/>
    </row>
    <row r="38" spans="2:23" ht="17.25">
      <c r="B38" s="395"/>
      <c r="C38" s="395"/>
      <c r="D38" s="395"/>
      <c r="E38" s="395"/>
      <c r="F38" s="395"/>
      <c r="G38" s="395"/>
      <c r="H38" s="395"/>
      <c r="I38" s="3"/>
      <c r="P38" s="146"/>
      <c r="Q38" s="145"/>
      <c r="S38" s="13"/>
      <c r="T38" s="13"/>
      <c r="U38" s="13"/>
      <c r="V38" s="13"/>
      <c r="W38" s="13"/>
    </row>
    <row r="39" spans="2:23" ht="17.25">
      <c r="B39" s="200" t="s">
        <v>438</v>
      </c>
      <c r="C39" s="426"/>
      <c r="D39" s="426"/>
      <c r="E39" s="426"/>
      <c r="F39" s="427"/>
      <c r="G39" s="428">
        <v>0.7</v>
      </c>
      <c r="H39" s="428">
        <v>1</v>
      </c>
      <c r="I39" s="19">
        <v>1.3</v>
      </c>
      <c r="P39" s="146"/>
      <c r="Q39" s="145"/>
    </row>
    <row r="40" spans="2:23">
      <c r="B40" s="329"/>
      <c r="C40" s="487">
        <v>-0.3</v>
      </c>
      <c r="D40" s="488" t="s">
        <v>134</v>
      </c>
      <c r="E40" s="487">
        <v>0.3</v>
      </c>
      <c r="F40" s="429" t="s">
        <v>55</v>
      </c>
      <c r="G40" s="430">
        <f>(F5*G39)-(F6*G39)</f>
        <v>775579.95273527992</v>
      </c>
      <c r="H40" s="430">
        <f>F7</f>
        <v>1107971.3610504</v>
      </c>
      <c r="I40" s="20">
        <f>(F5*I39)-(F6*I39)</f>
        <v>1440362.7693655202</v>
      </c>
      <c r="P40" s="146"/>
      <c r="Q40" s="145"/>
    </row>
    <row r="41" spans="2:23">
      <c r="B41" s="307" t="s">
        <v>192</v>
      </c>
      <c r="C41" s="308">
        <f>(G40-G41-G42)/'Capital Inputs'!$F$39</f>
        <v>-0.33835379245772018</v>
      </c>
      <c r="D41" s="308">
        <f>(H40-H41-H42)/'Capital Inputs'!$F$39</f>
        <v>0.27280516625130274</v>
      </c>
      <c r="E41" s="308">
        <f>(I40-I41-I42)/'Capital Inputs'!$F$39</f>
        <v>0.88396412496032672</v>
      </c>
      <c r="F41" s="429" t="s">
        <v>59</v>
      </c>
      <c r="G41" s="430">
        <f>(F11+F18)*G39+(F22-F11-F18)</f>
        <v>837215.2392459932</v>
      </c>
      <c r="H41" s="430">
        <f>F22</f>
        <v>893759.36399396718</v>
      </c>
      <c r="I41" s="20">
        <f>(F11+F18)*I39+(F22-F11-F18)</f>
        <v>950303.48874194094</v>
      </c>
      <c r="P41" s="146"/>
      <c r="Q41" s="145"/>
    </row>
    <row r="42" spans="2:23">
      <c r="B42" s="307" t="s">
        <v>193</v>
      </c>
      <c r="C42" s="207">
        <f>(G40-G41)/G40</f>
        <v>-7.946993252383687E-2</v>
      </c>
      <c r="D42" s="207">
        <f t="shared" ref="D42" si="10">(H40-H41)/H40</f>
        <v>0.19333712457454807</v>
      </c>
      <c r="E42" s="207">
        <f>(I40-I41)/I40</f>
        <v>0.34023323224290947</v>
      </c>
      <c r="F42" s="429" t="s">
        <v>60</v>
      </c>
      <c r="G42" s="430">
        <f>F30</f>
        <v>91081.078363095236</v>
      </c>
      <c r="H42" s="430">
        <f>F30</f>
        <v>91081.078363095236</v>
      </c>
      <c r="I42" s="20">
        <f>F30</f>
        <v>91081.078363095236</v>
      </c>
      <c r="P42" s="146"/>
      <c r="Q42" s="145"/>
    </row>
    <row r="43" spans="2:23">
      <c r="B43" s="307" t="s">
        <v>21</v>
      </c>
      <c r="C43" s="328">
        <f>G40-G41-G42</f>
        <v>-152716.36487380852</v>
      </c>
      <c r="D43" s="328">
        <f t="shared" ref="D43" si="11">H40-H41-H42</f>
        <v>123130.91869333753</v>
      </c>
      <c r="E43" s="328">
        <f>I40-I41-I42</f>
        <v>398978.20226048405</v>
      </c>
      <c r="F43" s="353"/>
      <c r="G43" s="353"/>
      <c r="H43" s="353"/>
      <c r="P43" s="146"/>
      <c r="Q43" s="145"/>
    </row>
    <row r="44" spans="2:23">
      <c r="B44" s="310" t="s">
        <v>194</v>
      </c>
      <c r="C44" s="311">
        <f>(G41+G42)/($D$5*G39)</f>
        <v>5.0270053012689475</v>
      </c>
      <c r="D44" s="311">
        <f>(H41+H42)/($D$5*H39)</f>
        <v>3.7332461860550801</v>
      </c>
      <c r="E44" s="311">
        <f>(I41+I42)/($D$5*I39)</f>
        <v>3.0366066624783823</v>
      </c>
      <c r="F44" s="353"/>
      <c r="G44" s="353"/>
      <c r="H44" s="353"/>
      <c r="P44" s="146"/>
      <c r="Q44" s="145"/>
    </row>
    <row r="45" spans="2:23">
      <c r="B45" s="312" t="s">
        <v>271</v>
      </c>
      <c r="C45" s="313"/>
      <c r="D45" s="313"/>
      <c r="E45" s="313"/>
      <c r="F45" s="353"/>
      <c r="G45" s="353"/>
      <c r="H45" s="353"/>
      <c r="P45" s="146"/>
      <c r="Q45" s="145"/>
    </row>
    <row r="46" spans="2:23" ht="17.25" hidden="1">
      <c r="B46" s="96"/>
      <c r="C46" s="97"/>
      <c r="D46" s="97"/>
      <c r="E46" s="97"/>
      <c r="P46" s="146"/>
      <c r="Q46" s="145"/>
    </row>
    <row r="47" spans="2:23" ht="17.25" hidden="1">
      <c r="B47" s="96"/>
      <c r="C47" s="97"/>
      <c r="D47" s="97"/>
      <c r="E47" s="97"/>
      <c r="P47" s="146"/>
      <c r="Q47" s="145"/>
    </row>
    <row r="48" spans="2:23" ht="17.25" hidden="1">
      <c r="B48" s="107" t="str">
        <f>'5- Food- Yellow Perch RAS'!B51</f>
        <v>Year</v>
      </c>
      <c r="C48" s="107"/>
      <c r="D48" s="107"/>
      <c r="E48" s="107"/>
      <c r="F48" s="107"/>
      <c r="G48" s="135"/>
      <c r="H48" s="96"/>
    </row>
    <row r="49" spans="1:15" ht="17.25" hidden="1">
      <c r="B49" s="107" t="str">
        <f>'5- Food- Yellow Perch RAS'!B52</f>
        <v>Year</v>
      </c>
      <c r="C49" s="107" t="str">
        <f>'5- Food- Yellow Perch RAS'!C52</f>
        <v>Investment</v>
      </c>
      <c r="D49" s="107" t="str">
        <f>'5- Food- Yellow Perch RAS'!D52</f>
        <v>Revenue - Cash Costs</v>
      </c>
      <c r="E49" s="107" t="str">
        <f>'5- Food- Yellow Perch RAS'!E52</f>
        <v>Net cash flow</v>
      </c>
      <c r="F49" s="107" t="str">
        <f>'5- Food- Yellow Perch RAS'!F52</f>
        <v>Cumulated cash flow</v>
      </c>
      <c r="G49" s="135"/>
      <c r="H49" s="107"/>
      <c r="I49" s="91"/>
      <c r="J49" s="91"/>
      <c r="K49" s="91"/>
      <c r="L49" s="91"/>
      <c r="M49" s="91"/>
      <c r="N49" s="91"/>
      <c r="O49" s="91"/>
    </row>
    <row r="50" spans="1:15" ht="17.25" hidden="1">
      <c r="B50" s="107">
        <f>'5- Food- Yellow Perch RAS'!B53</f>
        <v>0</v>
      </c>
      <c r="C50" s="107">
        <f>'5- Food- Yellow Perch RAS'!C53</f>
        <v>451351.125</v>
      </c>
      <c r="D50" s="107">
        <v>0</v>
      </c>
      <c r="E50" s="107">
        <f>D50-C50</f>
        <v>-451351.125</v>
      </c>
      <c r="F50" s="389">
        <f>E50</f>
        <v>-451351.125</v>
      </c>
      <c r="G50" s="135"/>
      <c r="H50" s="107"/>
      <c r="I50" s="91"/>
      <c r="J50" s="91"/>
      <c r="K50" s="91"/>
      <c r="L50" s="91"/>
      <c r="M50" s="91"/>
      <c r="N50" s="91"/>
      <c r="O50" s="91"/>
    </row>
    <row r="51" spans="1:15" ht="17.25" hidden="1">
      <c r="B51" s="107">
        <f>'5- Food- Yellow Perch RAS'!B54</f>
        <v>1</v>
      </c>
      <c r="C51" s="390">
        <f ca="1">'2- Food- Trout RAS'!C53</f>
        <v>0</v>
      </c>
      <c r="D51" s="390">
        <f>F7-F22-F25-F26-F27</f>
        <v>165211.99705643277</v>
      </c>
      <c r="E51" s="107">
        <f t="shared" ref="E51:E59" ca="1" si="12">D51-C51</f>
        <v>165211.99705643277</v>
      </c>
      <c r="F51" s="389">
        <f ca="1">F50+E51</f>
        <v>-286139.12794356723</v>
      </c>
      <c r="G51" s="135"/>
      <c r="H51" s="107"/>
      <c r="I51" s="91"/>
      <c r="J51" s="91"/>
      <c r="K51" s="91"/>
      <c r="L51" s="91"/>
      <c r="M51" s="91"/>
      <c r="N51" s="91"/>
      <c r="O51" s="91"/>
    </row>
    <row r="52" spans="1:15" ht="17.25" hidden="1">
      <c r="B52" s="107">
        <f>'5- Food- Yellow Perch RAS'!B55</f>
        <v>2</v>
      </c>
      <c r="C52" s="390">
        <f ca="1">'2- Food- Trout RAS'!C54</f>
        <v>6150</v>
      </c>
      <c r="D52" s="390">
        <f>D51</f>
        <v>165211.99705643277</v>
      </c>
      <c r="E52" s="107">
        <f t="shared" ca="1" si="12"/>
        <v>159061.99705643277</v>
      </c>
      <c r="F52" s="389">
        <f t="shared" ref="F52:F59" ca="1" si="13">F51+E52</f>
        <v>-127077.13088713447</v>
      </c>
      <c r="G52" s="135"/>
      <c r="H52" s="107"/>
      <c r="I52" s="91"/>
      <c r="J52" s="91"/>
      <c r="K52" s="91"/>
      <c r="L52" s="91"/>
      <c r="M52" s="91"/>
      <c r="N52" s="91"/>
      <c r="O52" s="91"/>
    </row>
    <row r="53" spans="1:15" ht="17.25" hidden="1">
      <c r="B53" s="107">
        <f>'5- Food- Yellow Perch RAS'!B56</f>
        <v>3</v>
      </c>
      <c r="C53" s="390">
        <f>'2- Food- Trout RAS'!C55</f>
        <v>200</v>
      </c>
      <c r="D53" s="390">
        <f t="shared" ref="D53:D60" si="14">D52</f>
        <v>165211.99705643277</v>
      </c>
      <c r="E53" s="107">
        <f t="shared" si="12"/>
        <v>165011.99705643277</v>
      </c>
      <c r="F53" s="389">
        <f t="shared" ca="1" si="13"/>
        <v>37934.866169298301</v>
      </c>
      <c r="G53" s="135"/>
      <c r="H53" s="107"/>
      <c r="I53" s="91"/>
      <c r="J53" s="91"/>
      <c r="K53" s="91"/>
      <c r="L53" s="91"/>
      <c r="M53" s="91"/>
      <c r="N53" s="91"/>
      <c r="O53" s="91"/>
    </row>
    <row r="54" spans="1:15" ht="17.25" hidden="1">
      <c r="B54" s="107">
        <f>'5- Food- Yellow Perch RAS'!B57</f>
        <v>4</v>
      </c>
      <c r="C54" s="390">
        <f ca="1">'2- Food- Trout RAS'!C56</f>
        <v>0</v>
      </c>
      <c r="D54" s="390">
        <f t="shared" si="14"/>
        <v>165211.99705643277</v>
      </c>
      <c r="E54" s="107">
        <f t="shared" ca="1" si="12"/>
        <v>165211.99705643277</v>
      </c>
      <c r="F54" s="389">
        <f t="shared" ca="1" si="13"/>
        <v>203146.86322573107</v>
      </c>
      <c r="G54" s="135"/>
      <c r="H54" s="107"/>
      <c r="I54" s="91"/>
      <c r="J54" s="91"/>
      <c r="K54" s="91"/>
      <c r="L54" s="91"/>
      <c r="M54" s="91"/>
      <c r="N54" s="91"/>
      <c r="O54" s="91"/>
    </row>
    <row r="55" spans="1:15" ht="17.25" hidden="1">
      <c r="B55" s="107">
        <f>'5- Food- Yellow Perch RAS'!B58</f>
        <v>5</v>
      </c>
      <c r="C55" s="390">
        <f ca="1">'2- Food- Trout RAS'!C57</f>
        <v>19444.800000000003</v>
      </c>
      <c r="D55" s="390">
        <f t="shared" si="14"/>
        <v>165211.99705643277</v>
      </c>
      <c r="E55" s="107">
        <f t="shared" ca="1" si="12"/>
        <v>145767.19705643278</v>
      </c>
      <c r="F55" s="389">
        <f t="shared" ca="1" si="13"/>
        <v>348914.06028216385</v>
      </c>
      <c r="G55" s="135"/>
      <c r="H55" s="107"/>
      <c r="I55" s="91"/>
      <c r="J55" s="91"/>
      <c r="K55" s="91"/>
      <c r="L55" s="91"/>
      <c r="M55" s="91"/>
      <c r="N55" s="91"/>
      <c r="O55" s="91"/>
    </row>
    <row r="56" spans="1:15" ht="17.25" hidden="1">
      <c r="B56" s="107">
        <f>'5- Food- Yellow Perch RAS'!B59</f>
        <v>6</v>
      </c>
      <c r="C56" s="390">
        <f ca="1">'2- Food- Trout RAS'!C58</f>
        <v>0</v>
      </c>
      <c r="D56" s="390">
        <f t="shared" si="14"/>
        <v>165211.99705643277</v>
      </c>
      <c r="E56" s="107">
        <f t="shared" ca="1" si="12"/>
        <v>165211.99705643277</v>
      </c>
      <c r="F56" s="389">
        <f t="shared" ca="1" si="13"/>
        <v>514126.05733859661</v>
      </c>
      <c r="G56" s="135"/>
      <c r="H56" s="107"/>
      <c r="I56" s="91"/>
      <c r="J56" s="91"/>
      <c r="K56" s="91"/>
      <c r="L56" s="91"/>
      <c r="M56" s="91"/>
      <c r="N56" s="91"/>
      <c r="O56" s="91"/>
    </row>
    <row r="57" spans="1:15" ht="17.25" hidden="1">
      <c r="B57" s="107">
        <f>'5- Food- Yellow Perch RAS'!B60</f>
        <v>7</v>
      </c>
      <c r="C57" s="390">
        <f ca="1">'2- Food- Trout RAS'!C59</f>
        <v>990</v>
      </c>
      <c r="D57" s="390">
        <f t="shared" si="14"/>
        <v>165211.99705643277</v>
      </c>
      <c r="E57" s="107">
        <f t="shared" ca="1" si="12"/>
        <v>164221.99705643277</v>
      </c>
      <c r="F57" s="389">
        <f t="shared" ca="1" si="13"/>
        <v>678348.05439502932</v>
      </c>
      <c r="G57" s="135"/>
      <c r="H57" s="107"/>
      <c r="I57" s="91"/>
      <c r="J57" s="91"/>
      <c r="K57" s="91"/>
      <c r="L57" s="91"/>
      <c r="M57" s="91"/>
      <c r="N57" s="91"/>
      <c r="O57" s="91"/>
    </row>
    <row r="58" spans="1:15" ht="17.25" hidden="1">
      <c r="B58" s="107">
        <f>'5- Food- Yellow Perch RAS'!B61</f>
        <v>8</v>
      </c>
      <c r="C58" s="390">
        <f ca="1">'2- Food- Trout RAS'!C60</f>
        <v>0</v>
      </c>
      <c r="D58" s="390">
        <f t="shared" si="14"/>
        <v>165211.99705643277</v>
      </c>
      <c r="E58" s="107">
        <f t="shared" ca="1" si="12"/>
        <v>165211.99705643277</v>
      </c>
      <c r="F58" s="389">
        <f t="shared" ca="1" si="13"/>
        <v>843560.05145146209</v>
      </c>
      <c r="G58" s="135"/>
      <c r="H58" s="107"/>
      <c r="I58" s="91"/>
      <c r="J58" s="91"/>
      <c r="K58" s="91"/>
      <c r="L58" s="91"/>
      <c r="M58" s="91"/>
      <c r="N58" s="91"/>
      <c r="O58" s="91"/>
    </row>
    <row r="59" spans="1:15" ht="17.25" hidden="1">
      <c r="B59" s="107">
        <f>'5- Food- Yellow Perch RAS'!B62</f>
        <v>9</v>
      </c>
      <c r="C59" s="390">
        <f ca="1">'2- Food- Trout RAS'!C61</f>
        <v>0</v>
      </c>
      <c r="D59" s="390">
        <f t="shared" si="14"/>
        <v>165211.99705643277</v>
      </c>
      <c r="E59" s="107">
        <f t="shared" ca="1" si="12"/>
        <v>165211.99705643277</v>
      </c>
      <c r="F59" s="389">
        <f t="shared" ca="1" si="13"/>
        <v>1008772.0485078949</v>
      </c>
      <c r="G59" s="135"/>
      <c r="H59" s="107"/>
      <c r="I59" s="91"/>
      <c r="J59" s="91"/>
      <c r="K59" s="91"/>
      <c r="L59" s="91"/>
      <c r="M59" s="91"/>
      <c r="N59" s="91"/>
      <c r="O59" s="91"/>
    </row>
    <row r="60" spans="1:15" ht="17.25" hidden="1">
      <c r="B60" s="107">
        <f>'5- Food- Yellow Perch RAS'!B63</f>
        <v>10</v>
      </c>
      <c r="C60" s="390">
        <f ca="1">'2- Food- Trout RAS'!C62</f>
        <v>93157</v>
      </c>
      <c r="D60" s="390">
        <f t="shared" si="14"/>
        <v>165211.99705643277</v>
      </c>
      <c r="E60" s="390">
        <f ca="1">D60-C60+D61</f>
        <v>391054.04467548034</v>
      </c>
      <c r="F60" s="389">
        <f ca="1">F59+E60</f>
        <v>1399826.0931833752</v>
      </c>
      <c r="G60" s="135"/>
      <c r="H60" s="107"/>
      <c r="I60" s="91"/>
      <c r="J60" s="91"/>
      <c r="K60" s="91"/>
      <c r="L60" s="91"/>
      <c r="M60" s="91"/>
      <c r="N60" s="91"/>
      <c r="O60" s="91"/>
    </row>
    <row r="61" spans="1:15" ht="17.25" hidden="1">
      <c r="B61" s="135" t="str">
        <f>'5- Food- Yellow Perch RAS'!B64</f>
        <v>Residual value at year 10</v>
      </c>
      <c r="C61" s="107"/>
      <c r="D61" s="390">
        <f>'2- Food- Trout RAS'!D63</f>
        <v>318999.04761904757</v>
      </c>
      <c r="E61" s="107"/>
      <c r="F61" s="107"/>
      <c r="G61" s="107"/>
      <c r="H61" s="107"/>
      <c r="I61" s="91"/>
      <c r="J61" s="91"/>
      <c r="K61" s="91"/>
      <c r="L61" s="91"/>
      <c r="M61" s="91"/>
      <c r="N61" s="91"/>
      <c r="O61" s="91"/>
    </row>
    <row r="62" spans="1:15" s="91" customFormat="1" ht="17.25" hidden="1">
      <c r="A62" s="2"/>
      <c r="B62" s="107"/>
      <c r="C62" s="107"/>
      <c r="D62" s="107"/>
      <c r="E62" s="107"/>
      <c r="F62" s="107"/>
      <c r="G62" s="107"/>
      <c r="H62" s="107"/>
    </row>
    <row r="63" spans="1:15" s="91" customFormat="1" hidden="1">
      <c r="A63" s="2"/>
    </row>
    <row r="64" spans="1:15" s="91" customFormat="1" hidden="1">
      <c r="A64" s="2"/>
    </row>
    <row r="65" spans="1:1" s="91" customFormat="1" ht="16.5" hidden="1" customHeight="1">
      <c r="A65" s="2"/>
    </row>
    <row r="66" spans="1:1" s="91" customFormat="1" ht="16.5" hidden="1" customHeight="1">
      <c r="A66" s="2"/>
    </row>
    <row r="67" spans="1:1" s="91" customFormat="1" hidden="1">
      <c r="A67" s="2"/>
    </row>
  </sheetData>
  <sheetProtection sheet="1" objects="1" scenarios="1"/>
  <mergeCells count="1">
    <mergeCell ref="B2:H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35E6-D4DC-48E8-88AD-04ACD957C5E7}">
  <dimension ref="B1:V66"/>
  <sheetViews>
    <sheetView showGridLines="0" topLeftCell="A15" zoomScaleNormal="100" workbookViewId="0">
      <selection activeCell="N24" sqref="N24"/>
    </sheetView>
  </sheetViews>
  <sheetFormatPr defaultColWidth="11.88671875" defaultRowHeight="16.5" zeroHeight="1"/>
  <cols>
    <col min="1" max="1" width="3.33203125" style="2" customWidth="1"/>
    <col min="2" max="2" width="39" style="13" bestFit="1" customWidth="1"/>
    <col min="3" max="3" width="14.109375" style="13" customWidth="1"/>
    <col min="4" max="6" width="10.77734375" style="13" customWidth="1"/>
    <col min="7" max="7" width="12.6640625" style="13" customWidth="1"/>
    <col min="8" max="8" width="13.5546875" style="2" customWidth="1"/>
    <col min="9" max="9" width="3.33203125" style="2" customWidth="1"/>
    <col min="10" max="10" width="35.5546875" style="2" bestFit="1" customWidth="1"/>
    <col min="11" max="11" width="12.5546875" style="2" customWidth="1"/>
    <col min="12" max="12" width="8.77734375" style="2" customWidth="1"/>
    <col min="13" max="13" width="3.33203125" style="2" customWidth="1"/>
    <col min="14" max="14" width="8.77734375" style="2" customWidth="1"/>
    <col min="15" max="15" width="16.77734375" style="2" customWidth="1"/>
    <col min="16" max="16" width="16.44140625" style="2" customWidth="1"/>
    <col min="17" max="17" width="29" style="2" customWidth="1"/>
    <col min="18" max="19" width="11.88671875" style="2"/>
    <col min="20" max="20" width="15.77734375" style="2" bestFit="1" customWidth="1"/>
    <col min="21" max="16384" width="11.88671875" style="2"/>
  </cols>
  <sheetData>
    <row r="1" spans="2:18">
      <c r="B1" s="2"/>
      <c r="C1" s="2"/>
      <c r="D1" s="2"/>
      <c r="E1" s="2"/>
      <c r="F1" s="2"/>
      <c r="G1" s="2"/>
      <c r="N1" s="272"/>
      <c r="O1" s="272"/>
    </row>
    <row r="2" spans="2:18" ht="21" customHeight="1">
      <c r="B2" s="612" t="s">
        <v>295</v>
      </c>
      <c r="C2" s="612"/>
      <c r="D2" s="612"/>
      <c r="E2" s="612"/>
      <c r="F2" s="612"/>
      <c r="G2" s="612"/>
      <c r="H2" s="612"/>
      <c r="I2" s="1"/>
      <c r="J2" s="373" t="s">
        <v>444</v>
      </c>
      <c r="K2" s="337"/>
      <c r="L2" s="337"/>
      <c r="M2" s="337"/>
      <c r="N2" s="381" t="s">
        <v>445</v>
      </c>
      <c r="O2" s="381" t="s">
        <v>433</v>
      </c>
      <c r="P2" s="356"/>
    </row>
    <row r="3" spans="2:18" ht="16.5" customHeight="1">
      <c r="B3" s="82"/>
      <c r="C3" s="82"/>
      <c r="D3" s="81"/>
      <c r="E3" s="83"/>
      <c r="F3" s="81"/>
      <c r="G3" s="81"/>
      <c r="H3" s="81"/>
      <c r="I3" s="1"/>
      <c r="J3" s="218" t="s">
        <v>135</v>
      </c>
      <c r="K3" s="214" t="s">
        <v>11</v>
      </c>
      <c r="L3" s="218" t="s">
        <v>45</v>
      </c>
      <c r="M3" s="357"/>
      <c r="N3" s="333" t="s">
        <v>434</v>
      </c>
      <c r="O3" s="333" t="s">
        <v>434</v>
      </c>
      <c r="P3" s="477"/>
    </row>
    <row r="4" spans="2:18" ht="16.5" customHeight="1">
      <c r="B4" s="70" t="s">
        <v>197</v>
      </c>
      <c r="C4" s="70" t="s">
        <v>11</v>
      </c>
      <c r="D4" s="71" t="s">
        <v>13</v>
      </c>
      <c r="E4" s="72" t="s">
        <v>426</v>
      </c>
      <c r="F4" s="71" t="s">
        <v>0</v>
      </c>
      <c r="G4" s="71" t="s">
        <v>245</v>
      </c>
      <c r="H4" s="71" t="s">
        <v>137</v>
      </c>
      <c r="I4" s="1"/>
      <c r="J4" s="338" t="s">
        <v>345</v>
      </c>
      <c r="K4" s="359" t="s">
        <v>232</v>
      </c>
      <c r="L4" s="489">
        <v>10</v>
      </c>
      <c r="M4" s="343"/>
      <c r="N4" s="479"/>
      <c r="O4" s="480">
        <f>G34</f>
        <v>-0.84806026765331022</v>
      </c>
      <c r="P4" s="358"/>
    </row>
    <row r="5" spans="2:18" ht="16.5" customHeight="1">
      <c r="B5" s="4" t="s">
        <v>361</v>
      </c>
      <c r="C5" s="7" t="s">
        <v>346</v>
      </c>
      <c r="D5" s="6">
        <f>L17*('Capital Inputs'!L15+'Capital Inputs'!L16)*L23</f>
        <v>33724.777629374992</v>
      </c>
      <c r="E5" s="247">
        <f>L4</f>
        <v>10</v>
      </c>
      <c r="F5" s="248">
        <f>D5*E5</f>
        <v>337247.77629374992</v>
      </c>
      <c r="G5" s="250">
        <f>E5</f>
        <v>10</v>
      </c>
      <c r="H5" s="283">
        <f>F5/$F$5</f>
        <v>1</v>
      </c>
      <c r="I5" s="1"/>
      <c r="J5" s="341" t="s">
        <v>340</v>
      </c>
      <c r="K5" s="359" t="s">
        <v>182</v>
      </c>
      <c r="L5" s="191">
        <v>3346.5736363636361</v>
      </c>
      <c r="M5" s="343"/>
      <c r="N5" s="480">
        <v>3</v>
      </c>
      <c r="O5" s="480">
        <f t="dataTable" ref="O5:O23" dt2D="0" dtr="0" r1="L4"/>
        <v>-7.6972102676533094</v>
      </c>
      <c r="P5" s="358"/>
    </row>
    <row r="6" spans="2:18" ht="16.5" customHeight="1">
      <c r="B6" s="4" t="s">
        <v>220</v>
      </c>
      <c r="C6" s="7" t="s">
        <v>7</v>
      </c>
      <c r="D6" s="6">
        <f>D5/L22*L21</f>
        <v>6744.9555258749979</v>
      </c>
      <c r="E6" s="247">
        <f>'Operating Inputs'!D10</f>
        <v>1.5</v>
      </c>
      <c r="F6" s="252">
        <f t="shared" ref="F6" si="0">D6*E6</f>
        <v>10117.433288812497</v>
      </c>
      <c r="G6" s="253">
        <f>F6/D5</f>
        <v>0.3</v>
      </c>
      <c r="H6" s="290">
        <f t="shared" ref="H6:H12" si="1">F6/$F$5</f>
        <v>0.03</v>
      </c>
      <c r="I6" s="1"/>
      <c r="J6" s="341" t="s">
        <v>343</v>
      </c>
      <c r="K6" s="359" t="s">
        <v>182</v>
      </c>
      <c r="L6" s="191">
        <v>2050.2209090909091</v>
      </c>
      <c r="M6" s="343"/>
      <c r="N6" s="480">
        <v>4</v>
      </c>
      <c r="O6" s="480">
        <v>-6.7187602676533098</v>
      </c>
      <c r="P6" s="358"/>
      <c r="R6" s="87"/>
    </row>
    <row r="7" spans="2:18" ht="16.5" customHeight="1">
      <c r="B7" s="288" t="s">
        <v>197</v>
      </c>
      <c r="C7" s="7"/>
      <c r="D7" s="6"/>
      <c r="F7" s="249">
        <f>F5-F6</f>
        <v>327130.3430049374</v>
      </c>
      <c r="G7" s="251">
        <f>G5-G6</f>
        <v>9.6999999999999993</v>
      </c>
      <c r="H7" s="291">
        <f t="shared" si="1"/>
        <v>0.97</v>
      </c>
      <c r="I7" s="1"/>
      <c r="J7" s="307" t="s">
        <v>276</v>
      </c>
      <c r="K7" s="359" t="s">
        <v>182</v>
      </c>
      <c r="L7" s="191">
        <v>150</v>
      </c>
      <c r="M7" s="343"/>
      <c r="N7" s="480">
        <v>5</v>
      </c>
      <c r="O7" s="480">
        <v>-5.7403102676533102</v>
      </c>
      <c r="P7" s="358"/>
      <c r="R7" s="87"/>
    </row>
    <row r="8" spans="2:18" ht="16.5" customHeight="1">
      <c r="B8" s="238"/>
      <c r="C8" s="7"/>
      <c r="D8" s="6"/>
      <c r="E8" s="73"/>
      <c r="F8" s="14"/>
      <c r="G8" s="15"/>
      <c r="H8" s="239"/>
      <c r="I8" s="1"/>
      <c r="J8" s="190" t="s">
        <v>223</v>
      </c>
      <c r="K8" s="359" t="s">
        <v>186</v>
      </c>
      <c r="L8" s="191">
        <v>1.9</v>
      </c>
      <c r="M8" s="343"/>
      <c r="N8" s="480">
        <v>6</v>
      </c>
      <c r="O8" s="480">
        <v>-4.7618602676533088</v>
      </c>
      <c r="P8" s="358"/>
    </row>
    <row r="9" spans="2:18" ht="16.5" customHeight="1">
      <c r="B9" s="246" t="s">
        <v>10</v>
      </c>
      <c r="C9" s="70" t="s">
        <v>11</v>
      </c>
      <c r="D9" s="71" t="s">
        <v>13</v>
      </c>
      <c r="E9" s="72" t="s">
        <v>426</v>
      </c>
      <c r="F9" s="71" t="s">
        <v>0</v>
      </c>
      <c r="G9" s="71" t="s">
        <v>245</v>
      </c>
      <c r="H9" s="71" t="s">
        <v>137</v>
      </c>
      <c r="I9" s="1"/>
      <c r="J9" s="190" t="s">
        <v>224</v>
      </c>
      <c r="K9" s="359" t="s">
        <v>186</v>
      </c>
      <c r="L9" s="191">
        <v>1.9</v>
      </c>
      <c r="M9" s="343"/>
      <c r="N9" s="480">
        <v>7</v>
      </c>
      <c r="O9" s="480">
        <v>-3.7834102676533088</v>
      </c>
      <c r="P9" s="358"/>
    </row>
    <row r="10" spans="2:18" ht="16.5" customHeight="1">
      <c r="B10" s="4" t="s">
        <v>14</v>
      </c>
      <c r="C10" s="108"/>
      <c r="D10" s="68"/>
      <c r="E10" s="109"/>
      <c r="F10" s="68"/>
      <c r="G10" s="485"/>
      <c r="H10" s="68"/>
      <c r="I10" s="1"/>
      <c r="J10" s="341" t="s">
        <v>391</v>
      </c>
      <c r="K10" s="359" t="s">
        <v>183</v>
      </c>
      <c r="L10" s="191">
        <v>0.75</v>
      </c>
      <c r="M10" s="343"/>
      <c r="N10" s="480">
        <v>8</v>
      </c>
      <c r="O10" s="480">
        <v>-2.8049602676533087</v>
      </c>
      <c r="P10" s="358"/>
    </row>
    <row r="11" spans="2:18" ht="16.5" customHeight="1">
      <c r="B11" s="483" t="s">
        <v>228</v>
      </c>
      <c r="C11" s="7" t="s">
        <v>190</v>
      </c>
      <c r="D11" s="101">
        <f>D14*AVERAGE(1,L12)*L15*L8/2204.6</f>
        <v>7.6656019589129043</v>
      </c>
      <c r="E11" s="287">
        <f>L5</f>
        <v>3346.5736363636361</v>
      </c>
      <c r="F11" s="248">
        <f t="shared" ref="F11:F12" si="2">D11*E11</f>
        <v>25653.501422555371</v>
      </c>
      <c r="G11" s="255">
        <f>F11/$D$5</f>
        <v>0.76067221864231449</v>
      </c>
      <c r="H11" s="283">
        <f t="shared" si="1"/>
        <v>7.6067221864231455E-2</v>
      </c>
      <c r="I11" s="1"/>
      <c r="J11" s="341" t="s">
        <v>336</v>
      </c>
      <c r="K11" s="359" t="s">
        <v>342</v>
      </c>
      <c r="L11" s="191">
        <v>1400</v>
      </c>
      <c r="M11" s="343"/>
      <c r="N11" s="480">
        <v>9</v>
      </c>
      <c r="O11" s="480">
        <v>-1.82651026765331</v>
      </c>
      <c r="P11" s="353"/>
    </row>
    <row r="12" spans="2:18" ht="16.5" customHeight="1">
      <c r="B12" s="483" t="s">
        <v>229</v>
      </c>
      <c r="C12" s="7" t="s">
        <v>190</v>
      </c>
      <c r="D12" s="101">
        <f>D14*L12*AVERAGE(1,L13)*(L16-L15)*L9/2204.6</f>
        <v>23.780861681806812</v>
      </c>
      <c r="E12" s="287">
        <f>L6</f>
        <v>2050.2209090909091</v>
      </c>
      <c r="F12" s="248">
        <f t="shared" si="2"/>
        <v>48756.019856239131</v>
      </c>
      <c r="G12" s="255">
        <f>F12/$D$5</f>
        <v>1.4457032272251844</v>
      </c>
      <c r="H12" s="283">
        <f t="shared" si="1"/>
        <v>0.14457032272251844</v>
      </c>
      <c r="I12" s="1"/>
      <c r="J12" s="190" t="s">
        <v>242</v>
      </c>
      <c r="K12" s="359" t="s">
        <v>156</v>
      </c>
      <c r="L12" s="194">
        <v>0.9</v>
      </c>
      <c r="M12" s="216"/>
      <c r="N12" s="480">
        <v>10</v>
      </c>
      <c r="O12" s="480">
        <v>-0.84806026765331022</v>
      </c>
      <c r="P12" s="358"/>
    </row>
    <row r="13" spans="2:18" ht="16.5" customHeight="1">
      <c r="B13" s="128" t="s">
        <v>287</v>
      </c>
      <c r="C13" s="7" t="s">
        <v>190</v>
      </c>
      <c r="D13" s="385">
        <f>SUM(D11:D12)</f>
        <v>31.446463640719717</v>
      </c>
      <c r="E13" s="484">
        <f>L7</f>
        <v>150</v>
      </c>
      <c r="F13" s="248">
        <f t="shared" ref="F13" si="3">D13*E13</f>
        <v>4716.9695461079573</v>
      </c>
      <c r="G13" s="255">
        <f>F13/$D$5</f>
        <v>0.13986658705198926</v>
      </c>
      <c r="H13" s="283">
        <f t="shared" ref="H13" si="4">F13/$F$5</f>
        <v>1.3986658705198926E-2</v>
      </c>
      <c r="I13" s="1"/>
      <c r="J13" s="190" t="s">
        <v>289</v>
      </c>
      <c r="K13" s="359" t="s">
        <v>156</v>
      </c>
      <c r="L13" s="194">
        <v>0.9</v>
      </c>
      <c r="M13" s="216"/>
      <c r="N13" s="480">
        <v>11</v>
      </c>
      <c r="O13" s="480">
        <v>0.13038973234668955</v>
      </c>
      <c r="P13" s="358"/>
    </row>
    <row r="14" spans="2:18" ht="16.5" customHeight="1">
      <c r="B14" s="4" t="s">
        <v>9</v>
      </c>
      <c r="C14" s="7" t="s">
        <v>191</v>
      </c>
      <c r="D14" s="102">
        <f>L11*('Capital Inputs'!L15+Grow_out_capacity)*L23/1000</f>
        <v>83271.055875000005</v>
      </c>
      <c r="E14" s="286">
        <f>L10</f>
        <v>0.75</v>
      </c>
      <c r="F14" s="248">
        <f>D14*E14</f>
        <v>62453.29190625</v>
      </c>
      <c r="G14" s="255">
        <f t="shared" ref="G14:G21" si="5">F14/$D$5</f>
        <v>1.8518518518518523</v>
      </c>
      <c r="H14" s="283">
        <f t="shared" ref="H14:H21" si="6">F14/$F$5</f>
        <v>0.18518518518518523</v>
      </c>
      <c r="I14" s="1"/>
      <c r="J14" s="190" t="s">
        <v>350</v>
      </c>
      <c r="K14" s="359" t="s">
        <v>184</v>
      </c>
      <c r="L14" s="490">
        <v>1.1023122100918888E-2</v>
      </c>
      <c r="M14" s="478"/>
      <c r="N14" s="480">
        <v>12</v>
      </c>
      <c r="O14" s="480">
        <v>1.1088397323466894</v>
      </c>
      <c r="P14" s="358"/>
    </row>
    <row r="15" spans="2:18" ht="16.5" customHeight="1">
      <c r="B15" s="4" t="s">
        <v>205</v>
      </c>
      <c r="C15" s="7"/>
      <c r="D15" s="12"/>
      <c r="E15" s="286"/>
      <c r="F15" s="248">
        <f>L19*'Operating Inputs'!D5</f>
        <v>56940</v>
      </c>
      <c r="G15" s="255">
        <f t="shared" si="5"/>
        <v>1.6883728819728099</v>
      </c>
      <c r="H15" s="283">
        <f t="shared" si="6"/>
        <v>0.16883728819728097</v>
      </c>
      <c r="I15" s="1"/>
      <c r="J15" s="190" t="s">
        <v>344</v>
      </c>
      <c r="K15" s="359" t="s">
        <v>184</v>
      </c>
      <c r="L15" s="191">
        <v>0.11243584542937266</v>
      </c>
      <c r="M15" s="343"/>
      <c r="N15" s="480">
        <v>13</v>
      </c>
      <c r="O15" s="480">
        <v>2.0872897323466892</v>
      </c>
      <c r="P15" s="358"/>
    </row>
    <row r="16" spans="2:18" ht="16.5" customHeight="1">
      <c r="B16" s="4" t="s">
        <v>115</v>
      </c>
      <c r="C16" s="7"/>
      <c r="D16" s="6"/>
      <c r="E16" s="286"/>
      <c r="F16" s="248">
        <f>'Perch Utilities'!G17+'Perch Utilities'!O3</f>
        <v>14536.02609077606</v>
      </c>
      <c r="G16" s="255">
        <f t="shared" si="5"/>
        <v>0.43101918270663037</v>
      </c>
      <c r="H16" s="283">
        <f t="shared" si="6"/>
        <v>4.3101918270663037E-2</v>
      </c>
      <c r="I16" s="1"/>
      <c r="J16" s="190" t="s">
        <v>348</v>
      </c>
      <c r="K16" s="359" t="s">
        <v>184</v>
      </c>
      <c r="L16" s="191">
        <v>0.5</v>
      </c>
      <c r="M16" s="343"/>
      <c r="N16" s="480">
        <v>14</v>
      </c>
      <c r="O16" s="480">
        <v>3.0657397323466906</v>
      </c>
      <c r="P16" s="358"/>
    </row>
    <row r="17" spans="2:18" ht="16.5" customHeight="1">
      <c r="B17" s="4" t="s">
        <v>51</v>
      </c>
      <c r="C17" s="7"/>
      <c r="D17" s="6"/>
      <c r="E17" s="286"/>
      <c r="F17" s="248">
        <f>'Operating Inputs'!D7*12</f>
        <v>8400</v>
      </c>
      <c r="G17" s="255">
        <f t="shared" si="5"/>
        <v>0.2490750300065262</v>
      </c>
      <c r="H17" s="283">
        <f t="shared" si="6"/>
        <v>2.4907503000652621E-2</v>
      </c>
      <c r="I17" s="1"/>
      <c r="J17" s="190" t="s">
        <v>347</v>
      </c>
      <c r="K17" s="359" t="s">
        <v>189</v>
      </c>
      <c r="L17" s="343">
        <f>L11*L12*L13*L16/1000</f>
        <v>0.56699999999999995</v>
      </c>
      <c r="M17" s="343"/>
      <c r="N17" s="480">
        <v>15</v>
      </c>
      <c r="O17" s="480">
        <v>4.0441897323466902</v>
      </c>
      <c r="P17" s="362"/>
    </row>
    <row r="18" spans="2:18" ht="16.5" customHeight="1">
      <c r="B18" s="4" t="s">
        <v>8</v>
      </c>
      <c r="C18" s="7"/>
      <c r="D18" s="6"/>
      <c r="E18" s="286"/>
      <c r="F18" s="248">
        <f>'Operating Inputs'!D8</f>
        <v>14414</v>
      </c>
      <c r="G18" s="255">
        <f t="shared" si="5"/>
        <v>0.42740089077548438</v>
      </c>
      <c r="H18" s="283">
        <f t="shared" si="6"/>
        <v>4.2740089077548435E-2</v>
      </c>
      <c r="I18" s="1"/>
      <c r="J18" s="341" t="s">
        <v>136</v>
      </c>
      <c r="K18" s="359" t="s">
        <v>137</v>
      </c>
      <c r="L18" s="194">
        <v>0.02</v>
      </c>
      <c r="M18" s="216"/>
      <c r="N18" s="480">
        <v>16</v>
      </c>
      <c r="O18" s="480">
        <v>5.0226397323466898</v>
      </c>
      <c r="P18" s="358"/>
    </row>
    <row r="19" spans="2:18" ht="16.5" customHeight="1">
      <c r="B19" s="4" t="s">
        <v>54</v>
      </c>
      <c r="C19" s="7"/>
      <c r="D19" s="6"/>
      <c r="E19" s="286"/>
      <c r="F19" s="248">
        <f>F5*'5- Food- Yellow Perch RAS'!L18</f>
        <v>6744.9555258749988</v>
      </c>
      <c r="G19" s="255">
        <f t="shared" si="5"/>
        <v>0.2</v>
      </c>
      <c r="H19" s="283">
        <f t="shared" si="6"/>
        <v>0.02</v>
      </c>
      <c r="I19" s="1"/>
      <c r="J19" s="190" t="s">
        <v>205</v>
      </c>
      <c r="K19" s="359" t="s">
        <v>327</v>
      </c>
      <c r="L19" s="192">
        <v>2920</v>
      </c>
      <c r="M19" s="352"/>
      <c r="N19" s="480">
        <v>17</v>
      </c>
      <c r="O19" s="480">
        <v>6.0010897323466903</v>
      </c>
      <c r="P19" s="353"/>
    </row>
    <row r="20" spans="2:18" ht="16.5" customHeight="1">
      <c r="B20" s="4" t="s">
        <v>141</v>
      </c>
      <c r="C20" s="7"/>
      <c r="D20" s="6"/>
      <c r="E20" s="286"/>
      <c r="F20" s="248">
        <f>'Operating Inputs'!D9</f>
        <v>3000</v>
      </c>
      <c r="G20" s="255">
        <f t="shared" si="5"/>
        <v>8.8955367859473652E-2</v>
      </c>
      <c r="H20" s="283">
        <f t="shared" si="6"/>
        <v>8.8955367859473652E-3</v>
      </c>
      <c r="I20" s="1"/>
      <c r="J20" s="345" t="s">
        <v>227</v>
      </c>
      <c r="K20" s="359"/>
      <c r="L20" s="589">
        <v>24</v>
      </c>
      <c r="M20" s="307"/>
      <c r="N20" s="480">
        <v>18</v>
      </c>
      <c r="O20" s="480">
        <v>6.9795397323466899</v>
      </c>
      <c r="P20" s="358"/>
    </row>
    <row r="21" spans="2:18" ht="16.5" customHeight="1">
      <c r="B21" s="4" t="s">
        <v>22</v>
      </c>
      <c r="C21" s="7"/>
      <c r="D21" s="6"/>
      <c r="E21" s="286"/>
      <c r="F21" s="493">
        <v>0</v>
      </c>
      <c r="G21" s="255">
        <f t="shared" si="5"/>
        <v>0</v>
      </c>
      <c r="H21" s="283">
        <f t="shared" si="6"/>
        <v>0</v>
      </c>
      <c r="I21" s="1"/>
      <c r="J21" s="345" t="s">
        <v>188</v>
      </c>
      <c r="K21" s="359" t="s">
        <v>187</v>
      </c>
      <c r="L21" s="346">
        <v>400</v>
      </c>
      <c r="M21" s="354"/>
      <c r="N21" s="480">
        <v>19</v>
      </c>
      <c r="O21" s="480">
        <v>7.9579897323466895</v>
      </c>
      <c r="P21" s="353"/>
    </row>
    <row r="22" spans="2:18" ht="16.5" customHeight="1">
      <c r="B22" s="4" t="s">
        <v>17</v>
      </c>
      <c r="C22" s="7" t="s">
        <v>138</v>
      </c>
      <c r="D22" s="6"/>
      <c r="E22" s="88">
        <f>'Operating Inputs'!D11</f>
        <v>7.7499999999999999E-2</v>
      </c>
      <c r="F22" s="252">
        <f>SUM(F11:F20)*(1-'Operating Inputs'!D12)*E22/L23</f>
        <v>19035.144236954773</v>
      </c>
      <c r="G22" s="256">
        <f>F22/$D$5</f>
        <v>0.56442608595215049</v>
      </c>
      <c r="H22" s="290">
        <f>F22/$F$5</f>
        <v>5.6442608595215056E-2</v>
      </c>
      <c r="I22" s="1"/>
      <c r="J22" s="345" t="s">
        <v>200</v>
      </c>
      <c r="K22" s="359" t="s">
        <v>393</v>
      </c>
      <c r="L22" s="346">
        <v>2000</v>
      </c>
      <c r="M22" s="354"/>
      <c r="N22" s="480">
        <v>20</v>
      </c>
      <c r="O22" s="480">
        <v>8.93643973234669</v>
      </c>
      <c r="P22" s="353"/>
    </row>
    <row r="23" spans="2:18" ht="16.5" customHeight="1">
      <c r="B23" s="68" t="s">
        <v>16</v>
      </c>
      <c r="C23" s="68"/>
      <c r="D23" s="68"/>
      <c r="E23" s="68"/>
      <c r="F23" s="300">
        <f>SUM(F11:F22)</f>
        <v>264649.90858475829</v>
      </c>
      <c r="G23" s="325">
        <f>F23/$D$5</f>
        <v>7.8473433240444157</v>
      </c>
      <c r="H23" s="291">
        <f>F23/$F$5</f>
        <v>0.78473433240444157</v>
      </c>
      <c r="I23" s="1"/>
      <c r="J23" s="217" t="s">
        <v>57</v>
      </c>
      <c r="K23" s="363" t="s">
        <v>58</v>
      </c>
      <c r="L23" s="348">
        <f>(12/L20)</f>
        <v>0.5</v>
      </c>
      <c r="M23" s="343"/>
      <c r="N23" s="481">
        <v>21</v>
      </c>
      <c r="O23" s="481">
        <v>9.9148897323466887</v>
      </c>
      <c r="P23" s="358"/>
      <c r="Q23" s="90"/>
      <c r="R23" s="87"/>
    </row>
    <row r="24" spans="2:18" ht="16.5" customHeight="1">
      <c r="B24" s="78"/>
      <c r="C24" s="78"/>
      <c r="D24" s="78"/>
      <c r="E24" s="78"/>
      <c r="F24" s="76"/>
      <c r="G24" s="15"/>
      <c r="H24" s="239"/>
      <c r="I24" s="1"/>
      <c r="J24" s="395"/>
      <c r="K24" s="360"/>
      <c r="L24" s="307"/>
      <c r="M24" s="307"/>
      <c r="N24" s="307"/>
      <c r="O24" s="307"/>
      <c r="P24" s="353"/>
    </row>
    <row r="25" spans="2:18" ht="16.5" customHeight="1">
      <c r="B25" s="246" t="s">
        <v>18</v>
      </c>
      <c r="C25" s="70" t="s">
        <v>11</v>
      </c>
      <c r="D25" s="71" t="s">
        <v>13</v>
      </c>
      <c r="E25" s="72" t="s">
        <v>426</v>
      </c>
      <c r="F25" s="71" t="s">
        <v>0</v>
      </c>
      <c r="G25" s="71" t="s">
        <v>245</v>
      </c>
      <c r="H25" s="71" t="s">
        <v>137</v>
      </c>
      <c r="I25" s="1"/>
      <c r="J25" s="190"/>
      <c r="K25" s="359"/>
      <c r="L25" s="307"/>
      <c r="M25" s="307"/>
      <c r="N25" s="307"/>
      <c r="O25" s="307"/>
      <c r="P25" s="358"/>
    </row>
    <row r="26" spans="2:18" ht="16.5" customHeight="1">
      <c r="B26" s="4" t="s">
        <v>6</v>
      </c>
      <c r="C26" s="7" t="s">
        <v>163</v>
      </c>
      <c r="D26" s="10">
        <v>12</v>
      </c>
      <c r="E26" s="9"/>
      <c r="F26" s="261">
        <f>'Operating Inputs'!D15</f>
        <v>3000</v>
      </c>
      <c r="G26" s="244">
        <f t="shared" ref="G26:G31" si="7">F26/$D$5</f>
        <v>8.8955367859473652E-2</v>
      </c>
      <c r="H26" s="283">
        <f t="shared" ref="H26:H31" si="8">F26/$F$5</f>
        <v>8.8955367859473652E-3</v>
      </c>
      <c r="I26" s="1"/>
    </row>
    <row r="27" spans="2:18" ht="16.5" customHeight="1">
      <c r="B27" s="4" t="s">
        <v>5</v>
      </c>
      <c r="C27" s="7" t="s">
        <v>163</v>
      </c>
      <c r="D27" s="10">
        <v>12</v>
      </c>
      <c r="E27" s="9"/>
      <c r="F27" s="261">
        <f>'Operating Inputs'!D16</f>
        <v>1000</v>
      </c>
      <c r="G27" s="244">
        <f t="shared" si="7"/>
        <v>2.9651789286491214E-2</v>
      </c>
      <c r="H27" s="283">
        <f t="shared" si="8"/>
        <v>2.9651789286491217E-3</v>
      </c>
      <c r="I27" s="1"/>
    </row>
    <row r="28" spans="2:18" ht="16.5" customHeight="1">
      <c r="B28" s="4" t="s">
        <v>198</v>
      </c>
      <c r="C28" s="7" t="s">
        <v>163</v>
      </c>
      <c r="D28" s="10">
        <v>1</v>
      </c>
      <c r="E28" s="9"/>
      <c r="F28" s="261">
        <f>'Operating Inputs'!D17</f>
        <v>45000</v>
      </c>
      <c r="G28" s="244">
        <f t="shared" si="7"/>
        <v>1.3343305178921048</v>
      </c>
      <c r="H28" s="283">
        <f t="shared" si="8"/>
        <v>0.13343305178921047</v>
      </c>
      <c r="I28" s="1"/>
    </row>
    <row r="29" spans="2:18" ht="16.5" customHeight="1">
      <c r="B29" s="4" t="s">
        <v>19</v>
      </c>
      <c r="C29" s="7"/>
      <c r="D29" s="10"/>
      <c r="E29" s="11">
        <f>'Operating Inputs'!D13</f>
        <v>7.2499999999999995E-2</v>
      </c>
      <c r="F29" s="261">
        <f>('Capital Inputs'!F39-(SUMPRODUCT('Capital Inputs'!F5:F16,'Capital Inputs'!H5:H16)+SUMPRODUCT('Capital Inputs'!F21:F38,'Capital Inputs'!H21:H38)))/2*E29</f>
        <v>14349.870625</v>
      </c>
      <c r="G29" s="244">
        <f t="shared" si="7"/>
        <v>0.42549934006091</v>
      </c>
      <c r="H29" s="283">
        <f t="shared" si="8"/>
        <v>4.2549934006091E-2</v>
      </c>
      <c r="I29" s="1"/>
    </row>
    <row r="30" spans="2:18" ht="16.5" customHeight="1">
      <c r="B30" s="4" t="s">
        <v>20</v>
      </c>
      <c r="C30" s="7"/>
      <c r="D30" s="6"/>
      <c r="E30" s="9"/>
      <c r="F30" s="263">
        <f>'Capital Inputs'!I40</f>
        <v>27731.20773809524</v>
      </c>
      <c r="G30" s="264">
        <f t="shared" si="7"/>
        <v>0.82227992850991471</v>
      </c>
      <c r="H30" s="290">
        <f t="shared" si="8"/>
        <v>8.2227992850991471E-2</v>
      </c>
      <c r="I30" s="1"/>
    </row>
    <row r="31" spans="2:18" ht="16.5" customHeight="1">
      <c r="B31" s="78" t="s">
        <v>4</v>
      </c>
      <c r="C31" s="78"/>
      <c r="D31" s="78"/>
      <c r="E31" s="78"/>
      <c r="F31" s="262">
        <f>SUM(F26:F30)</f>
        <v>91081.078363095236</v>
      </c>
      <c r="G31" s="241">
        <f t="shared" si="7"/>
        <v>2.700716943608894</v>
      </c>
      <c r="H31" s="291">
        <f t="shared" si="8"/>
        <v>0.2700716943608894</v>
      </c>
      <c r="I31" s="1"/>
    </row>
    <row r="32" spans="2:18" ht="16.5" customHeight="1">
      <c r="B32" s="4"/>
      <c r="C32" s="7"/>
      <c r="D32" s="5"/>
      <c r="E32" s="5"/>
      <c r="F32" s="261"/>
      <c r="G32" s="244"/>
      <c r="H32" s="316"/>
      <c r="I32" s="1"/>
    </row>
    <row r="33" spans="2:22" ht="16.5" customHeight="1">
      <c r="B33" s="92" t="s">
        <v>3</v>
      </c>
      <c r="C33" s="93"/>
      <c r="D33" s="93"/>
      <c r="E33" s="93"/>
      <c r="F33" s="265">
        <f>SUM(F31,F23)</f>
        <v>355730.98694785353</v>
      </c>
      <c r="G33" s="266">
        <f>F33/$D$5</f>
        <v>10.548060267653309</v>
      </c>
      <c r="H33" s="292">
        <f>F33/$F$5</f>
        <v>1.054806026765331</v>
      </c>
      <c r="I33" s="1"/>
    </row>
    <row r="34" spans="2:22" ht="16.5" customHeight="1">
      <c r="B34" s="94" t="s">
        <v>21</v>
      </c>
      <c r="C34" s="95"/>
      <c r="D34" s="95"/>
      <c r="E34" s="95"/>
      <c r="F34" s="268">
        <f>F7-F33</f>
        <v>-28600.643942916126</v>
      </c>
      <c r="G34" s="269">
        <f>F34/$D$5</f>
        <v>-0.84806026765331022</v>
      </c>
      <c r="H34" s="293">
        <f>F34/$F$5</f>
        <v>-8.4806026765331027E-2</v>
      </c>
      <c r="I34" s="1"/>
    </row>
    <row r="35" spans="2:22" ht="16.5" customHeight="1">
      <c r="B35" s="68"/>
      <c r="C35" s="68"/>
      <c r="D35" s="68"/>
      <c r="E35" s="68"/>
      <c r="F35" s="14"/>
      <c r="G35" s="14"/>
      <c r="H35" s="14"/>
      <c r="I35" s="3"/>
    </row>
    <row r="36" spans="2:22" ht="16.5" customHeight="1">
      <c r="B36" s="321"/>
      <c r="C36" s="93" t="s">
        <v>41</v>
      </c>
      <c r="D36" s="322"/>
      <c r="E36" s="93" t="s">
        <v>42</v>
      </c>
      <c r="F36" s="322"/>
      <c r="G36" s="93" t="s">
        <v>296</v>
      </c>
      <c r="H36" s="323" t="str" cm="1">
        <f t="array" aca="1" ref="H36" ca="1">IFERROR(INDEX(_xlfn._xlws.FILTER(B54:B63, F54:F63&gt;0), 1),"Doesn't pay back")</f>
        <v>Doesn't pay back</v>
      </c>
      <c r="I36" s="19">
        <v>1.3</v>
      </c>
    </row>
    <row r="37" spans="2:22" ht="16.5" customHeight="1">
      <c r="B37" s="240" t="s">
        <v>31</v>
      </c>
      <c r="C37" s="8">
        <f>F23/D5</f>
        <v>7.8473433240444157</v>
      </c>
      <c r="D37" s="2"/>
      <c r="E37" s="386">
        <f>F23/E5</f>
        <v>26464.99085847583</v>
      </c>
      <c r="F37" s="2"/>
      <c r="G37" s="285" t="s">
        <v>297</v>
      </c>
      <c r="H37" s="482">
        <f ca="1">IFERROR(IRR(E53:E63),"High loss")</f>
        <v>-3.3880008292073605E-2</v>
      </c>
      <c r="I37" s="20">
        <f>(F5*I36)-(F6*I36)</f>
        <v>425269.44590641867</v>
      </c>
    </row>
    <row r="38" spans="2:22" ht="16.5" customHeight="1">
      <c r="B38" s="270" t="s">
        <v>32</v>
      </c>
      <c r="C38" s="17">
        <f>F33/D5</f>
        <v>10.548060267653309</v>
      </c>
      <c r="D38" s="272"/>
      <c r="E38" s="486">
        <f>F33/E5</f>
        <v>35573.098694785353</v>
      </c>
      <c r="F38" s="272"/>
      <c r="G38" s="295" t="str">
        <f>"NPV at " &amp; 100*E29 &amp; " % in 10 years"</f>
        <v>NPV at 7.25 % in 10 years</v>
      </c>
      <c r="H38" s="274">
        <f ca="1">NPV(E29,E53:E63)</f>
        <v>-247472.88502745292</v>
      </c>
      <c r="I38" s="20">
        <f>(F11+F19)*I36+(F23-F11-F19)</f>
        <v>274369.44566928741</v>
      </c>
      <c r="J38" s="22"/>
      <c r="K38" s="77"/>
      <c r="L38" s="96"/>
      <c r="M38" s="96"/>
      <c r="N38" s="96"/>
      <c r="O38" s="96"/>
    </row>
    <row r="39" spans="2:22" ht="16.5" customHeight="1">
      <c r="B39" s="4"/>
      <c r="C39" s="4"/>
      <c r="D39" s="4"/>
      <c r="E39" s="4"/>
      <c r="F39" s="4"/>
      <c r="G39" s="4"/>
      <c r="H39" s="4"/>
      <c r="I39" s="20">
        <f>F31</f>
        <v>91081.078363095236</v>
      </c>
    </row>
    <row r="40" spans="2:22" ht="16.5" customHeight="1">
      <c r="B40" s="200" t="s">
        <v>438</v>
      </c>
      <c r="C40" s="426"/>
      <c r="D40" s="426"/>
      <c r="E40" s="426"/>
      <c r="F40" s="387"/>
      <c r="G40" s="388">
        <v>0.7</v>
      </c>
      <c r="H40" s="388">
        <v>1</v>
      </c>
      <c r="L40" s="106"/>
      <c r="M40" s="106"/>
      <c r="N40" s="106"/>
      <c r="O40" s="106"/>
      <c r="P40" s="144"/>
      <c r="Q40" s="144"/>
      <c r="S40" s="147"/>
      <c r="T40" s="147"/>
      <c r="U40" s="147"/>
      <c r="V40" s="147"/>
    </row>
    <row r="41" spans="2:22" ht="16.5" customHeight="1">
      <c r="B41" s="329"/>
      <c r="C41" s="487">
        <v>-0.3</v>
      </c>
      <c r="D41" s="488" t="s">
        <v>134</v>
      </c>
      <c r="E41" s="487">
        <v>0.3</v>
      </c>
      <c r="F41" s="13" t="s">
        <v>55</v>
      </c>
      <c r="G41" s="152">
        <f>(F5*G40)-(F6*G40)</f>
        <v>228991.24010345616</v>
      </c>
      <c r="H41" s="152">
        <f>F7</f>
        <v>327130.3430049374</v>
      </c>
      <c r="P41" s="91"/>
      <c r="Q41" s="148"/>
      <c r="S41" s="149"/>
      <c r="T41" s="150"/>
      <c r="U41" s="149"/>
      <c r="V41" s="150"/>
    </row>
    <row r="42" spans="2:22" ht="16.5" customHeight="1">
      <c r="B42" s="307" t="s">
        <v>192</v>
      </c>
      <c r="C42" s="308">
        <f>(G41-G42-G43)/'Capital Inputs'!$F$39</f>
        <v>-0.25926646302226064</v>
      </c>
      <c r="D42" s="308">
        <f>(H41-H42-H43)/'Capital Inputs'!$F$39</f>
        <v>-6.3366727939176234E-2</v>
      </c>
      <c r="E42" s="308">
        <f>(I37-I38-I39)/'Capital Inputs'!$F$39</f>
        <v>0.13253300714390825</v>
      </c>
      <c r="F42" s="13" t="s">
        <v>59</v>
      </c>
      <c r="G42" s="152">
        <f>(F11+F19)*G40+(F23-F11-F19)</f>
        <v>254930.37150022917</v>
      </c>
      <c r="H42" s="152">
        <f>F23</f>
        <v>264649.90858475829</v>
      </c>
      <c r="P42" s="151"/>
      <c r="Q42" s="148"/>
      <c r="S42" s="149"/>
      <c r="T42" s="150"/>
      <c r="U42" s="149"/>
      <c r="V42" s="150"/>
    </row>
    <row r="43" spans="2:22" ht="16.5" customHeight="1">
      <c r="B43" s="307" t="s">
        <v>193</v>
      </c>
      <c r="C43" s="207">
        <f>(G41-G42)/G41</f>
        <v>-0.1132756492565128</v>
      </c>
      <c r="D43" s="207">
        <f>(H41-H42)/H41</f>
        <v>0.19099553360366847</v>
      </c>
      <c r="E43" s="207">
        <f>(I37-I38)/I37</f>
        <v>0.35483386283607377</v>
      </c>
      <c r="F43" s="13" t="s">
        <v>60</v>
      </c>
      <c r="G43" s="152">
        <f>F31</f>
        <v>91081.078363095236</v>
      </c>
      <c r="H43" s="152">
        <f>F31</f>
        <v>91081.078363095236</v>
      </c>
      <c r="P43" s="151"/>
      <c r="Q43" s="148"/>
      <c r="S43" s="149"/>
      <c r="T43" s="150"/>
      <c r="U43" s="149"/>
      <c r="V43" s="150"/>
    </row>
    <row r="44" spans="2:22" ht="16.5" customHeight="1">
      <c r="B44" s="307" t="s">
        <v>21</v>
      </c>
      <c r="C44" s="309">
        <f>G41-G42-G43</f>
        <v>-117020.20975986824</v>
      </c>
      <c r="D44" s="309">
        <f t="shared" ref="D44" si="9">H41-H42-H43</f>
        <v>-28600.643942916126</v>
      </c>
      <c r="E44" s="309">
        <f>I37-I38-I39</f>
        <v>59818.921874036023</v>
      </c>
      <c r="F44" s="2"/>
      <c r="G44" s="2"/>
      <c r="P44" s="151"/>
      <c r="Q44" s="148"/>
      <c r="S44" s="149"/>
      <c r="T44" s="150"/>
      <c r="U44" s="149"/>
      <c r="V44" s="150"/>
    </row>
    <row r="45" spans="2:22" ht="16.5" customHeight="1">
      <c r="B45" s="310" t="s">
        <v>221</v>
      </c>
      <c r="C45" s="588">
        <f>(G42+G43)/($D$5*G40)</f>
        <v>14.656940860086594</v>
      </c>
      <c r="D45" s="588">
        <f>(H42+H43)/($D$5*H40)</f>
        <v>10.548060267653309</v>
      </c>
      <c r="E45" s="588">
        <f>(I38+I39)/($D$5*I36)</f>
        <v>8.3355861024969258</v>
      </c>
      <c r="F45" s="2"/>
      <c r="G45" s="2"/>
      <c r="P45" s="151"/>
      <c r="Q45" s="148"/>
      <c r="S45" s="149"/>
      <c r="T45" s="150"/>
      <c r="U45" s="149"/>
      <c r="V45" s="150"/>
    </row>
    <row r="46" spans="2:22" ht="16.5" customHeight="1">
      <c r="B46" s="312" t="s">
        <v>271</v>
      </c>
      <c r="C46" s="313"/>
      <c r="D46" s="313"/>
      <c r="E46" s="313"/>
      <c r="F46" s="2"/>
      <c r="G46" s="2"/>
      <c r="P46" s="151"/>
      <c r="Q46" s="148"/>
      <c r="S46" s="149"/>
      <c r="T46" s="150"/>
      <c r="U46" s="149"/>
      <c r="V46" s="150"/>
    </row>
    <row r="47" spans="2:22" ht="16.5" hidden="1" customHeight="1">
      <c r="B47" s="96"/>
      <c r="C47" s="97"/>
      <c r="D47" s="97"/>
      <c r="E47" s="97"/>
      <c r="F47" s="2"/>
      <c r="G47" s="2"/>
      <c r="P47" s="151"/>
      <c r="Q47" s="148"/>
      <c r="S47" s="149"/>
      <c r="T47" s="150"/>
      <c r="U47" s="149"/>
      <c r="V47" s="150"/>
    </row>
    <row r="48" spans="2:22" ht="16.5" hidden="1" customHeight="1">
      <c r="B48" s="96"/>
      <c r="C48" s="97"/>
      <c r="D48" s="97"/>
      <c r="E48" s="97"/>
      <c r="F48" s="2"/>
      <c r="G48" s="2"/>
      <c r="P48" s="151"/>
      <c r="Q48" s="148"/>
      <c r="S48" s="149"/>
      <c r="T48" s="150"/>
      <c r="U48" s="149"/>
      <c r="V48" s="150"/>
    </row>
    <row r="49" spans="2:22" ht="16.5" hidden="1" customHeight="1">
      <c r="B49" s="96"/>
      <c r="C49" s="97"/>
      <c r="D49" s="97"/>
      <c r="E49" s="97"/>
      <c r="F49" s="2"/>
      <c r="G49" s="2"/>
      <c r="P49" s="151"/>
      <c r="Q49" s="148"/>
      <c r="S49" s="149"/>
      <c r="T49" s="150"/>
      <c r="U49" s="149"/>
      <c r="V49" s="150"/>
    </row>
    <row r="50" spans="2:22" ht="16.5" hidden="1" customHeight="1">
      <c r="B50" s="107"/>
      <c r="C50" s="391"/>
      <c r="D50" s="391"/>
      <c r="E50" s="391"/>
      <c r="F50" s="91"/>
      <c r="G50" s="91"/>
      <c r="P50" s="151"/>
      <c r="Q50" s="148"/>
      <c r="S50" s="149"/>
      <c r="T50" s="150"/>
      <c r="U50" s="149"/>
      <c r="V50" s="149"/>
    </row>
    <row r="51" spans="2:22" ht="16.5" hidden="1" customHeight="1">
      <c r="B51" s="107" t="str">
        <f>'6- Stocking- Yellow Perch RAS'!B53</f>
        <v>Year</v>
      </c>
      <c r="C51" s="107"/>
      <c r="D51" s="107"/>
      <c r="E51" s="107"/>
      <c r="F51" s="107"/>
      <c r="G51" s="107"/>
      <c r="H51" s="96"/>
      <c r="P51" s="151"/>
      <c r="Q51" s="148"/>
    </row>
    <row r="52" spans="2:22" ht="16.5" hidden="1" customHeight="1">
      <c r="B52" s="107" t="str">
        <f>'6- Stocking- Yellow Perch RAS'!B54</f>
        <v>Year</v>
      </c>
      <c r="C52" s="107" t="str">
        <f>'6- Stocking- Yellow Perch RAS'!C54</f>
        <v>Investment</v>
      </c>
      <c r="D52" s="107" t="str">
        <f>'6- Stocking- Yellow Perch RAS'!D54</f>
        <v>Revenue - Cash Costs</v>
      </c>
      <c r="E52" s="107" t="str">
        <f>'6- Stocking- Yellow Perch RAS'!E54</f>
        <v>Net cash flow</v>
      </c>
      <c r="F52" s="107" t="str">
        <f>'6- Stocking- Yellow Perch RAS'!F54</f>
        <v>Cumulated cash flow</v>
      </c>
      <c r="G52" s="107"/>
      <c r="H52" s="96"/>
      <c r="P52" s="151"/>
      <c r="Q52" s="148"/>
    </row>
    <row r="53" spans="2:22" ht="16.5" hidden="1" customHeight="1">
      <c r="B53" s="107">
        <f>'6- Stocking- Yellow Perch RAS'!B55</f>
        <v>0</v>
      </c>
      <c r="C53" s="107">
        <f>'6- Stocking- Yellow Perch RAS'!C55</f>
        <v>451351.125</v>
      </c>
      <c r="D53" s="107">
        <f>'3- Stocking- Trout RAS'!D51</f>
        <v>0</v>
      </c>
      <c r="E53" s="107">
        <f>D53-C53</f>
        <v>-451351.125</v>
      </c>
      <c r="F53" s="389">
        <f>E53</f>
        <v>-451351.125</v>
      </c>
      <c r="G53" s="107"/>
      <c r="H53" s="96"/>
      <c r="I53" s="96"/>
      <c r="P53" s="151"/>
      <c r="Q53" s="148"/>
    </row>
    <row r="54" spans="2:22" ht="16.5" hidden="1" customHeight="1">
      <c r="B54" s="107">
        <f>'6- Stocking- Yellow Perch RAS'!B56</f>
        <v>1</v>
      </c>
      <c r="C54" s="390">
        <f ca="1">'2- Food- Trout RAS'!C53</f>
        <v>0</v>
      </c>
      <c r="D54" s="390">
        <f>F7-F23-F26-F27-F28</f>
        <v>13480.43442017911</v>
      </c>
      <c r="E54" s="107">
        <f t="shared" ref="E54:E62" ca="1" si="10">D54-C54</f>
        <v>13480.43442017911</v>
      </c>
      <c r="F54" s="389">
        <f ca="1">F53+E54</f>
        <v>-437870.69057982089</v>
      </c>
      <c r="G54" s="107"/>
      <c r="H54" s="96"/>
      <c r="I54" s="96"/>
      <c r="P54" s="151"/>
      <c r="Q54" s="148"/>
    </row>
    <row r="55" spans="2:22" ht="16.5" hidden="1" customHeight="1">
      <c r="B55" s="107">
        <f>'6- Stocking- Yellow Perch RAS'!B57</f>
        <v>2</v>
      </c>
      <c r="C55" s="390">
        <f ca="1">'2- Food- Trout RAS'!C54</f>
        <v>6150</v>
      </c>
      <c r="D55" s="390">
        <f>D54</f>
        <v>13480.43442017911</v>
      </c>
      <c r="E55" s="107">
        <f t="shared" ca="1" si="10"/>
        <v>7330.43442017911</v>
      </c>
      <c r="F55" s="389">
        <f t="shared" ref="F55:F62" ca="1" si="11">F54+E55</f>
        <v>-430540.25615964178</v>
      </c>
      <c r="G55" s="107"/>
      <c r="H55" s="96"/>
      <c r="I55" s="96"/>
      <c r="P55" s="151"/>
      <c r="Q55" s="148"/>
    </row>
    <row r="56" spans="2:22" ht="16.5" hidden="1" customHeight="1">
      <c r="B56" s="107">
        <f>'6- Stocking- Yellow Perch RAS'!B58</f>
        <v>3</v>
      </c>
      <c r="C56" s="390">
        <f>'2- Food- Trout RAS'!C55</f>
        <v>200</v>
      </c>
      <c r="D56" s="390">
        <f t="shared" ref="D56:D63" si="12">D55</f>
        <v>13480.43442017911</v>
      </c>
      <c r="E56" s="107">
        <f t="shared" si="10"/>
        <v>13280.43442017911</v>
      </c>
      <c r="F56" s="389">
        <f t="shared" ca="1" si="11"/>
        <v>-417259.82173946267</v>
      </c>
      <c r="G56" s="107"/>
      <c r="H56" s="96"/>
      <c r="I56" s="96"/>
      <c r="P56" s="151"/>
      <c r="Q56" s="148"/>
    </row>
    <row r="57" spans="2:22" ht="16.5" hidden="1" customHeight="1">
      <c r="B57" s="107">
        <f>'6- Stocking- Yellow Perch RAS'!B59</f>
        <v>4</v>
      </c>
      <c r="C57" s="390">
        <f ca="1">'2- Food- Trout RAS'!C56</f>
        <v>0</v>
      </c>
      <c r="D57" s="390">
        <f t="shared" si="12"/>
        <v>13480.43442017911</v>
      </c>
      <c r="E57" s="107">
        <f t="shared" ca="1" si="10"/>
        <v>13480.43442017911</v>
      </c>
      <c r="F57" s="389">
        <f t="shared" ca="1" si="11"/>
        <v>-403779.38731928356</v>
      </c>
      <c r="G57" s="107"/>
      <c r="H57" s="96"/>
      <c r="I57" s="96"/>
      <c r="P57" s="151"/>
      <c r="Q57" s="148"/>
    </row>
    <row r="58" spans="2:22" ht="16.5" hidden="1" customHeight="1">
      <c r="B58" s="107">
        <f>'6- Stocking- Yellow Perch RAS'!B60</f>
        <v>5</v>
      </c>
      <c r="C58" s="390">
        <f ca="1">'2- Food- Trout RAS'!C57</f>
        <v>19444.800000000003</v>
      </c>
      <c r="D58" s="390">
        <f t="shared" si="12"/>
        <v>13480.43442017911</v>
      </c>
      <c r="E58" s="107">
        <f t="shared" ca="1" si="10"/>
        <v>-5964.3655798208929</v>
      </c>
      <c r="F58" s="389">
        <f t="shared" ca="1" si="11"/>
        <v>-409743.75289910444</v>
      </c>
      <c r="G58" s="107"/>
      <c r="H58" s="96"/>
      <c r="I58" s="96"/>
      <c r="P58" s="151"/>
      <c r="Q58" s="148"/>
    </row>
    <row r="59" spans="2:22" ht="16.5" hidden="1" customHeight="1">
      <c r="B59" s="107">
        <f>'6- Stocking- Yellow Perch RAS'!B61</f>
        <v>6</v>
      </c>
      <c r="C59" s="390">
        <f ca="1">'2- Food- Trout RAS'!C58</f>
        <v>0</v>
      </c>
      <c r="D59" s="390">
        <f t="shared" si="12"/>
        <v>13480.43442017911</v>
      </c>
      <c r="E59" s="107">
        <f t="shared" ca="1" si="10"/>
        <v>13480.43442017911</v>
      </c>
      <c r="F59" s="389">
        <f t="shared" ca="1" si="11"/>
        <v>-396263.31847892533</v>
      </c>
      <c r="G59" s="107"/>
      <c r="H59" s="96"/>
      <c r="I59" s="96"/>
      <c r="P59" s="151"/>
      <c r="Q59" s="148"/>
    </row>
    <row r="60" spans="2:22" ht="16.5" hidden="1" customHeight="1">
      <c r="B60" s="107">
        <f>'6- Stocking- Yellow Perch RAS'!B62</f>
        <v>7</v>
      </c>
      <c r="C60" s="390">
        <f ca="1">'2- Food- Trout RAS'!C59</f>
        <v>990</v>
      </c>
      <c r="D60" s="390">
        <f t="shared" si="12"/>
        <v>13480.43442017911</v>
      </c>
      <c r="E60" s="107">
        <f t="shared" ca="1" si="10"/>
        <v>12490.43442017911</v>
      </c>
      <c r="F60" s="389">
        <f t="shared" ca="1" si="11"/>
        <v>-383772.88405874622</v>
      </c>
      <c r="G60" s="107"/>
      <c r="H60" s="96"/>
      <c r="I60" s="96"/>
      <c r="P60" s="151"/>
      <c r="Q60" s="148"/>
    </row>
    <row r="61" spans="2:22" ht="16.5" hidden="1" customHeight="1">
      <c r="B61" s="107">
        <f>'6- Stocking- Yellow Perch RAS'!B63</f>
        <v>8</v>
      </c>
      <c r="C61" s="390">
        <f ca="1">'2- Food- Trout RAS'!C60</f>
        <v>0</v>
      </c>
      <c r="D61" s="390">
        <f t="shared" si="12"/>
        <v>13480.43442017911</v>
      </c>
      <c r="E61" s="107">
        <f t="shared" ca="1" si="10"/>
        <v>13480.43442017911</v>
      </c>
      <c r="F61" s="389">
        <f t="shared" ca="1" si="11"/>
        <v>-370292.44963856711</v>
      </c>
      <c r="G61" s="107"/>
      <c r="H61" s="96"/>
      <c r="I61" s="96"/>
    </row>
    <row r="62" spans="2:22" ht="16.5" hidden="1" customHeight="1">
      <c r="B62" s="107">
        <f>'6- Stocking- Yellow Perch RAS'!B64</f>
        <v>9</v>
      </c>
      <c r="C62" s="390">
        <f ca="1">'2- Food- Trout RAS'!C61</f>
        <v>0</v>
      </c>
      <c r="D62" s="390">
        <f t="shared" si="12"/>
        <v>13480.43442017911</v>
      </c>
      <c r="E62" s="107">
        <f t="shared" ca="1" si="10"/>
        <v>13480.43442017911</v>
      </c>
      <c r="F62" s="389">
        <f t="shared" ca="1" si="11"/>
        <v>-356812.015218388</v>
      </c>
      <c r="G62" s="107"/>
      <c r="H62" s="96"/>
      <c r="I62" s="96"/>
      <c r="J62" s="96"/>
      <c r="K62" s="96"/>
      <c r="L62" s="96"/>
      <c r="M62" s="96"/>
      <c r="N62" s="96"/>
      <c r="O62" s="96"/>
      <c r="P62" s="96"/>
      <c r="Q62" s="96"/>
      <c r="R62" s="96"/>
      <c r="S62" s="96"/>
      <c r="T62" s="96"/>
      <c r="U62" s="96"/>
    </row>
    <row r="63" spans="2:22" ht="16.5" hidden="1" customHeight="1">
      <c r="B63" s="107">
        <f>'6- Stocking- Yellow Perch RAS'!B65</f>
        <v>10</v>
      </c>
      <c r="C63" s="390">
        <f ca="1">'2- Food- Trout RAS'!C62</f>
        <v>93157</v>
      </c>
      <c r="D63" s="390">
        <f t="shared" si="12"/>
        <v>13480.43442017911</v>
      </c>
      <c r="E63" s="390">
        <f ca="1">D63-C63+D64</f>
        <v>239322.48203922668</v>
      </c>
      <c r="F63" s="389">
        <f ca="1">F62+E63</f>
        <v>-117489.53317916131</v>
      </c>
      <c r="G63" s="107"/>
      <c r="H63" s="96"/>
      <c r="I63" s="96"/>
      <c r="J63" s="96"/>
      <c r="K63" s="96"/>
      <c r="L63" s="96"/>
      <c r="M63" s="96"/>
      <c r="N63" s="96"/>
      <c r="O63" s="96"/>
      <c r="P63" s="96"/>
      <c r="Q63" s="96"/>
      <c r="R63" s="96"/>
      <c r="S63" s="96"/>
      <c r="T63" s="96"/>
      <c r="U63" s="96"/>
    </row>
    <row r="64" spans="2:22" ht="17.25" hidden="1">
      <c r="B64" s="135" t="str">
        <f>'6- Stocking- Yellow Perch RAS'!B66</f>
        <v>Residual value at year 10</v>
      </c>
      <c r="C64" s="135"/>
      <c r="D64" s="137">
        <f>'2- Food- Trout RAS'!D63</f>
        <v>318999.04761904757</v>
      </c>
      <c r="E64" s="135"/>
      <c r="F64" s="135"/>
      <c r="G64" s="135"/>
      <c r="H64" s="96"/>
      <c r="I64" s="96"/>
      <c r="J64" s="96"/>
      <c r="K64" s="96"/>
      <c r="L64" s="96"/>
      <c r="M64" s="96"/>
      <c r="N64" s="96"/>
      <c r="O64" s="96"/>
      <c r="P64" s="96"/>
      <c r="Q64" s="96"/>
      <c r="R64" s="96"/>
      <c r="S64" s="96"/>
      <c r="T64" s="96"/>
      <c r="U64" s="96"/>
    </row>
    <row r="65" spans="9:21" ht="17.25" hidden="1">
      <c r="I65" s="96"/>
      <c r="J65" s="96"/>
      <c r="K65" s="96"/>
      <c r="L65" s="96"/>
      <c r="M65" s="96"/>
      <c r="N65" s="96"/>
      <c r="O65" s="96"/>
      <c r="P65" s="96"/>
      <c r="Q65" s="96"/>
      <c r="R65" s="96"/>
      <c r="S65" s="96"/>
      <c r="T65" s="96"/>
      <c r="U65" s="96"/>
    </row>
    <row r="66" spans="9:21" ht="17.25" hidden="1">
      <c r="I66" s="96"/>
      <c r="J66" s="96"/>
      <c r="K66" s="96"/>
      <c r="L66" s="96"/>
      <c r="M66" s="96"/>
      <c r="N66" s="96"/>
      <c r="O66" s="96"/>
      <c r="P66" s="96"/>
      <c r="Q66" s="96"/>
      <c r="R66" s="96"/>
      <c r="S66" s="96"/>
      <c r="T66" s="96"/>
      <c r="U66" s="96"/>
    </row>
  </sheetData>
  <sheetProtection sheet="1" objects="1" scenarios="1"/>
  <mergeCells count="1">
    <mergeCell ref="B2:H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feaba0f-363c-487a-9eab-504fb0ae0068">
      <Terms xmlns="http://schemas.microsoft.com/office/infopath/2007/PartnerControls"/>
    </lcf76f155ced4ddcb4097134ff3c332f>
    <TaxCatchAll xmlns="3cf54786-5cbe-4eed-9d82-be7bae57988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E272BA2EC307A4F840456AFB3F4BF30" ma:contentTypeVersion="14" ma:contentTypeDescription="Create a new document." ma:contentTypeScope="" ma:versionID="971d982661a3229b4f5b06bad9bd83ce">
  <xsd:schema xmlns:xsd="http://www.w3.org/2001/XMLSchema" xmlns:xs="http://www.w3.org/2001/XMLSchema" xmlns:p="http://schemas.microsoft.com/office/2006/metadata/properties" xmlns:ns2="afeaba0f-363c-487a-9eab-504fb0ae0068" xmlns:ns3="3cf54786-5cbe-4eed-9d82-be7bae57988e" targetNamespace="http://schemas.microsoft.com/office/2006/metadata/properties" ma:root="true" ma:fieldsID="76061db5591fa8807d06033b64eab8eb" ns2:_="" ns3:_="">
    <xsd:import namespace="afeaba0f-363c-487a-9eab-504fb0ae0068"/>
    <xsd:import namespace="3cf54786-5cbe-4eed-9d82-be7bae57988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eaba0f-363c-487a-9eab-504fb0ae00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e20e570-3a27-4eff-9ea0-d3488a33fb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f54786-5cbe-4eed-9d82-be7bae57988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2560828-92f4-433d-b2dd-f0bd0e5db71c}" ma:internalName="TaxCatchAll" ma:showField="CatchAllData" ma:web="3cf54786-5cbe-4eed-9d82-be7bae5798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3D3EDA-020C-47D0-8938-D32235B622D3}">
  <ds:schemaRefs>
    <ds:schemaRef ds:uri="http://purl.org/dc/dcmitype/"/>
    <ds:schemaRef ds:uri="http://schemas.microsoft.com/office/2006/documentManagement/types"/>
    <ds:schemaRef ds:uri="http://schemas.microsoft.com/office/2006/metadata/properties"/>
    <ds:schemaRef ds:uri="3cf54786-5cbe-4eed-9d82-be7bae57988e"/>
    <ds:schemaRef ds:uri="http://www.w3.org/XML/1998/namespace"/>
    <ds:schemaRef ds:uri="http://purl.org/dc/elements/1.1/"/>
    <ds:schemaRef ds:uri="http://schemas.openxmlformats.org/package/2006/metadata/core-properties"/>
    <ds:schemaRef ds:uri="http://schemas.microsoft.com/office/infopath/2007/PartnerControls"/>
    <ds:schemaRef ds:uri="afeaba0f-363c-487a-9eab-504fb0ae0068"/>
    <ds:schemaRef ds:uri="http://purl.org/dc/terms/"/>
  </ds:schemaRefs>
</ds:datastoreItem>
</file>

<file path=customXml/itemProps2.xml><?xml version="1.0" encoding="utf-8"?>
<ds:datastoreItem xmlns:ds="http://schemas.openxmlformats.org/officeDocument/2006/customXml" ds:itemID="{4F942129-BBED-485C-A2C6-C3CD4708B4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eaba0f-363c-487a-9eab-504fb0ae0068"/>
    <ds:schemaRef ds:uri="3cf54786-5cbe-4eed-9d82-be7bae5798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127D21-AC21-421E-97AF-5A63993A3A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Introduction</vt:lpstr>
      <vt:lpstr>Summary</vt:lpstr>
      <vt:lpstr>Operating Inputs</vt:lpstr>
      <vt:lpstr>Capital Inputs</vt:lpstr>
      <vt:lpstr>1- Food - Salmon RAS</vt:lpstr>
      <vt:lpstr>2- Food- Trout RAS</vt:lpstr>
      <vt:lpstr>3- Stocking- Trout RAS</vt:lpstr>
      <vt:lpstr>4- Stocking- Walleye RA</vt:lpstr>
      <vt:lpstr>5- Food- Yellow Perch RAS</vt:lpstr>
      <vt:lpstr>6- Stocking- Yellow Perch RAS</vt:lpstr>
      <vt:lpstr>Walleye Utilities</vt:lpstr>
      <vt:lpstr>Trout Utilities</vt:lpstr>
      <vt:lpstr>Perch Utilities</vt:lpstr>
      <vt:lpstr>Salmon Utilities</vt:lpstr>
      <vt:lpstr>Grow_out_capacity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Aquaculture Budgets</dc:title>
  <dc:creator>Horner, Joe L.</dc:creator>
  <cp:lastModifiedBy>Stokes, Victoria</cp:lastModifiedBy>
  <cp:lastPrinted>2017-10-17T14:03:18Z</cp:lastPrinted>
  <dcterms:created xsi:type="dcterms:W3CDTF">1999-09-03T12:55:45Z</dcterms:created>
  <dcterms:modified xsi:type="dcterms:W3CDTF">2025-08-06T03:54:16Z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0x010100CE272BA2EC307A4F840456AFB3F4BF30</vt:lpwstr>
  </property>
  <property fmtid="{D5CDD505-2E9C-101B-9397-08002B2CF9AE}" pid="3" name="MediaServiceImageTags">
    <vt:lpwstr/>
  </property>
</Properties>
</file>