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https://mailmissouri.sharepoint.com/sites/MUEXTPlantSciences-Ogrp-ABPInternalMaterials/Shared Documents/ABP Internal Materials/Clare Staley 2025/Vegetable Budgets - In Draft/"/>
    </mc:Choice>
  </mc:AlternateContent>
  <xr:revisionPtr revIDLastSave="12" documentId="8_{26FA534D-C596-4C71-B219-E185CF90F533}" xr6:coauthVersionLast="47" xr6:coauthVersionMax="47" xr10:uidLastSave="{642B5A39-B3B3-475B-8414-0FE9F10F5D5B}"/>
  <bookViews>
    <workbookView xWindow="67080" yWindow="-120" windowWidth="29040" windowHeight="16440" xr2:uid="{50691399-9F51-4DAE-88E6-4D51F075FBD5}"/>
  </bookViews>
  <sheets>
    <sheet name="Introduction" sheetId="3" r:id="rId1"/>
    <sheet name="Budget" sheetId="1" r:id="rId2"/>
    <sheet name="Financial Sensitivity" sheetId="4" r:id="rId3"/>
    <sheet name="Assumptions" sheetId="5" state="hidden" r:id="rId4"/>
  </sheets>
  <externalReferences>
    <externalReference r:id="rId5"/>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acres">#REF!</definedName>
    <definedName name="Boom_Sprayer">#REF!</definedName>
    <definedName name="Boom_Sprayer_SP">#REF!</definedName>
    <definedName name="byyield">#REF!</definedName>
    <definedName name="Chisel_Plow">#REF!</definedName>
    <definedName name="Chisel_Plow_FD">#REF!</definedName>
    <definedName name="Comb_Disk_VRipper">#REF!</definedName>
    <definedName name="Comb_Fld_Cult_Incorp">#REF!</definedName>
    <definedName name="Combine_Size">#REF!</definedName>
    <definedName name="Cornhead_Size">#REF!</definedName>
    <definedName name="crop">#REF!</definedName>
    <definedName name="cropnum">#REF!</definedName>
    <definedName name="Crops">#REF!</definedName>
    <definedName name="Cultivator">#REF!</definedName>
    <definedName name="Cultivator_HR">#REF!</definedName>
    <definedName name="customhire2">#REF!,#REF!</definedName>
    <definedName name="CustomImps">[1]!Table4[Activity]</definedName>
    <definedName name="Disc_Mower">#REF!</definedName>
    <definedName name="Disk">#REF!</definedName>
    <definedName name="Disk_Mower">#REF!</definedName>
    <definedName name="drying">#REF!,#REF!</definedName>
    <definedName name="Field_Cultivator">#REF!</definedName>
    <definedName name="Grain_Auger">#REF!</definedName>
    <definedName name="Graincart">#REF!</definedName>
    <definedName name="Grainhead_Size">#REF!</definedName>
    <definedName name="Harrow">#REF!</definedName>
    <definedName name="hauling">#REF!,#REF!</definedName>
    <definedName name="herbicide2">#REF!,#REF!</definedName>
    <definedName name="Implementlist">#REF!</definedName>
    <definedName name="Implements">#REF!</definedName>
    <definedName name="Implements7">#REF!</definedName>
    <definedName name="ImplSel">#REF!</definedName>
    <definedName name="import">#REF!</definedName>
    <definedName name="income">#REF!</definedName>
    <definedName name="insecticide2">#REF!,#REF!</definedName>
    <definedName name="Irrigation">#REF!</definedName>
    <definedName name="irrigation2">#REF!</definedName>
    <definedName name="lease_arrangement">#REF!</definedName>
    <definedName name="leasenum">#REF!</definedName>
    <definedName name="mdbvalues">#REF!,#REF!,#REF!,#REF!</definedName>
    <definedName name="Moldboard_Plow">#REF!</definedName>
    <definedName name="NoTill_Drill">#REF!</definedName>
    <definedName name="NoTill_Planter">#REF!</definedName>
    <definedName name="Passes">#REF!,#REF!,#REF!,#REF!</definedName>
    <definedName name="Planter">#REF!</definedName>
    <definedName name="postharvest">#REF!,#REF!,#REF!</definedName>
    <definedName name="Power">#REF!</definedName>
    <definedName name="Power_Size">#REF!</definedName>
    <definedName name="Powerlist">#REF!</definedName>
    <definedName name="PowerSel">#REF!</definedName>
    <definedName name="Presswheel_Drill">#REF!</definedName>
    <definedName name="Primary_Units">#REF!</definedName>
    <definedName name="primyield">#REF!</definedName>
    <definedName name="_xlnm.Print_Area" localSheetId="1">Budget!$B$1:$G$39</definedName>
    <definedName name="_xlnm.Print_Area" localSheetId="2">'Financial Sensitivity'!$B$1:$K$24</definedName>
    <definedName name="PUAlloc">#REF!</definedName>
    <definedName name="PUMiles">#REF!</definedName>
    <definedName name="rental">#REF!,#REF!,#REF!,#REF!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ller_Bar_Rake">#REF!</definedName>
    <definedName name="Round_Baler_Tie">#REF!</definedName>
    <definedName name="seed2">#REF!,#REF!,#REF!</definedName>
    <definedName name="SemiAlloc">#REF!</definedName>
    <definedName name="SemiMiles">#REF!</definedName>
    <definedName name="Silage_Wrapper">#REF!</definedName>
    <definedName name="Soybeanhead_Size">#REF!</definedName>
    <definedName name="SplitRow_Planter">#REF!</definedName>
    <definedName name="storage">#REF!,#REF!</definedName>
    <definedName name="Swather_Mower_Conditioner">#REF!</definedName>
    <definedName name="Tandem_Disk">#REF!</definedName>
    <definedName name="TenWheelAlloc">#REF!</definedName>
    <definedName name="TenWheelMiles">#REF!</definedName>
    <definedName name="VRipper">#REF!</definedName>
    <definedName name="Wheel_Rake">#REF!</definedName>
    <definedName name="wrn.all." hidden="1">{"detail",#N/A,FALSE,"Trac_Table";"tractable",#N/A,FALSE,"Trac_Table";"sensitivity",#N/A,FALSE,"Trac_Table"}</definedName>
    <definedName name="ww">[1]!Table4[Activity]</definedName>
    <definedName name="yiel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 i="1" l="1"/>
  <c r="H64" i="1"/>
  <c r="G26" i="1" s="1"/>
  <c r="E64" i="1"/>
  <c r="G20" i="1"/>
  <c r="G19" i="1"/>
  <c r="D24" i="5"/>
  <c r="G25" i="1" l="1"/>
  <c r="G24" i="1"/>
  <c r="B5" i="4"/>
  <c r="G3" i="4"/>
  <c r="G16" i="1" l="1"/>
  <c r="G15" i="1"/>
  <c r="G14" i="1"/>
  <c r="G9" i="1" l="1"/>
  <c r="H54" i="1"/>
  <c r="G32" i="1" s="1"/>
  <c r="G54" i="1"/>
  <c r="F54" i="1"/>
  <c r="G17" i="1"/>
  <c r="G13" i="1" l="1"/>
  <c r="G12" i="1"/>
  <c r="G11" i="1"/>
  <c r="D9" i="4"/>
  <c r="H5" i="4"/>
  <c r="G23" i="1"/>
  <c r="G34" i="1" l="1"/>
  <c r="I5" i="4" l="1"/>
  <c r="J5" i="4" l="1"/>
  <c r="K5" i="4"/>
  <c r="G5" i="4"/>
  <c r="F5" i="4"/>
  <c r="E5" i="4"/>
  <c r="D8" i="4"/>
  <c r="D10" i="4"/>
  <c r="D11" i="4"/>
  <c r="D7" i="4"/>
  <c r="D12" i="4"/>
  <c r="D6" i="4"/>
  <c r="G22" i="1" l="1"/>
  <c r="G21" i="1"/>
  <c r="G8" i="1"/>
  <c r="G10" i="1"/>
  <c r="G6" i="1"/>
  <c r="G3" i="1"/>
  <c r="G4" i="1" l="1"/>
  <c r="E27" i="1" l="1"/>
  <c r="G27" i="1" s="1"/>
  <c r="G28" i="1" s="1"/>
  <c r="G29" i="1" l="1"/>
  <c r="G35" i="1" s="1"/>
  <c r="G37" i="1" s="1"/>
  <c r="H22" i="4" l="1"/>
  <c r="H19" i="4"/>
  <c r="G21" i="4"/>
  <c r="J21" i="4"/>
  <c r="F20" i="4"/>
  <c r="H20" i="4"/>
  <c r="J23" i="4"/>
  <c r="G36" i="1"/>
  <c r="K19" i="4"/>
  <c r="H23" i="4"/>
  <c r="J7" i="4"/>
  <c r="J11" i="4"/>
  <c r="I21" i="4"/>
  <c r="J22" i="4"/>
  <c r="H18" i="4"/>
  <c r="I23" i="4"/>
  <c r="E18" i="4"/>
  <c r="F24" i="4"/>
  <c r="G24" i="4"/>
  <c r="K20" i="4"/>
  <c r="J24" i="4"/>
  <c r="H24" i="4"/>
  <c r="G23" i="4"/>
  <c r="I24" i="4"/>
  <c r="K18" i="4"/>
  <c r="J19" i="4"/>
  <c r="I20" i="4"/>
  <c r="F18" i="4"/>
  <c r="K24" i="4"/>
  <c r="E20" i="4"/>
  <c r="E19" i="4"/>
  <c r="J18" i="4"/>
  <c r="F23" i="4"/>
  <c r="F21" i="4"/>
  <c r="G19" i="4"/>
  <c r="G22" i="4"/>
  <c r="K22" i="4"/>
  <c r="I19" i="4"/>
  <c r="I22" i="4"/>
  <c r="G18" i="4"/>
  <c r="E23" i="4"/>
  <c r="G20" i="4"/>
  <c r="E24" i="4"/>
  <c r="I18" i="4"/>
  <c r="K21" i="4"/>
  <c r="J20" i="4"/>
  <c r="E22" i="4"/>
  <c r="K23" i="4"/>
  <c r="F22" i="4"/>
  <c r="E21" i="4"/>
  <c r="H21" i="4"/>
  <c r="F19" i="4"/>
  <c r="H10" i="4"/>
  <c r="K12" i="4"/>
  <c r="F6" i="4"/>
  <c r="K10" i="4"/>
  <c r="G8" i="4"/>
  <c r="H6" i="4"/>
  <c r="E6" i="4"/>
  <c r="H8" i="4"/>
  <c r="E11" i="4"/>
  <c r="F10" i="4"/>
  <c r="K11" i="4"/>
  <c r="K9" i="4"/>
  <c r="H7" i="4"/>
  <c r="H12" i="4"/>
  <c r="G9" i="4"/>
  <c r="K7" i="4"/>
  <c r="K6" i="4"/>
  <c r="J6" i="4"/>
  <c r="G12" i="4"/>
  <c r="G38" i="1"/>
  <c r="H9" i="4"/>
  <c r="J9" i="4"/>
  <c r="I8" i="4"/>
  <c r="I9" i="4"/>
  <c r="F7" i="4"/>
  <c r="I10" i="4"/>
  <c r="E10" i="4"/>
  <c r="E9" i="4"/>
  <c r="J8" i="4"/>
  <c r="K8" i="4"/>
  <c r="I6" i="4"/>
  <c r="G11" i="4"/>
  <c r="I12" i="4"/>
  <c r="F8" i="4"/>
  <c r="I7" i="4"/>
  <c r="H11" i="4"/>
  <c r="G7" i="4"/>
  <c r="F9" i="4"/>
  <c r="J10" i="4"/>
  <c r="E12" i="4"/>
  <c r="G10" i="4"/>
  <c r="E7" i="4"/>
  <c r="F12" i="4"/>
  <c r="E8" i="4"/>
  <c r="I11" i="4"/>
  <c r="G6" i="4"/>
  <c r="F11" i="4"/>
  <c r="J12" i="4"/>
</calcChain>
</file>

<file path=xl/sharedStrings.xml><?xml version="1.0" encoding="utf-8"?>
<sst xmlns="http://schemas.openxmlformats.org/spreadsheetml/2006/main" count="242" uniqueCount="131">
  <si>
    <t>Updated: 1/2025</t>
  </si>
  <si>
    <t>This worksheet is for educational purposes only and the user assumes all risks associated with its use.</t>
  </si>
  <si>
    <t>Revenue</t>
  </si>
  <si>
    <t>Unit</t>
  </si>
  <si>
    <t xml:space="preserve"> Quantity</t>
  </si>
  <si>
    <t>acre</t>
  </si>
  <si>
    <t>pound</t>
  </si>
  <si>
    <t>percent</t>
  </si>
  <si>
    <t>Total costs</t>
  </si>
  <si>
    <t>Return over total costs</t>
  </si>
  <si>
    <t>Income</t>
  </si>
  <si>
    <t>Total income</t>
  </si>
  <si>
    <t>Operating costs</t>
  </si>
  <si>
    <t>Total operating costs</t>
  </si>
  <si>
    <t>Ownership costs</t>
  </si>
  <si>
    <t>Total ownership costs</t>
  </si>
  <si>
    <t>Return over operating costs</t>
  </si>
  <si>
    <t>15% more</t>
  </si>
  <si>
    <t>10% more</t>
  </si>
  <si>
    <t>5% more</t>
  </si>
  <si>
    <t>Base</t>
  </si>
  <si>
    <t>5% less</t>
  </si>
  <si>
    <t>10% less</t>
  </si>
  <si>
    <t>15% less</t>
  </si>
  <si>
    <t>20% more</t>
  </si>
  <si>
    <t>30% more</t>
  </si>
  <si>
    <t>20% less</t>
  </si>
  <si>
    <t>30% less</t>
  </si>
  <si>
    <t>% of sales</t>
  </si>
  <si>
    <t>Interest on operating capital</t>
  </si>
  <si>
    <t xml:space="preserve">For budget questions, contact: </t>
  </si>
  <si>
    <t xml:space="preserve">For horticulture expertise, contact: </t>
  </si>
  <si>
    <t>MU Commercial Horticulture Team</t>
  </si>
  <si>
    <t>Price per unit</t>
  </si>
  <si>
    <t>Dollars per acre</t>
  </si>
  <si>
    <t>Labor</t>
  </si>
  <si>
    <t>Herbicide</t>
  </si>
  <si>
    <t>Insecticide</t>
  </si>
  <si>
    <t>Fungicide</t>
  </si>
  <si>
    <t>Irrigation</t>
  </si>
  <si>
    <t>hour</t>
  </si>
  <si>
    <t>Machinery fuel/repair/maintenance</t>
  </si>
  <si>
    <t>Land</t>
  </si>
  <si>
    <t>Item</t>
  </si>
  <si>
    <t>Passes</t>
  </si>
  <si>
    <t>$ per pass</t>
  </si>
  <si>
    <t>2WD 75 hp</t>
  </si>
  <si>
    <t>Disk harrow (10')</t>
  </si>
  <si>
    <t>Interest</t>
  </si>
  <si>
    <t>$ per acre</t>
  </si>
  <si>
    <t>years</t>
  </si>
  <si>
    <t>% of investment</t>
  </si>
  <si>
    <t>Power unit</t>
  </si>
  <si>
    <t>Purchase price</t>
  </si>
  <si>
    <t>Salvage value</t>
  </si>
  <si>
    <t>Useful life</t>
  </si>
  <si>
    <t>Total</t>
  </si>
  <si>
    <t>Repairs/maint.</t>
  </si>
  <si>
    <t>hours/pass</t>
  </si>
  <si>
    <t>Developed by: Peter Zimmel, FAPRI</t>
  </si>
  <si>
    <t>Dollars per acre
per acre</t>
  </si>
  <si>
    <t>Fert-cyclone spin (750 lb.)</t>
  </si>
  <si>
    <t xml:space="preserve">Explore estimated annual per acre returns over total costs under varying revenue and operating cost scenarios. </t>
  </si>
  <si>
    <t>Chisel plow (9')</t>
  </si>
  <si>
    <t>Disk + incorporate (10')</t>
  </si>
  <si>
    <t>Plntr/H20 Wheel (2-row)</t>
  </si>
  <si>
    <t>Cultivate + app ins (4-row)</t>
  </si>
  <si>
    <t>Sprayer Air Blast (16', 100 ga)</t>
  </si>
  <si>
    <t>Cultivate + sidedress (4-row)</t>
  </si>
  <si>
    <t>Trailer - vegetables (16')</t>
  </si>
  <si>
    <t>Mallory Rahe, MU Extension</t>
  </si>
  <si>
    <t>Machinery</t>
  </si>
  <si>
    <t>Irrigation system</t>
  </si>
  <si>
    <t xml:space="preserve">Budget created by Peter Zimmel, Food and Agricultural Policy Institute (FAPRI). Prices were updated January 2025. </t>
  </si>
  <si>
    <t xml:space="preserve">Access online at muext.us/MissouriAgBudgets. </t>
  </si>
  <si>
    <r>
      <t>Operating costs</t>
    </r>
    <r>
      <rPr>
        <vertAlign val="superscript"/>
        <sz val="11"/>
        <color theme="1"/>
        <rFont val="Aptos  "/>
      </rPr>
      <t>1</t>
    </r>
  </si>
  <si>
    <r>
      <t>Ownership costs</t>
    </r>
    <r>
      <rPr>
        <vertAlign val="superscript"/>
        <sz val="11"/>
        <color theme="1"/>
        <rFont val="Aptos  "/>
      </rPr>
      <t>2</t>
    </r>
  </si>
  <si>
    <r>
      <rPr>
        <vertAlign val="superscript"/>
        <sz val="10"/>
        <rFont val="Aptos  "/>
      </rPr>
      <t>1</t>
    </r>
    <r>
      <rPr>
        <sz val="10"/>
        <rFont val="Aptos  "/>
      </rPr>
      <t>Machinery operating cost is the sum of fuel, repairs and maintenance.</t>
    </r>
  </si>
  <si>
    <r>
      <rPr>
        <vertAlign val="superscript"/>
        <sz val="10"/>
        <rFont val="Aptos  "/>
      </rPr>
      <t>2</t>
    </r>
    <r>
      <rPr>
        <sz val="10"/>
        <rFont val="Aptos  "/>
      </rPr>
      <t>Machinery ownership cost is the sum of machinery overhead and depreciation.</t>
    </r>
  </si>
  <si>
    <t>application</t>
  </si>
  <si>
    <t>Seeds</t>
  </si>
  <si>
    <t>Packaging</t>
  </si>
  <si>
    <t>Marketing</t>
  </si>
  <si>
    <t xml:space="preserve">Pumpkin Enterprise Budget for Missouri </t>
  </si>
  <si>
    <t>Pumpkin Enterprise Budget</t>
  </si>
  <si>
    <t xml:space="preserve">Pumpkin    </t>
  </si>
  <si>
    <t>thousand</t>
  </si>
  <si>
    <t xml:space="preserve">Nitrogen  </t>
  </si>
  <si>
    <t>Potash</t>
  </si>
  <si>
    <t>Fertigation (Calcium Nitrate)</t>
  </si>
  <si>
    <t>Plastic mulch</t>
  </si>
  <si>
    <t>Drip lines and irrigation fittings</t>
  </si>
  <si>
    <t>Pollination</t>
  </si>
  <si>
    <t>hive</t>
  </si>
  <si>
    <t>Harvest, handling &amp; hauling</t>
  </si>
  <si>
    <t>bin</t>
  </si>
  <si>
    <t>Fertilizer</t>
  </si>
  <si>
    <t>Plastic mulch disposal</t>
  </si>
  <si>
    <t xml:space="preserve"> per acre</t>
  </si>
  <si>
    <t>Yield:</t>
  </si>
  <si>
    <t xml:space="preserve">Price per: </t>
  </si>
  <si>
    <t xml:space="preserve">Table 2: Machinery activities </t>
  </si>
  <si>
    <t xml:space="preserve">Table 3: Irrigation system cost information </t>
  </si>
  <si>
    <t>Irrigation water</t>
  </si>
  <si>
    <t>acre inch</t>
  </si>
  <si>
    <t>Irrigation fuel and oil</t>
  </si>
  <si>
    <t>Irrigation repair/maintenance</t>
  </si>
  <si>
    <t>Allocation to pumpkin</t>
  </si>
  <si>
    <t>percentage</t>
  </si>
  <si>
    <t>Drip irrigation system</t>
  </si>
  <si>
    <t>Irrigation installation</t>
  </si>
  <si>
    <t>Water source</t>
  </si>
  <si>
    <t>Total annual costs</t>
  </si>
  <si>
    <t>Assumption</t>
  </si>
  <si>
    <t>Source</t>
  </si>
  <si>
    <t>350 pounds/hour</t>
  </si>
  <si>
    <t>University of Kentucky, Center for Crop Diversification</t>
  </si>
  <si>
    <t>Based on Machinery table</t>
  </si>
  <si>
    <t>Based on irrigation table</t>
  </si>
  <si>
    <t>Assume a flat 10%</t>
  </si>
  <si>
    <t>Federal Reserve Rates</t>
  </si>
  <si>
    <t>??</t>
  </si>
  <si>
    <t>Edited by user - no default assumptions for water volume or price</t>
  </si>
  <si>
    <t>2025 Farmland Values Opinion Survey</t>
  </si>
  <si>
    <t>Production</t>
  </si>
  <si>
    <r>
      <rPr>
        <vertAlign val="superscript"/>
        <sz val="10"/>
        <color theme="1"/>
        <rFont val="Aptos  "/>
      </rPr>
      <t xml:space="preserve">1 </t>
    </r>
    <r>
      <rPr>
        <sz val="10"/>
        <color theme="1"/>
        <rFont val="Aptos  "/>
      </rPr>
      <t>System modeled for a 3-acre vegetable farm with a total cost of $3,000 for system, 20% of all ownership costs are attributed to this enterprise. Adjust the size of the system by changing the allocation column and prices.</t>
    </r>
  </si>
  <si>
    <t>Return to land and labor</t>
  </si>
  <si>
    <t>Sensitivity analysis for Missouri pumpkin budget, income over total costs</t>
  </si>
  <si>
    <t>Sensitivity analysis for Missouri pumpkin budget, operating costs and revenue</t>
  </si>
  <si>
    <t>This budget models one acre of open field pumpkin production grown under drip irrigation. All pumpkins are assumed to be sold at 18-22 pound size by the pound into fresh markets. Develop a customized budget by adjusting the assumptions in gray cells to match the management practices and expected yields and prices for your farm.</t>
  </si>
  <si>
    <t>Explore annual profitability expectations (per acre returns over total costs) under varying yield and price scenarios in full production and holding costs constant. Modify yield and price assumptions in the budget worksheet for further exploration.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</si>
</sst>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7" formatCode="&quot;$&quot;#,##0.00_);\(&quot;$&quot;#,##0.00\)"/>
    <numFmt numFmtId="44" formatCode="_(&quot;$&quot;* #,##0.00_);_(&quot;$&quot;* \(#,##0.00\);_(&quot;$&quot;* &quot;-&quot;??_);_(@_)"/>
    <numFmt numFmtId="164" formatCode="&quot;$&quot;#,##0.00"/>
    <numFmt numFmtId="165" formatCode="#,##0.0"/>
    <numFmt numFmtId="166" formatCode="0.0%"/>
    <numFmt numFmtId="167" formatCode="&quot;$&quot;#,##0"/>
  </numFmts>
  <fonts count="36">
    <font>
      <sz val="11"/>
      <color theme="1"/>
      <name val="Aptos"/>
      <family val="2"/>
      <scheme val="minor"/>
    </font>
    <font>
      <sz val="11"/>
      <color theme="1"/>
      <name val="Aptos"/>
      <family val="2"/>
      <scheme val="minor"/>
    </font>
    <font>
      <sz val="11"/>
      <color theme="1"/>
      <name val="Palatino Linotype"/>
      <family val="1"/>
    </font>
    <font>
      <b/>
      <sz val="11"/>
      <color theme="1"/>
      <name val="Aptos"/>
      <family val="2"/>
      <scheme val="minor"/>
    </font>
    <font>
      <b/>
      <sz val="12"/>
      <color theme="1"/>
      <name val="Aptos"/>
      <family val="2"/>
      <scheme val="minor"/>
    </font>
    <font>
      <b/>
      <sz val="11"/>
      <color rgb="FF3F3F3F"/>
      <name val="Aptos"/>
      <family val="2"/>
      <scheme val="minor"/>
    </font>
    <font>
      <sz val="11"/>
      <color theme="1"/>
      <name val="Segoe UI"/>
      <family val="2"/>
    </font>
    <font>
      <b/>
      <sz val="14"/>
      <color rgb="FFF1B82D"/>
      <name val="Aptos"/>
      <family val="2"/>
      <scheme val="minor"/>
    </font>
    <font>
      <sz val="12"/>
      <color theme="1"/>
      <name val="Aptos"/>
      <family val="2"/>
      <scheme val="minor"/>
    </font>
    <font>
      <b/>
      <sz val="12"/>
      <color rgb="FF3F3F3F"/>
      <name val="Aptos"/>
      <family val="2"/>
      <scheme val="minor"/>
    </font>
    <font>
      <i/>
      <sz val="12"/>
      <color theme="1"/>
      <name val="Aptos"/>
      <family val="2"/>
      <scheme val="minor"/>
    </font>
    <font>
      <sz val="12"/>
      <name val="Aptos"/>
      <family val="2"/>
      <scheme val="minor"/>
    </font>
    <font>
      <b/>
      <sz val="12"/>
      <color rgb="FFF1B82D"/>
      <name val="Aptos"/>
      <family val="2"/>
      <scheme val="minor"/>
    </font>
    <font>
      <b/>
      <sz val="16"/>
      <color rgb="FFF1B82D"/>
      <name val="Aptos Black"/>
      <family val="2"/>
      <scheme val="major"/>
    </font>
    <font>
      <b/>
      <sz val="12"/>
      <color rgb="FFF1B82D"/>
      <name val="Aptos Black"/>
      <family val="2"/>
      <scheme val="major"/>
    </font>
    <font>
      <u/>
      <sz val="11"/>
      <color theme="10"/>
      <name val="Aptos"/>
      <family val="2"/>
      <scheme val="minor"/>
    </font>
    <font>
      <b/>
      <u/>
      <sz val="12"/>
      <color theme="10"/>
      <name val="Aptos"/>
      <family val="2"/>
      <scheme val="minor"/>
    </font>
    <font>
      <sz val="10"/>
      <name val="TimesNewRomanPS"/>
    </font>
    <font>
      <b/>
      <u/>
      <sz val="12"/>
      <color theme="4"/>
      <name val="Aptos"/>
      <family val="2"/>
      <scheme val="minor"/>
    </font>
    <font>
      <sz val="11"/>
      <color theme="1"/>
      <name val="Aptos  "/>
    </font>
    <font>
      <sz val="10"/>
      <color theme="1"/>
      <name val="Aptos  "/>
    </font>
    <font>
      <u/>
      <sz val="11"/>
      <color theme="1"/>
      <name val="Aptos  "/>
    </font>
    <font>
      <vertAlign val="superscript"/>
      <sz val="11"/>
      <color theme="1"/>
      <name val="Aptos  "/>
    </font>
    <font>
      <i/>
      <sz val="10"/>
      <color theme="1"/>
      <name val="Aptos  "/>
    </font>
    <font>
      <sz val="10"/>
      <name val="Aptos  "/>
    </font>
    <font>
      <vertAlign val="superscript"/>
      <sz val="10"/>
      <name val="Aptos  "/>
    </font>
    <font>
      <u/>
      <sz val="10"/>
      <color theme="10"/>
      <name val="Aptos  "/>
    </font>
    <font>
      <sz val="16"/>
      <color rgb="FFFDB719"/>
      <name val="Aptos  "/>
    </font>
    <font>
      <sz val="12"/>
      <color theme="1"/>
      <name val="Aptos  "/>
    </font>
    <font>
      <b/>
      <sz val="12"/>
      <name val="Aptos  "/>
    </font>
    <font>
      <b/>
      <sz val="12"/>
      <color theme="1"/>
      <name val="Aptos  "/>
    </font>
    <font>
      <sz val="12"/>
      <name val="Aptos  "/>
    </font>
    <font>
      <b/>
      <sz val="11"/>
      <name val="Aptos  "/>
    </font>
    <font>
      <b/>
      <sz val="16"/>
      <color rgb="FFFDB719"/>
      <name val="Aptos Black"/>
      <family val="2"/>
      <scheme val="major"/>
    </font>
    <font>
      <b/>
      <sz val="14"/>
      <color theme="1"/>
      <name val="Aptos"/>
      <family val="2"/>
      <scheme val="minor"/>
    </font>
    <font>
      <vertAlign val="superscript"/>
      <sz val="10"/>
      <color theme="1"/>
      <name val="Aptos  "/>
    </font>
  </fonts>
  <fills count="6">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rgb="FFF2F2F2"/>
      </patternFill>
    </fill>
    <fill>
      <patternFill patternType="solid">
        <fgColor theme="0"/>
        <bgColor indexed="64"/>
      </patternFill>
    </fill>
  </fills>
  <borders count="30">
    <border>
      <left/>
      <right/>
      <top/>
      <bottom/>
      <diagonal/>
    </border>
    <border>
      <left/>
      <right/>
      <top style="thin">
        <color indexed="64"/>
      </top>
      <bottom style="thin">
        <color indexed="64"/>
      </bottom>
      <diagonal/>
    </border>
    <border>
      <left/>
      <right/>
      <top/>
      <bottom style="thin">
        <color indexed="64"/>
      </bottom>
      <diagonal/>
    </border>
    <border>
      <left/>
      <right/>
      <top/>
      <bottom style="double">
        <color indexed="6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right style="thin">
        <color rgb="FF3F3F3F"/>
      </right>
      <top style="thin">
        <color rgb="FF3F3F3F"/>
      </top>
      <bottom style="thin">
        <color rgb="FF3F3F3F"/>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7">
    <xf numFmtId="0" fontId="0" fillId="0" borderId="0"/>
    <xf numFmtId="9" fontId="1" fillId="0" borderId="0" applyFont="0" applyFill="0" applyBorder="0" applyAlignment="0" applyProtection="0"/>
    <xf numFmtId="0" fontId="5" fillId="4" borderId="4" applyNumberFormat="0" applyAlignment="0" applyProtection="0"/>
    <xf numFmtId="0" fontId="1" fillId="0" borderId="0"/>
    <xf numFmtId="44" fontId="1" fillId="0" borderId="0" applyFont="0" applyFill="0" applyBorder="0" applyAlignment="0" applyProtection="0"/>
    <xf numFmtId="0" fontId="15" fillId="0" borderId="0" applyNumberFormat="0" applyFill="0" applyBorder="0" applyAlignment="0" applyProtection="0"/>
    <xf numFmtId="0" fontId="17" fillId="0" borderId="0"/>
  </cellStyleXfs>
  <cellXfs count="173">
    <xf numFmtId="0" fontId="0" fillId="0" borderId="0" xfId="0"/>
    <xf numFmtId="0" fontId="2" fillId="0" borderId="0" xfId="0" applyFont="1"/>
    <xf numFmtId="164" fontId="2" fillId="0" borderId="0" xfId="0" applyNumberFormat="1" applyFont="1"/>
    <xf numFmtId="0" fontId="6" fillId="5" borderId="0" xfId="0" applyFont="1" applyFill="1"/>
    <xf numFmtId="0" fontId="6" fillId="0" borderId="0" xfId="0" applyFont="1"/>
    <xf numFmtId="0" fontId="0" fillId="5" borderId="0" xfId="0" applyFill="1"/>
    <xf numFmtId="0" fontId="3" fillId="5" borderId="0" xfId="0" applyFont="1" applyFill="1" applyAlignment="1">
      <alignment horizontal="left" indent="4"/>
    </xf>
    <xf numFmtId="0" fontId="8" fillId="5" borderId="0" xfId="0" applyFont="1" applyFill="1"/>
    <xf numFmtId="0" fontId="8" fillId="0" borderId="0" xfId="0" applyFont="1"/>
    <xf numFmtId="0" fontId="8" fillId="0" borderId="0" xfId="0" applyFont="1" applyAlignment="1">
      <alignment wrapText="1"/>
    </xf>
    <xf numFmtId="0" fontId="4" fillId="5" borderId="0" xfId="0" applyFont="1" applyFill="1"/>
    <xf numFmtId="0" fontId="12" fillId="3" borderId="17" xfId="0" applyFont="1" applyFill="1" applyBorder="1" applyAlignment="1">
      <alignment horizontal="center" textRotation="90"/>
    </xf>
    <xf numFmtId="0" fontId="10" fillId="3" borderId="19" xfId="0" applyFont="1" applyFill="1" applyBorder="1"/>
    <xf numFmtId="3" fontId="8" fillId="0" borderId="11" xfId="0" applyNumberFormat="1" applyFont="1" applyBorder="1"/>
    <xf numFmtId="0" fontId="10" fillId="3" borderId="20" xfId="0" applyFont="1" applyFill="1" applyBorder="1"/>
    <xf numFmtId="3" fontId="8" fillId="0" borderId="1" xfId="0" applyNumberFormat="1" applyFont="1" applyBorder="1" applyAlignment="1">
      <alignment horizontal="right"/>
    </xf>
    <xf numFmtId="0" fontId="12" fillId="3" borderId="17" xfId="0" applyFont="1" applyFill="1" applyBorder="1" applyAlignment="1">
      <alignment horizontal="center" vertical="center" textRotation="90"/>
    </xf>
    <xf numFmtId="2" fontId="8" fillId="0" borderId="17" xfId="0" applyNumberFormat="1" applyFont="1" applyBorder="1" applyAlignment="1">
      <alignment horizontal="center"/>
    </xf>
    <xf numFmtId="0" fontId="6" fillId="5" borderId="0" xfId="0" applyFont="1" applyFill="1" applyAlignment="1">
      <alignment horizontal="center"/>
    </xf>
    <xf numFmtId="0" fontId="4" fillId="5" borderId="0" xfId="0" applyFont="1" applyFill="1" applyAlignment="1">
      <alignment horizontal="left" vertical="top" wrapText="1"/>
    </xf>
    <xf numFmtId="7" fontId="8" fillId="0" borderId="12" xfId="4" applyNumberFormat="1" applyFont="1" applyBorder="1" applyAlignment="1">
      <alignment horizontal="center"/>
    </xf>
    <xf numFmtId="0" fontId="4" fillId="5" borderId="0" xfId="0" applyFont="1" applyFill="1" applyAlignment="1">
      <alignment horizontal="right" vertical="top" wrapText="1"/>
    </xf>
    <xf numFmtId="0" fontId="8" fillId="3" borderId="16" xfId="0" applyFont="1" applyFill="1" applyBorder="1"/>
    <xf numFmtId="0" fontId="8" fillId="3" borderId="11" xfId="0" applyFont="1" applyFill="1" applyBorder="1"/>
    <xf numFmtId="0" fontId="8" fillId="3" borderId="12" xfId="0" applyFont="1" applyFill="1" applyBorder="1"/>
    <xf numFmtId="0" fontId="8" fillId="3" borderId="0" xfId="0" applyFont="1" applyFill="1"/>
    <xf numFmtId="0" fontId="11" fillId="5" borderId="0" xfId="0" applyFont="1" applyFill="1" applyAlignment="1">
      <alignment horizontal="right"/>
    </xf>
    <xf numFmtId="0" fontId="11" fillId="5" borderId="13" xfId="0" applyFont="1" applyFill="1" applyBorder="1" applyAlignment="1">
      <alignment horizontal="right"/>
    </xf>
    <xf numFmtId="0" fontId="12" fillId="3" borderId="12" xfId="0" applyFont="1" applyFill="1" applyBorder="1" applyAlignment="1">
      <alignment horizontal="center" textRotation="90"/>
    </xf>
    <xf numFmtId="3" fontId="8" fillId="0" borderId="18" xfId="0" applyNumberFormat="1" applyFont="1" applyBorder="1"/>
    <xf numFmtId="0" fontId="11" fillId="5" borderId="0" xfId="0" applyFont="1" applyFill="1" applyAlignment="1">
      <alignment horizontal="center" vertical="center"/>
    </xf>
    <xf numFmtId="9" fontId="11" fillId="5" borderId="0" xfId="0" applyNumberFormat="1" applyFont="1" applyFill="1" applyAlignment="1">
      <alignment horizontal="center" vertical="center"/>
    </xf>
    <xf numFmtId="0" fontId="11" fillId="5" borderId="2" xfId="0" applyFont="1" applyFill="1" applyBorder="1" applyAlignment="1">
      <alignment horizontal="center" vertical="center"/>
    </xf>
    <xf numFmtId="7" fontId="8" fillId="0" borderId="15" xfId="4" applyNumberFormat="1" applyFont="1" applyBorder="1" applyAlignment="1">
      <alignment horizontal="center"/>
    </xf>
    <xf numFmtId="0" fontId="8" fillId="3" borderId="18" xfId="0" applyFont="1" applyFill="1" applyBorder="1"/>
    <xf numFmtId="0" fontId="8" fillId="3" borderId="13" xfId="0" applyFont="1" applyFill="1" applyBorder="1"/>
    <xf numFmtId="0" fontId="12" fillId="3" borderId="2" xfId="0" applyFont="1" applyFill="1" applyBorder="1" applyAlignment="1">
      <alignment horizontal="center" textRotation="90"/>
    </xf>
    <xf numFmtId="6" fontId="11" fillId="0" borderId="16" xfId="4" applyNumberFormat="1" applyFont="1" applyBorder="1"/>
    <xf numFmtId="6" fontId="11" fillId="0" borderId="11" xfId="4" applyNumberFormat="1" applyFont="1" applyBorder="1"/>
    <xf numFmtId="6" fontId="11" fillId="0" borderId="18" xfId="4" applyNumberFormat="1" applyFont="1" applyBorder="1"/>
    <xf numFmtId="6" fontId="11" fillId="0" borderId="12" xfId="4" applyNumberFormat="1" applyFont="1" applyBorder="1"/>
    <xf numFmtId="6" fontId="11" fillId="0" borderId="0" xfId="4" applyNumberFormat="1" applyFont="1" applyBorder="1"/>
    <xf numFmtId="6" fontId="11" fillId="0" borderId="13" xfId="4" applyNumberFormat="1" applyFont="1" applyBorder="1"/>
    <xf numFmtId="6" fontId="11" fillId="0" borderId="21" xfId="4" applyNumberFormat="1" applyFont="1" applyBorder="1"/>
    <xf numFmtId="6" fontId="11" fillId="0" borderId="15" xfId="4" applyNumberFormat="1" applyFont="1" applyBorder="1"/>
    <xf numFmtId="6" fontId="11" fillId="0" borderId="2" xfId="4" applyNumberFormat="1" applyFont="1" applyBorder="1"/>
    <xf numFmtId="6" fontId="11" fillId="0" borderId="14" xfId="4" applyNumberFormat="1" applyFont="1" applyBorder="1"/>
    <xf numFmtId="3" fontId="8" fillId="0" borderId="23" xfId="0" applyNumberFormat="1" applyFont="1" applyBorder="1" applyAlignment="1">
      <alignment horizontal="right"/>
    </xf>
    <xf numFmtId="3" fontId="8" fillId="0" borderId="24" xfId="0" applyNumberFormat="1" applyFont="1" applyBorder="1" applyAlignment="1">
      <alignment horizontal="right"/>
    </xf>
    <xf numFmtId="0" fontId="8" fillId="3" borderId="28" xfId="0" applyFont="1" applyFill="1" applyBorder="1"/>
    <xf numFmtId="0" fontId="12" fillId="3" borderId="29" xfId="0" applyFont="1" applyFill="1" applyBorder="1" applyAlignment="1">
      <alignment horizontal="center" vertical="center" textRotation="90"/>
    </xf>
    <xf numFmtId="2" fontId="8" fillId="0" borderId="29" xfId="0" applyNumberFormat="1" applyFont="1" applyBorder="1" applyAlignment="1">
      <alignment horizontal="center"/>
    </xf>
    <xf numFmtId="0" fontId="16" fillId="5" borderId="0" xfId="5" applyFont="1" applyFill="1" applyAlignment="1">
      <alignment horizontal="left" wrapText="1"/>
    </xf>
    <xf numFmtId="0" fontId="18" fillId="5" borderId="0" xfId="5" applyFont="1" applyFill="1" applyAlignment="1">
      <alignment horizontal="left" vertical="top" wrapText="1"/>
    </xf>
    <xf numFmtId="0" fontId="19" fillId="0" borderId="0" xfId="0" applyFont="1"/>
    <xf numFmtId="0" fontId="21" fillId="0" borderId="0" xfId="0" applyFont="1"/>
    <xf numFmtId="0" fontId="19" fillId="0" borderId="2" xfId="0" applyFont="1" applyBorder="1"/>
    <xf numFmtId="164" fontId="19" fillId="0" borderId="2" xfId="0" applyNumberFormat="1" applyFont="1" applyBorder="1" applyAlignment="1">
      <alignment horizontal="right"/>
    </xf>
    <xf numFmtId="0" fontId="19" fillId="0" borderId="0" xfId="0" applyFont="1" applyAlignment="1">
      <alignment horizontal="right"/>
    </xf>
    <xf numFmtId="164" fontId="19" fillId="0" borderId="0" xfId="0" applyNumberFormat="1" applyFont="1" applyAlignment="1">
      <alignment horizontal="right"/>
    </xf>
    <xf numFmtId="164" fontId="23" fillId="0" borderId="2" xfId="0" applyNumberFormat="1" applyFont="1" applyBorder="1" applyAlignment="1">
      <alignment horizontal="right"/>
    </xf>
    <xf numFmtId="0" fontId="23" fillId="0" borderId="2" xfId="0" applyFont="1" applyBorder="1" applyAlignment="1">
      <alignment horizontal="right"/>
    </xf>
    <xf numFmtId="0" fontId="19" fillId="2" borderId="0" xfId="0" applyFont="1" applyFill="1"/>
    <xf numFmtId="164" fontId="19" fillId="2" borderId="0" xfId="0" applyNumberFormat="1" applyFont="1" applyFill="1" applyAlignment="1">
      <alignment horizontal="right"/>
    </xf>
    <xf numFmtId="164" fontId="19" fillId="2" borderId="0" xfId="4" applyNumberFormat="1" applyFont="1" applyFill="1" applyBorder="1" applyAlignment="1">
      <alignment horizontal="right"/>
    </xf>
    <xf numFmtId="4" fontId="19" fillId="2" borderId="0" xfId="0" applyNumberFormat="1" applyFont="1" applyFill="1"/>
    <xf numFmtId="164" fontId="19" fillId="2" borderId="0" xfId="0" applyNumberFormat="1" applyFont="1" applyFill="1"/>
    <xf numFmtId="164" fontId="19" fillId="2" borderId="0" xfId="4" applyNumberFormat="1" applyFont="1" applyFill="1"/>
    <xf numFmtId="4" fontId="19" fillId="2" borderId="0" xfId="0" applyNumberFormat="1" applyFont="1" applyFill="1" applyAlignment="1">
      <alignment horizontal="right"/>
    </xf>
    <xf numFmtId="0" fontId="19" fillId="2" borderId="2" xfId="0" applyFont="1" applyFill="1" applyBorder="1"/>
    <xf numFmtId="4" fontId="19" fillId="2" borderId="2" xfId="0" applyNumberFormat="1" applyFont="1" applyFill="1" applyBorder="1"/>
    <xf numFmtId="164" fontId="19" fillId="2" borderId="2" xfId="0" applyNumberFormat="1" applyFont="1" applyFill="1" applyBorder="1"/>
    <xf numFmtId="4" fontId="19" fillId="0" borderId="0" xfId="0" applyNumberFormat="1" applyFont="1"/>
    <xf numFmtId="164" fontId="19" fillId="0" borderId="0" xfId="0" applyNumberFormat="1" applyFont="1"/>
    <xf numFmtId="0" fontId="24" fillId="5" borderId="0" xfId="6" applyFont="1" applyFill="1"/>
    <xf numFmtId="0" fontId="19" fillId="0" borderId="11" xfId="0" applyFont="1" applyBorder="1"/>
    <xf numFmtId="0" fontId="19" fillId="0" borderId="11" xfId="0" applyFont="1" applyBorder="1" applyAlignment="1">
      <alignment horizontal="right"/>
    </xf>
    <xf numFmtId="0" fontId="27" fillId="0" borderId="0" xfId="0" applyFont="1" applyAlignment="1">
      <alignment wrapText="1"/>
    </xf>
    <xf numFmtId="0" fontId="28" fillId="0" borderId="0" xfId="0" applyFont="1"/>
    <xf numFmtId="0" fontId="29" fillId="5" borderId="1" xfId="6" applyFont="1" applyFill="1" applyBorder="1" applyAlignment="1">
      <alignment horizontal="left"/>
    </xf>
    <xf numFmtId="2" fontId="29" fillId="5" borderId="1" xfId="6" applyNumberFormat="1" applyFont="1" applyFill="1" applyBorder="1" applyAlignment="1">
      <alignment horizontal="right"/>
    </xf>
    <xf numFmtId="0" fontId="29" fillId="0" borderId="0" xfId="0" applyFont="1"/>
    <xf numFmtId="0" fontId="20" fillId="0" borderId="0" xfId="0" applyFont="1"/>
    <xf numFmtId="165" fontId="28" fillId="2" borderId="0" xfId="0" applyNumberFormat="1" applyFont="1" applyFill="1"/>
    <xf numFmtId="164" fontId="28" fillId="2" borderId="0" xfId="4" applyNumberFormat="1" applyFont="1" applyFill="1" applyProtection="1"/>
    <xf numFmtId="164" fontId="28" fillId="0" borderId="2" xfId="0" applyNumberFormat="1" applyFont="1" applyBorder="1"/>
    <xf numFmtId="0" fontId="30" fillId="0" borderId="0" xfId="0" applyFont="1" applyAlignment="1">
      <alignment horizontal="right"/>
    </xf>
    <xf numFmtId="164" fontId="28" fillId="0" borderId="0" xfId="0" applyNumberFormat="1" applyFont="1"/>
    <xf numFmtId="0" fontId="29" fillId="0" borderId="1" xfId="0" applyFont="1" applyBorder="1"/>
    <xf numFmtId="165" fontId="28" fillId="0" borderId="0" xfId="0" applyNumberFormat="1" applyFont="1"/>
    <xf numFmtId="164" fontId="28" fillId="0" borderId="0" xfId="4" applyNumberFormat="1" applyFont="1" applyProtection="1"/>
    <xf numFmtId="164" fontId="28" fillId="0" borderId="0" xfId="4" applyNumberFormat="1" applyFont="1" applyFill="1" applyProtection="1"/>
    <xf numFmtId="0" fontId="31" fillId="0" borderId="0" xfId="0" applyFont="1"/>
    <xf numFmtId="9" fontId="20" fillId="0" borderId="0" xfId="0" applyNumberFormat="1" applyFont="1" applyAlignment="1">
      <alignment horizontal="left"/>
    </xf>
    <xf numFmtId="167" fontId="28" fillId="0" borderId="0" xfId="4" applyNumberFormat="1" applyFont="1"/>
    <xf numFmtId="9" fontId="28" fillId="2" borderId="0" xfId="1" applyFont="1" applyFill="1" applyProtection="1"/>
    <xf numFmtId="164" fontId="28" fillId="2" borderId="0" xfId="0" applyNumberFormat="1" applyFont="1" applyFill="1"/>
    <xf numFmtId="0" fontId="28" fillId="0" borderId="0" xfId="0" applyFont="1" applyAlignment="1">
      <alignment wrapText="1"/>
    </xf>
    <xf numFmtId="10" fontId="28" fillId="2" borderId="0" xfId="0" applyNumberFormat="1" applyFont="1" applyFill="1"/>
    <xf numFmtId="3" fontId="28" fillId="0" borderId="0" xfId="0" applyNumberFormat="1" applyFont="1"/>
    <xf numFmtId="0" fontId="32" fillId="0" borderId="1" xfId="0" applyFont="1" applyBorder="1" applyAlignment="1">
      <alignment horizontal="left" wrapText="1"/>
    </xf>
    <xf numFmtId="0" fontId="29" fillId="0" borderId="1" xfId="0" applyFont="1" applyBorder="1" applyAlignment="1">
      <alignment horizontal="center" wrapText="1"/>
    </xf>
    <xf numFmtId="0" fontId="28" fillId="0" borderId="11" xfId="0" applyFont="1" applyBorder="1"/>
    <xf numFmtId="164" fontId="28" fillId="0" borderId="11" xfId="0" applyNumberFormat="1" applyFont="1" applyBorder="1"/>
    <xf numFmtId="0" fontId="28" fillId="0" borderId="3" xfId="0" applyFont="1" applyBorder="1"/>
    <xf numFmtId="164" fontId="28" fillId="0" borderId="3" xfId="0" applyNumberFormat="1" applyFont="1" applyBorder="1"/>
    <xf numFmtId="0" fontId="19" fillId="0" borderId="0" xfId="0" applyFont="1" applyProtection="1">
      <protection locked="0"/>
    </xf>
    <xf numFmtId="165" fontId="28" fillId="5" borderId="0" xfId="0" applyNumberFormat="1" applyFont="1" applyFill="1"/>
    <xf numFmtId="164" fontId="28" fillId="5" borderId="0" xfId="4" applyNumberFormat="1" applyFont="1" applyFill="1" applyProtection="1"/>
    <xf numFmtId="0" fontId="19" fillId="2" borderId="0" xfId="0" applyFont="1" applyFill="1" applyAlignment="1">
      <alignment horizontal="right"/>
    </xf>
    <xf numFmtId="4" fontId="28" fillId="2" borderId="0" xfId="0" applyNumberFormat="1" applyFont="1" applyFill="1"/>
    <xf numFmtId="0" fontId="31" fillId="0" borderId="0" xfId="0" applyFont="1" applyAlignment="1">
      <alignment horizontal="left"/>
    </xf>
    <xf numFmtId="0" fontId="30" fillId="0" borderId="11" xfId="0" applyFont="1" applyBorder="1" applyAlignment="1">
      <alignment horizontal="left"/>
    </xf>
    <xf numFmtId="0" fontId="30" fillId="0" borderId="3" xfId="0" applyFont="1" applyBorder="1" applyAlignment="1">
      <alignment horizontal="left"/>
    </xf>
    <xf numFmtId="0" fontId="14" fillId="3" borderId="1" xfId="0" applyFont="1" applyFill="1" applyBorder="1"/>
    <xf numFmtId="0" fontId="14" fillId="3" borderId="24" xfId="0" applyFont="1" applyFill="1" applyBorder="1"/>
    <xf numFmtId="0" fontId="0" fillId="3" borderId="0" xfId="0" applyFill="1"/>
    <xf numFmtId="0" fontId="14" fillId="3" borderId="1" xfId="0" applyFont="1" applyFill="1" applyBorder="1" applyAlignment="1">
      <alignment horizontal="right"/>
    </xf>
    <xf numFmtId="0" fontId="14" fillId="3" borderId="27" xfId="0" applyFont="1" applyFill="1" applyBorder="1" applyAlignment="1">
      <alignment vertical="center" textRotation="90"/>
    </xf>
    <xf numFmtId="0" fontId="19" fillId="2" borderId="11" xfId="0" applyFont="1" applyFill="1" applyBorder="1"/>
    <xf numFmtId="164" fontId="19" fillId="2" borderId="11" xfId="0" applyNumberFormat="1" applyFont="1" applyFill="1" applyBorder="1"/>
    <xf numFmtId="166" fontId="19" fillId="2" borderId="11" xfId="0" applyNumberFormat="1" applyFont="1" applyFill="1" applyBorder="1"/>
    <xf numFmtId="166" fontId="19" fillId="2" borderId="2" xfId="0" applyNumberFormat="1" applyFont="1" applyFill="1" applyBorder="1"/>
    <xf numFmtId="164" fontId="28" fillId="5" borderId="0" xfId="0" applyNumberFormat="1" applyFont="1" applyFill="1"/>
    <xf numFmtId="9" fontId="19" fillId="2" borderId="11" xfId="1" applyFont="1" applyFill="1" applyBorder="1"/>
    <xf numFmtId="9" fontId="19" fillId="2" borderId="2" xfId="1" applyFont="1" applyFill="1" applyBorder="1"/>
    <xf numFmtId="9" fontId="19" fillId="2" borderId="0" xfId="1" applyFont="1" applyFill="1" applyBorder="1"/>
    <xf numFmtId="166" fontId="19" fillId="2" borderId="0" xfId="0" applyNumberFormat="1" applyFont="1" applyFill="1"/>
    <xf numFmtId="10" fontId="19" fillId="2" borderId="11" xfId="0" applyNumberFormat="1" applyFont="1" applyFill="1" applyBorder="1"/>
    <xf numFmtId="10" fontId="19" fillId="2" borderId="0" xfId="0" applyNumberFormat="1" applyFont="1" applyFill="1"/>
    <xf numFmtId="10" fontId="19" fillId="2" borderId="2" xfId="0" applyNumberFormat="1" applyFont="1" applyFill="1" applyBorder="1"/>
    <xf numFmtId="0" fontId="19" fillId="0" borderId="11" xfId="0" applyFont="1" applyBorder="1" applyAlignment="1">
      <alignment horizontal="right" wrapText="1"/>
    </xf>
    <xf numFmtId="0" fontId="29" fillId="5" borderId="0" xfId="6" applyFont="1" applyFill="1" applyAlignment="1">
      <alignment horizontal="left"/>
    </xf>
    <xf numFmtId="0" fontId="34" fillId="0" borderId="0" xfId="0" applyFont="1"/>
    <xf numFmtId="10" fontId="28" fillId="2" borderId="0" xfId="1" applyNumberFormat="1" applyFont="1" applyFill="1"/>
    <xf numFmtId="0" fontId="28" fillId="5" borderId="0" xfId="0" applyFont="1" applyFill="1"/>
    <xf numFmtId="164" fontId="19" fillId="5" borderId="0" xfId="0" applyNumberFormat="1" applyFont="1" applyFill="1"/>
    <xf numFmtId="164" fontId="19" fillId="5" borderId="0" xfId="1" applyNumberFormat="1" applyFont="1" applyFill="1" applyBorder="1"/>
    <xf numFmtId="0" fontId="19" fillId="5" borderId="0" xfId="0" applyFont="1" applyFill="1"/>
    <xf numFmtId="166" fontId="19" fillId="5" borderId="0" xfId="0" applyNumberFormat="1" applyFont="1" applyFill="1"/>
    <xf numFmtId="164" fontId="19" fillId="5" borderId="0" xfId="4" applyNumberFormat="1" applyFont="1" applyFill="1" applyBorder="1"/>
    <xf numFmtId="10" fontId="19" fillId="5" borderId="0" xfId="0" applyNumberFormat="1" applyFont="1" applyFill="1"/>
    <xf numFmtId="0" fontId="30" fillId="0" borderId="0" xfId="0" applyFont="1" applyAlignment="1">
      <alignment horizontal="left"/>
    </xf>
    <xf numFmtId="0" fontId="7" fillId="3" borderId="5" xfId="0" applyFont="1" applyFill="1" applyBorder="1"/>
    <xf numFmtId="0" fontId="7" fillId="3" borderId="6" xfId="0" applyFont="1" applyFill="1" applyBorder="1"/>
    <xf numFmtId="0" fontId="13" fillId="3" borderId="5" xfId="3" applyFont="1" applyFill="1" applyBorder="1" applyAlignment="1">
      <alignment horizontal="center"/>
    </xf>
    <xf numFmtId="0" fontId="13" fillId="3" borderId="6" xfId="3" applyFont="1" applyFill="1" applyBorder="1" applyAlignment="1">
      <alignment horizontal="center"/>
    </xf>
    <xf numFmtId="0" fontId="13" fillId="3" borderId="7" xfId="3" applyFont="1" applyFill="1" applyBorder="1" applyAlignment="1">
      <alignment horizontal="center"/>
    </xf>
    <xf numFmtId="0" fontId="8" fillId="5" borderId="0" xfId="0" applyFont="1" applyFill="1" applyAlignment="1">
      <alignment horizontal="right"/>
    </xf>
    <xf numFmtId="0" fontId="0" fillId="5" borderId="0" xfId="0" applyFill="1"/>
    <xf numFmtId="0" fontId="9" fillId="4" borderId="8" xfId="2" applyFont="1" applyBorder="1" applyAlignment="1">
      <alignment horizontal="center" wrapText="1"/>
    </xf>
    <xf numFmtId="0" fontId="9" fillId="4" borderId="9" xfId="2" applyFont="1" applyBorder="1" applyAlignment="1">
      <alignment horizontal="center" wrapText="1"/>
    </xf>
    <xf numFmtId="0" fontId="9" fillId="4" borderId="10" xfId="2" applyFont="1" applyBorder="1" applyAlignment="1">
      <alignment horizontal="center" wrapText="1"/>
    </xf>
    <xf numFmtId="0" fontId="11" fillId="5" borderId="0" xfId="0" applyFont="1" applyFill="1" applyAlignment="1">
      <alignment horizontal="left" vertical="top" wrapText="1"/>
    </xf>
    <xf numFmtId="0" fontId="20" fillId="0" borderId="0" xfId="0" applyFont="1" applyAlignment="1">
      <alignment horizontal="left" wrapText="1"/>
    </xf>
    <xf numFmtId="0" fontId="26" fillId="0" borderId="0" xfId="5" applyFont="1" applyAlignment="1">
      <alignment horizontal="left"/>
    </xf>
    <xf numFmtId="0" fontId="20" fillId="0" borderId="22" xfId="0" applyFont="1" applyBorder="1" applyAlignment="1">
      <alignment horizontal="left" vertical="top" wrapText="1"/>
    </xf>
    <xf numFmtId="0" fontId="33" fillId="3" borderId="23" xfId="0" applyFont="1" applyFill="1" applyBorder="1" applyAlignment="1">
      <alignment horizontal="center" wrapText="1"/>
    </xf>
    <xf numFmtId="0" fontId="33" fillId="3" borderId="1" xfId="0" applyFont="1" applyFill="1" applyBorder="1" applyAlignment="1">
      <alignment horizontal="center" wrapText="1"/>
    </xf>
    <xf numFmtId="0" fontId="33" fillId="3" borderId="24" xfId="0" applyFont="1" applyFill="1" applyBorder="1" applyAlignment="1">
      <alignment horizontal="center" wrapText="1"/>
    </xf>
    <xf numFmtId="0" fontId="4" fillId="5" borderId="0" xfId="0" applyFont="1" applyFill="1" applyAlignment="1">
      <alignment horizontal="center"/>
    </xf>
    <xf numFmtId="0" fontId="8" fillId="0" borderId="0" xfId="0" applyFont="1" applyAlignment="1">
      <alignment horizontal="left"/>
    </xf>
    <xf numFmtId="0" fontId="14" fillId="3" borderId="25" xfId="0" applyFont="1" applyFill="1" applyBorder="1" applyAlignment="1">
      <alignment horizontal="center"/>
    </xf>
    <xf numFmtId="0" fontId="14" fillId="3" borderId="1" xfId="0" applyFont="1" applyFill="1" applyBorder="1" applyAlignment="1">
      <alignment horizontal="center"/>
    </xf>
    <xf numFmtId="0" fontId="14" fillId="3" borderId="24" xfId="0" applyFont="1" applyFill="1" applyBorder="1" applyAlignment="1">
      <alignment horizontal="center"/>
    </xf>
    <xf numFmtId="0" fontId="14" fillId="3" borderId="12" xfId="0" applyFont="1" applyFill="1" applyBorder="1" applyAlignment="1">
      <alignment horizontal="center" vertical="center" textRotation="90"/>
    </xf>
    <xf numFmtId="0" fontId="14" fillId="3" borderId="15" xfId="0" applyFont="1" applyFill="1" applyBorder="1" applyAlignment="1">
      <alignment horizontal="center" vertical="center" textRotation="90"/>
    </xf>
    <xf numFmtId="0" fontId="8" fillId="5" borderId="0" xfId="0" applyFont="1" applyFill="1" applyAlignment="1">
      <alignment horizontal="left" wrapText="1"/>
    </xf>
    <xf numFmtId="0" fontId="14" fillId="3" borderId="26" xfId="0" applyFont="1" applyFill="1" applyBorder="1" applyAlignment="1">
      <alignment horizontal="center" vertical="center" textRotation="90"/>
    </xf>
    <xf numFmtId="0" fontId="14" fillId="3" borderId="0" xfId="0" applyFont="1" applyFill="1" applyAlignment="1">
      <alignment horizontal="center" textRotation="90"/>
    </xf>
    <xf numFmtId="0" fontId="31" fillId="0" borderId="0" xfId="0" applyFont="1" applyAlignment="1">
      <alignment horizontal="left"/>
    </xf>
    <xf numFmtId="3" fontId="8" fillId="5" borderId="11" xfId="0" applyNumberFormat="1" applyFont="1" applyFill="1" applyBorder="1" applyProtection="1">
      <protection locked="0"/>
    </xf>
    <xf numFmtId="7" fontId="8" fillId="5" borderId="12" xfId="4" applyNumberFormat="1" applyFont="1" applyFill="1" applyBorder="1" applyAlignment="1" applyProtection="1">
      <alignment horizontal="center"/>
      <protection locked="0"/>
    </xf>
  </cellXfs>
  <cellStyles count="7">
    <cellStyle name="Currency" xfId="4" builtinId="4"/>
    <cellStyle name="Hyperlink" xfId="5" builtinId="8"/>
    <cellStyle name="Normal" xfId="0" builtinId="0"/>
    <cellStyle name="Normal 2" xfId="6" xr:uid="{138806ED-816B-4D53-BED9-1168E54DE5D2}"/>
    <cellStyle name="Normal 2 2" xfId="3" xr:uid="{B82EEC54-C959-4263-882E-61D78481713D}"/>
    <cellStyle name="Output" xfId="2" builtinId="21"/>
    <cellStyle name="Percent" xfId="1" builtinId="5"/>
  </cellStyles>
  <dxfs count="5">
    <dxf>
      <font>
        <strike val="0"/>
        <color theme="0"/>
      </font>
    </dxf>
    <dxf>
      <font>
        <color rgb="FFFF0000"/>
      </font>
    </dxf>
    <dxf>
      <font>
        <color rgb="FFFF0000"/>
      </font>
    </dxf>
    <dxf>
      <font>
        <strike val="0"/>
        <color theme="0"/>
      </font>
    </dxf>
    <dxf>
      <font>
        <strike val="0"/>
        <color theme="0"/>
      </font>
    </dxf>
  </dxfs>
  <tableStyles count="0" defaultTableStyle="TableStyleMedium2" defaultPivotStyle="PivotStyleLight16"/>
  <colors>
    <mruColors>
      <color rgb="FFFDB7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4</xdr:row>
      <xdr:rowOff>0</xdr:rowOff>
    </xdr:from>
    <xdr:to>
      <xdr:col>4</xdr:col>
      <xdr:colOff>9525</xdr:colOff>
      <xdr:row>8</xdr:row>
      <xdr:rowOff>114300</xdr:rowOff>
    </xdr:to>
    <xdr:pic>
      <xdr:nvPicPr>
        <xdr:cNvPr id="3" name="Picture 2" descr="University of Missouri - Extension and Food &amp; Agricultural Policy Research Institute">
          <a:extLst>
            <a:ext uri="{FF2B5EF4-FFF2-40B4-BE49-F238E27FC236}">
              <a16:creationId xmlns:a16="http://schemas.microsoft.com/office/drawing/2014/main" id="{88592480-FE63-4673-94EE-E8C1726467A1}"/>
            </a:ext>
          </a:extLst>
        </xdr:cNvPr>
        <xdr:cNvPicPr>
          <a:picLocks noChangeAspect="1"/>
        </xdr:cNvPicPr>
      </xdr:nvPicPr>
      <xdr:blipFill>
        <a:blip xmlns:r="http://schemas.openxmlformats.org/officeDocument/2006/relationships" r:embed="rId1"/>
        <a:stretch>
          <a:fillRect/>
        </a:stretch>
      </xdr:blipFill>
      <xdr:spPr>
        <a:xfrm>
          <a:off x="4953000" y="885825"/>
          <a:ext cx="2800350" cy="8477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ailmissouri-my.sharepoint.com/personal/milhollinr_umsystem_edu/Documents/Crops/Crop%20Budgets/2025/Forage/ForageBudgets%202025.xlsx" TargetMode="External"/><Relationship Id="rId1" Type="http://schemas.openxmlformats.org/officeDocument/2006/relationships/externalLinkPath" Target="/personal/milhollinr_umsystem_edu/Documents/Crops/Crop%20Budgets/2025/Forage/ForageBudgets%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Inputs"/>
      <sheetName val="Alfalfa Establishment"/>
      <sheetName val="Alfalfa Small Squares"/>
      <sheetName val="Alfalfa Baleage"/>
      <sheetName val="Corn Silage"/>
      <sheetName val="Pasture Establishment"/>
      <sheetName val="Mixed Hay"/>
      <sheetName val="Fescue Seed+Forage"/>
      <sheetName val="Equipment"/>
      <sheetName val="Machinery Input Tables"/>
      <sheetName val="Custom Hire"/>
      <sheetName val="ForageBudgets 202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1">
      <a:majorFont>
        <a:latin typeface="Aptos Black"/>
        <a:ea typeface=""/>
        <a:cs typeface=""/>
      </a:majorFont>
      <a:minorFont>
        <a:latin typeface="Aptos"/>
        <a:ea typeface=""/>
        <a:cs typeface=""/>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xtension.missouri.edu/people/mallory-rahe" TargetMode="External"/><Relationship Id="rId1" Type="http://schemas.openxmlformats.org/officeDocument/2006/relationships/hyperlink" Target="https://extension.missouri.edu/programs/commercial-horticulture/find-a-horticulturist-near-yo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extension.missouri.edu/programs/agricultural-business-and-policy-extension/missouri-crop-and-livestock-enterprise-budget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9F4B3-BEC6-433D-A8AA-F26AB248039B}">
  <sheetPr codeName="Sheet1">
    <pageSetUpPr fitToPage="1"/>
  </sheetPr>
  <dimension ref="A1:M27"/>
  <sheetViews>
    <sheetView tabSelected="1" workbookViewId="0">
      <selection activeCell="D12" sqref="D12"/>
    </sheetView>
  </sheetViews>
  <sheetFormatPr defaultColWidth="0" defaultRowHeight="16.5" customHeight="1" zeroHeight="1"/>
  <cols>
    <col min="1" max="1" width="2.83203125" style="4" customWidth="1"/>
    <col min="2" max="2" width="29.25" style="4" customWidth="1"/>
    <col min="3" max="3" width="32.83203125" style="4" customWidth="1"/>
    <col min="4" max="4" width="36.58203125" style="4" customWidth="1"/>
    <col min="5" max="5" width="3" style="4" customWidth="1"/>
    <col min="6" max="8" width="9" style="4" hidden="1" customWidth="1"/>
    <col min="9" max="13" width="0" style="4" hidden="1" customWidth="1"/>
    <col min="14" max="16384" width="9" style="4" hidden="1"/>
  </cols>
  <sheetData>
    <row r="1" spans="1:13" ht="17" thickBot="1">
      <c r="A1" s="3"/>
      <c r="B1" s="5"/>
      <c r="C1" s="5"/>
      <c r="D1" s="5"/>
      <c r="E1" s="3"/>
      <c r="F1" s="3"/>
      <c r="G1" s="3"/>
      <c r="H1" s="3"/>
      <c r="I1" s="3"/>
      <c r="J1" s="3"/>
      <c r="K1" s="3"/>
      <c r="L1" s="3"/>
      <c r="M1" s="3"/>
    </row>
    <row r="2" spans="1:13" ht="19.5" customHeight="1" thickBot="1">
      <c r="A2" s="3"/>
      <c r="B2" s="145" t="s">
        <v>83</v>
      </c>
      <c r="C2" s="146"/>
      <c r="D2" s="147"/>
      <c r="E2" s="3"/>
      <c r="F2" s="3"/>
      <c r="G2" s="3"/>
      <c r="H2" s="3"/>
    </row>
    <row r="3" spans="1:13" ht="16.5" customHeight="1">
      <c r="A3" s="3"/>
      <c r="B3" s="148" t="s">
        <v>0</v>
      </c>
      <c r="C3" s="148"/>
      <c r="D3" s="148"/>
      <c r="E3" s="3"/>
      <c r="F3" s="3"/>
      <c r="G3" s="3"/>
      <c r="H3" s="3"/>
    </row>
    <row r="4" spans="1:13">
      <c r="A4" s="3"/>
      <c r="B4" s="149"/>
      <c r="C4" s="149"/>
      <c r="D4" s="149"/>
      <c r="E4" s="3"/>
      <c r="F4" s="3"/>
      <c r="G4" s="3"/>
      <c r="H4" s="3"/>
    </row>
    <row r="5" spans="1:13">
      <c r="A5" s="3"/>
      <c r="B5" s="10" t="s">
        <v>59</v>
      </c>
      <c r="C5" s="8"/>
      <c r="D5" s="18"/>
      <c r="E5" s="3"/>
      <c r="F5" s="3"/>
      <c r="G5" s="3"/>
      <c r="H5" s="3"/>
    </row>
    <row r="6" spans="1:13" ht="16.5" customHeight="1">
      <c r="A6" s="3"/>
      <c r="B6" s="19"/>
      <c r="C6" s="19"/>
      <c r="D6" s="18"/>
      <c r="E6" s="3"/>
      <c r="F6" s="3"/>
      <c r="G6" s="3"/>
      <c r="H6" s="3"/>
    </row>
    <row r="7" spans="1:13" ht="16.5" customHeight="1">
      <c r="A7" s="3"/>
      <c r="B7" s="21" t="s">
        <v>30</v>
      </c>
      <c r="C7" s="53" t="s">
        <v>70</v>
      </c>
      <c r="D7" s="18"/>
      <c r="E7" s="3"/>
      <c r="F7" s="3"/>
      <c r="G7" s="3"/>
      <c r="H7" s="3"/>
    </row>
    <row r="8" spans="1:13" ht="8.15" customHeight="1">
      <c r="A8" s="3"/>
      <c r="B8" s="21"/>
      <c r="C8" s="19"/>
      <c r="D8" s="18"/>
      <c r="E8" s="3"/>
      <c r="F8" s="3"/>
      <c r="G8" s="3"/>
      <c r="H8" s="3"/>
    </row>
    <row r="9" spans="1:13" ht="32.5" customHeight="1">
      <c r="A9" s="3"/>
      <c r="B9" s="21" t="s">
        <v>31</v>
      </c>
      <c r="C9" s="52" t="s">
        <v>32</v>
      </c>
      <c r="D9" s="18"/>
      <c r="E9" s="3"/>
      <c r="F9" s="3"/>
      <c r="G9" s="3"/>
      <c r="H9" s="3"/>
    </row>
    <row r="10" spans="1:13" ht="16.5" customHeight="1">
      <c r="A10" s="3"/>
      <c r="B10" s="6"/>
      <c r="C10"/>
      <c r="D10" s="5"/>
      <c r="E10" s="3"/>
      <c r="F10" s="3"/>
      <c r="G10" s="3"/>
      <c r="H10" s="3"/>
    </row>
    <row r="11" spans="1:13" ht="69" customHeight="1">
      <c r="A11" s="3"/>
      <c r="B11" s="153" t="s">
        <v>129</v>
      </c>
      <c r="C11" s="153"/>
      <c r="D11" s="153"/>
      <c r="E11" s="3"/>
      <c r="F11" s="3"/>
      <c r="G11" s="3"/>
      <c r="H11" s="3"/>
    </row>
    <row r="12" spans="1:13" ht="19.5" customHeight="1">
      <c r="A12" s="3"/>
      <c r="B12" s="7"/>
      <c r="C12" s="7"/>
      <c r="D12" s="7"/>
      <c r="E12" s="3"/>
      <c r="F12" s="3"/>
      <c r="G12" s="3"/>
      <c r="H12" s="3"/>
    </row>
    <row r="13" spans="1:13" ht="16.5" customHeight="1">
      <c r="A13" s="3"/>
      <c r="B13" s="150" t="s">
        <v>1</v>
      </c>
      <c r="C13" s="151"/>
      <c r="D13" s="152"/>
      <c r="E13" s="3"/>
      <c r="F13" s="3"/>
      <c r="G13" s="3"/>
      <c r="H13" s="3"/>
    </row>
    <row r="14" spans="1:13" ht="17" thickBot="1">
      <c r="A14" s="3"/>
      <c r="B14" s="5"/>
      <c r="C14" s="5"/>
      <c r="D14" s="5"/>
      <c r="E14" s="3"/>
      <c r="F14" s="3"/>
      <c r="G14" s="3"/>
      <c r="H14" s="3"/>
    </row>
    <row r="15" spans="1:13" ht="19" thickBot="1">
      <c r="A15" s="3"/>
      <c r="B15" s="143"/>
      <c r="C15" s="144"/>
      <c r="D15" s="144"/>
      <c r="E15" s="3"/>
      <c r="F15" s="3"/>
      <c r="G15" s="3"/>
      <c r="H15" s="3"/>
    </row>
    <row r="16" spans="1:13">
      <c r="A16" s="3"/>
      <c r="B16" s="3"/>
      <c r="C16" s="3"/>
      <c r="D16" s="3"/>
      <c r="E16" s="3"/>
      <c r="F16" s="3"/>
      <c r="G16" s="3"/>
      <c r="H16" s="3"/>
    </row>
    <row r="17" spans="1:8" hidden="1">
      <c r="A17" s="3"/>
      <c r="B17" s="3"/>
      <c r="C17" s="3"/>
      <c r="D17" s="3"/>
      <c r="E17" s="3"/>
      <c r="F17" s="3"/>
      <c r="G17" s="3"/>
      <c r="H17" s="3"/>
    </row>
    <row r="18" spans="1:8" hidden="1">
      <c r="A18" s="3"/>
      <c r="B18" s="3"/>
      <c r="C18" s="3"/>
      <c r="D18" s="3"/>
      <c r="E18" s="3"/>
      <c r="F18" s="3"/>
      <c r="G18" s="3"/>
      <c r="H18" s="3"/>
    </row>
    <row r="19" spans="1:8" hidden="1">
      <c r="A19" s="3"/>
      <c r="B19" s="3"/>
      <c r="C19" s="3"/>
      <c r="D19" s="3"/>
      <c r="E19" s="3"/>
      <c r="F19" s="3"/>
      <c r="G19" s="3"/>
      <c r="H19" s="3"/>
    </row>
    <row r="20" spans="1:8" hidden="1">
      <c r="A20" s="3"/>
      <c r="B20" s="3"/>
      <c r="C20" s="3"/>
      <c r="D20" s="3"/>
      <c r="E20" s="3"/>
      <c r="F20" s="3"/>
      <c r="G20" s="3"/>
      <c r="H20" s="3"/>
    </row>
    <row r="21" spans="1:8" hidden="1">
      <c r="A21" s="3"/>
      <c r="B21" s="3"/>
      <c r="C21" s="3"/>
      <c r="D21" s="3"/>
      <c r="E21" s="3"/>
      <c r="F21" s="3"/>
      <c r="G21" s="3"/>
      <c r="H21" s="3"/>
    </row>
    <row r="22" spans="1:8" hidden="1">
      <c r="A22" s="3"/>
      <c r="B22" s="3"/>
      <c r="C22" s="3"/>
      <c r="D22" s="3"/>
      <c r="E22" s="3"/>
      <c r="F22" s="3"/>
      <c r="G22" s="3"/>
      <c r="H22" s="3"/>
    </row>
    <row r="23" spans="1:8" hidden="1">
      <c r="A23" s="3"/>
      <c r="B23" s="3"/>
      <c r="C23" s="3"/>
      <c r="D23" s="3"/>
      <c r="E23" s="3"/>
      <c r="F23" s="3"/>
      <c r="G23" s="3"/>
      <c r="H23" s="3"/>
    </row>
    <row r="24" spans="1:8" hidden="1">
      <c r="A24" s="3"/>
      <c r="B24" s="3"/>
      <c r="C24" s="3"/>
      <c r="D24" s="3"/>
      <c r="E24" s="3"/>
      <c r="F24" s="3"/>
      <c r="G24" s="3"/>
      <c r="H24" s="3"/>
    </row>
    <row r="25" spans="1:8" hidden="1">
      <c r="A25" s="3"/>
    </row>
    <row r="26" spans="1:8" hidden="1">
      <c r="A26" s="3"/>
    </row>
    <row r="27" spans="1:8" hidden="1">
      <c r="A27" s="3"/>
    </row>
  </sheetData>
  <sheetProtection sheet="1" objects="1" scenarios="1"/>
  <mergeCells count="6">
    <mergeCell ref="B15:D15"/>
    <mergeCell ref="B2:D2"/>
    <mergeCell ref="B3:D3"/>
    <mergeCell ref="B4:D4"/>
    <mergeCell ref="B13:D13"/>
    <mergeCell ref="B11:D11"/>
  </mergeCells>
  <hyperlinks>
    <hyperlink ref="C9" r:id="rId1" xr:uid="{60F8126B-D46E-4ABD-986C-B44783A3E7CD}"/>
    <hyperlink ref="C7" r:id="rId2" xr:uid="{300DED1D-4F06-434C-AD94-7F2F434D14E3}"/>
  </hyperlinks>
  <pageMargins left="0.7" right="0.7" top="0.75" bottom="0.75" header="0.3" footer="0.3"/>
  <pageSetup scale="83" fitToHeight="0"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64766-5483-41F9-BAE9-B4AA5C1DA5B3}">
  <sheetPr codeName="Sheet2">
    <pageSetUpPr fitToPage="1"/>
  </sheetPr>
  <dimension ref="A1:K73"/>
  <sheetViews>
    <sheetView showGridLines="0" zoomScaleNormal="100" workbookViewId="0">
      <selection activeCell="H24" sqref="H24"/>
    </sheetView>
  </sheetViews>
  <sheetFormatPr defaultColWidth="0" defaultRowHeight="15.5" zeroHeight="1"/>
  <cols>
    <col min="1" max="1" width="1.33203125" style="1" customWidth="1"/>
    <col min="2" max="2" width="1.58203125" style="1" customWidth="1"/>
    <col min="3" max="3" width="30.83203125" style="1" customWidth="1"/>
    <col min="4" max="4" width="12.58203125" style="1" customWidth="1"/>
    <col min="5" max="5" width="11.58203125" style="1" customWidth="1"/>
    <col min="6" max="6" width="13.25" style="1" customWidth="1"/>
    <col min="7" max="7" width="16.58203125" style="1" customWidth="1"/>
    <col min="8" max="8" width="14.83203125" style="1" customWidth="1"/>
    <col min="9" max="9" width="8.33203125" style="1" customWidth="1"/>
    <col min="10" max="10" width="9" style="1" hidden="1" customWidth="1"/>
    <col min="11" max="11" width="10" style="1" hidden="1" customWidth="1"/>
    <col min="12" max="16384" width="9" style="1" hidden="1"/>
  </cols>
  <sheetData>
    <row r="1" spans="1:9" ht="21.75" customHeight="1">
      <c r="A1" s="54"/>
      <c r="B1" s="157" t="s">
        <v>84</v>
      </c>
      <c r="C1" s="158"/>
      <c r="D1" s="158"/>
      <c r="E1" s="158"/>
      <c r="F1" s="158"/>
      <c r="G1" s="159"/>
      <c r="H1" s="77"/>
      <c r="I1" s="54"/>
    </row>
    <row r="2" spans="1:9" ht="16" customHeight="1">
      <c r="A2" s="78"/>
      <c r="B2" s="79" t="s">
        <v>10</v>
      </c>
      <c r="C2" s="79"/>
      <c r="D2" s="79" t="s">
        <v>3</v>
      </c>
      <c r="E2" s="80" t="s">
        <v>4</v>
      </c>
      <c r="F2" s="80" t="s">
        <v>33</v>
      </c>
      <c r="G2" s="80" t="s">
        <v>34</v>
      </c>
      <c r="H2" s="81"/>
      <c r="I2" s="54"/>
    </row>
    <row r="3" spans="1:9" ht="16" customHeight="1">
      <c r="A3" s="78"/>
      <c r="B3" s="78" t="s">
        <v>85</v>
      </c>
      <c r="C3" s="78"/>
      <c r="D3" s="82" t="s">
        <v>6</v>
      </c>
      <c r="E3" s="83">
        <v>30000</v>
      </c>
      <c r="F3" s="84">
        <v>0.2</v>
      </c>
      <c r="G3" s="85">
        <f>E3*F3</f>
        <v>6000</v>
      </c>
      <c r="H3" s="78"/>
      <c r="I3" s="54"/>
    </row>
    <row r="4" spans="1:9" ht="16" customHeight="1">
      <c r="A4" s="78"/>
      <c r="B4" s="78"/>
      <c r="C4" s="86" t="s">
        <v>11</v>
      </c>
      <c r="D4" s="54"/>
      <c r="E4" s="78"/>
      <c r="F4" s="78"/>
      <c r="G4" s="87">
        <f>G3</f>
        <v>6000</v>
      </c>
      <c r="H4" s="78"/>
      <c r="I4" s="54"/>
    </row>
    <row r="5" spans="1:9" ht="16" customHeight="1">
      <c r="A5" s="78"/>
      <c r="B5" s="88" t="s">
        <v>12</v>
      </c>
      <c r="C5" s="88"/>
      <c r="D5" s="79" t="s">
        <v>3</v>
      </c>
      <c r="E5" s="80" t="s">
        <v>4</v>
      </c>
      <c r="F5" s="80" t="s">
        <v>33</v>
      </c>
      <c r="G5" s="80" t="s">
        <v>34</v>
      </c>
      <c r="H5" s="81"/>
      <c r="I5" s="54"/>
    </row>
    <row r="6" spans="1:9" ht="16" customHeight="1">
      <c r="A6" s="78"/>
      <c r="B6" s="78" t="s">
        <v>80</v>
      </c>
      <c r="C6" s="78"/>
      <c r="D6" s="82" t="s">
        <v>86</v>
      </c>
      <c r="E6" s="83">
        <v>2</v>
      </c>
      <c r="F6" s="84">
        <v>82.89</v>
      </c>
      <c r="G6" s="87">
        <f>E6*F6</f>
        <v>165.78</v>
      </c>
      <c r="H6" s="78"/>
      <c r="I6" s="54"/>
    </row>
    <row r="7" spans="1:9" ht="16" customHeight="1">
      <c r="A7" s="78"/>
      <c r="B7" s="78" t="s">
        <v>96</v>
      </c>
      <c r="C7" s="78"/>
      <c r="D7" s="82"/>
      <c r="E7" s="89"/>
      <c r="F7" s="90"/>
      <c r="G7" s="87"/>
      <c r="H7" s="78"/>
      <c r="I7" s="54"/>
    </row>
    <row r="8" spans="1:9" ht="16" customHeight="1">
      <c r="A8" s="78"/>
      <c r="B8" s="78"/>
      <c r="C8" s="78" t="s">
        <v>87</v>
      </c>
      <c r="D8" s="82" t="s">
        <v>6</v>
      </c>
      <c r="E8" s="83">
        <v>100</v>
      </c>
      <c r="F8" s="84">
        <v>0.45</v>
      </c>
      <c r="G8" s="87">
        <f t="shared" ref="G8:G17" si="0">E8*F8</f>
        <v>45</v>
      </c>
      <c r="H8" s="78"/>
      <c r="I8" s="54"/>
    </row>
    <row r="9" spans="1:9" ht="16" customHeight="1">
      <c r="A9" s="78"/>
      <c r="B9" s="78"/>
      <c r="C9" s="78" t="s">
        <v>88</v>
      </c>
      <c r="D9" s="82" t="s">
        <v>6</v>
      </c>
      <c r="E9" s="83">
        <v>80</v>
      </c>
      <c r="F9" s="84">
        <v>0.38</v>
      </c>
      <c r="G9" s="87">
        <f t="shared" si="0"/>
        <v>30.4</v>
      </c>
      <c r="H9" s="78"/>
      <c r="I9" s="54"/>
    </row>
    <row r="10" spans="1:9" ht="16" customHeight="1">
      <c r="A10" s="78"/>
      <c r="B10" s="78"/>
      <c r="C10" s="78" t="s">
        <v>89</v>
      </c>
      <c r="D10" s="82" t="s">
        <v>6</v>
      </c>
      <c r="E10" s="83">
        <v>150</v>
      </c>
      <c r="F10" s="84">
        <v>0.19</v>
      </c>
      <c r="G10" s="87">
        <f t="shared" si="0"/>
        <v>28.5</v>
      </c>
      <c r="H10" s="87"/>
      <c r="I10" s="54"/>
    </row>
    <row r="11" spans="1:9" ht="16" customHeight="1">
      <c r="A11" s="78"/>
      <c r="B11" s="78" t="s">
        <v>36</v>
      </c>
      <c r="C11" s="78"/>
      <c r="D11" s="82" t="s">
        <v>79</v>
      </c>
      <c r="E11" s="83">
        <v>1</v>
      </c>
      <c r="F11" s="84">
        <v>14.03</v>
      </c>
      <c r="G11" s="87">
        <f t="shared" si="0"/>
        <v>14.03</v>
      </c>
      <c r="H11" s="78"/>
      <c r="I11" s="54"/>
    </row>
    <row r="12" spans="1:9" ht="16" customHeight="1">
      <c r="A12" s="78"/>
      <c r="B12" s="78" t="s">
        <v>37</v>
      </c>
      <c r="C12" s="78"/>
      <c r="D12" s="82" t="s">
        <v>79</v>
      </c>
      <c r="E12" s="83">
        <v>1</v>
      </c>
      <c r="F12" s="84">
        <v>32.39</v>
      </c>
      <c r="G12" s="87">
        <f t="shared" si="0"/>
        <v>32.39</v>
      </c>
      <c r="H12" s="78"/>
      <c r="I12" s="54"/>
    </row>
    <row r="13" spans="1:9" ht="16" customHeight="1">
      <c r="A13" s="78"/>
      <c r="B13" s="78" t="s">
        <v>38</v>
      </c>
      <c r="C13" s="78"/>
      <c r="D13" s="82" t="s">
        <v>79</v>
      </c>
      <c r="E13" s="83">
        <v>1</v>
      </c>
      <c r="F13" s="84">
        <v>284.32</v>
      </c>
      <c r="G13" s="87">
        <f t="shared" si="0"/>
        <v>284.32</v>
      </c>
      <c r="H13" s="78"/>
      <c r="I13" s="54"/>
    </row>
    <row r="14" spans="1:9" ht="16" customHeight="1">
      <c r="A14" s="78"/>
      <c r="B14" s="78" t="s">
        <v>90</v>
      </c>
      <c r="C14" s="78"/>
      <c r="D14" s="82" t="s">
        <v>5</v>
      </c>
      <c r="E14" s="83">
        <v>1</v>
      </c>
      <c r="F14" s="84">
        <v>174.13</v>
      </c>
      <c r="G14" s="87">
        <f t="shared" si="0"/>
        <v>174.13</v>
      </c>
      <c r="H14" s="78"/>
      <c r="I14" s="54"/>
    </row>
    <row r="15" spans="1:9" ht="16" customHeight="1">
      <c r="A15" s="78"/>
      <c r="B15" s="78" t="s">
        <v>91</v>
      </c>
      <c r="C15" s="78"/>
      <c r="D15" s="82" t="s">
        <v>5</v>
      </c>
      <c r="E15" s="83">
        <v>1</v>
      </c>
      <c r="F15" s="84">
        <v>280.07</v>
      </c>
      <c r="G15" s="87">
        <f t="shared" si="0"/>
        <v>280.07</v>
      </c>
      <c r="H15" s="78"/>
      <c r="I15" s="54"/>
    </row>
    <row r="16" spans="1:9" ht="16" customHeight="1">
      <c r="A16" s="78"/>
      <c r="B16" s="78" t="s">
        <v>92</v>
      </c>
      <c r="C16" s="78"/>
      <c r="D16" s="82" t="s">
        <v>93</v>
      </c>
      <c r="E16" s="83">
        <v>1</v>
      </c>
      <c r="F16" s="84">
        <v>94.2</v>
      </c>
      <c r="G16" s="87">
        <f t="shared" si="0"/>
        <v>94.2</v>
      </c>
      <c r="H16" s="78"/>
      <c r="I16" s="54"/>
    </row>
    <row r="17" spans="1:11" ht="16" customHeight="1">
      <c r="A17" s="78"/>
      <c r="B17" s="78" t="s">
        <v>81</v>
      </c>
      <c r="C17" s="78"/>
      <c r="D17" s="82" t="s">
        <v>95</v>
      </c>
      <c r="E17" s="83">
        <v>42</v>
      </c>
      <c r="F17" s="84">
        <v>17.850000000000001</v>
      </c>
      <c r="G17" s="87">
        <f t="shared" si="0"/>
        <v>749.7</v>
      </c>
      <c r="H17" s="78"/>
      <c r="I17" s="54"/>
    </row>
    <row r="18" spans="1:11" ht="16" customHeight="1">
      <c r="A18" s="78"/>
      <c r="B18" s="78" t="s">
        <v>35</v>
      </c>
      <c r="C18" s="78"/>
      <c r="D18" s="82"/>
      <c r="E18" s="89"/>
      <c r="F18" s="78"/>
      <c r="G18" s="87"/>
      <c r="H18" s="78"/>
      <c r="I18" s="54"/>
      <c r="J18" s="2"/>
      <c r="K18" s="2"/>
    </row>
    <row r="19" spans="1:11" ht="16" customHeight="1">
      <c r="A19" s="78"/>
      <c r="B19" s="78"/>
      <c r="C19" s="78" t="s">
        <v>124</v>
      </c>
      <c r="D19" s="82" t="s">
        <v>40</v>
      </c>
      <c r="E19" s="83">
        <v>14</v>
      </c>
      <c r="F19" s="84">
        <v>18</v>
      </c>
      <c r="G19" s="87">
        <f>E19*F19</f>
        <v>252</v>
      </c>
      <c r="H19" s="78"/>
      <c r="I19" s="54"/>
      <c r="J19" s="2"/>
      <c r="K19" s="2"/>
    </row>
    <row r="20" spans="1:11" ht="16" customHeight="1">
      <c r="A20" s="78"/>
      <c r="B20" s="78"/>
      <c r="C20" s="78" t="s">
        <v>39</v>
      </c>
      <c r="D20" s="82" t="s">
        <v>40</v>
      </c>
      <c r="E20" s="83">
        <v>6</v>
      </c>
      <c r="F20" s="84">
        <v>18</v>
      </c>
      <c r="G20" s="87">
        <f>E20*F20</f>
        <v>108</v>
      </c>
      <c r="H20" s="78"/>
      <c r="I20" s="54"/>
      <c r="J20" s="2"/>
      <c r="K20" s="2"/>
    </row>
    <row r="21" spans="1:11" ht="16" customHeight="1">
      <c r="A21" s="78"/>
      <c r="B21" s="78"/>
      <c r="C21" s="92" t="s">
        <v>94</v>
      </c>
      <c r="D21" s="82" t="s">
        <v>40</v>
      </c>
      <c r="E21" s="110">
        <v>86</v>
      </c>
      <c r="F21" s="84">
        <v>18</v>
      </c>
      <c r="G21" s="87">
        <f>E21*F21</f>
        <v>1548</v>
      </c>
      <c r="H21" s="78"/>
      <c r="I21" s="54"/>
      <c r="J21" s="2"/>
      <c r="K21" s="2"/>
    </row>
    <row r="22" spans="1:11" ht="16" customHeight="1">
      <c r="A22" s="78"/>
      <c r="B22" s="54"/>
      <c r="C22" s="78" t="s">
        <v>97</v>
      </c>
      <c r="D22" s="82" t="s">
        <v>40</v>
      </c>
      <c r="E22" s="83">
        <v>10</v>
      </c>
      <c r="F22" s="84">
        <v>18</v>
      </c>
      <c r="G22" s="87">
        <f>E22*F22</f>
        <v>180</v>
      </c>
      <c r="H22" s="78"/>
      <c r="I22" s="54"/>
      <c r="J22" s="2"/>
      <c r="K22" s="2"/>
    </row>
    <row r="23" spans="1:11" ht="16" customHeight="1">
      <c r="A23" s="78"/>
      <c r="B23" s="111" t="s">
        <v>41</v>
      </c>
      <c r="C23" s="111"/>
      <c r="D23" s="82" t="s">
        <v>5</v>
      </c>
      <c r="E23" s="89"/>
      <c r="F23" s="91"/>
      <c r="G23" s="87">
        <f>G54</f>
        <v>259.61</v>
      </c>
      <c r="H23" s="78"/>
      <c r="I23" s="54"/>
      <c r="J23" s="2"/>
      <c r="K23" s="2"/>
    </row>
    <row r="24" spans="1:11" ht="16" customHeight="1">
      <c r="A24" s="78"/>
      <c r="B24" s="111" t="s">
        <v>103</v>
      </c>
      <c r="C24" s="111"/>
      <c r="D24" s="82" t="s">
        <v>104</v>
      </c>
      <c r="E24" s="83">
        <v>0</v>
      </c>
      <c r="F24" s="84">
        <v>0</v>
      </c>
      <c r="G24" s="87">
        <f>E24*F24</f>
        <v>0</v>
      </c>
      <c r="H24" s="78"/>
      <c r="I24" s="54"/>
      <c r="J24" s="2"/>
      <c r="K24" s="2"/>
    </row>
    <row r="25" spans="1:11" ht="16" customHeight="1">
      <c r="A25" s="78"/>
      <c r="B25" s="111" t="s">
        <v>105</v>
      </c>
      <c r="C25" s="111"/>
      <c r="D25" s="82" t="s">
        <v>40</v>
      </c>
      <c r="E25" s="83">
        <v>90</v>
      </c>
      <c r="F25" s="84">
        <v>0.49</v>
      </c>
      <c r="G25" s="87">
        <f>E25*F25</f>
        <v>44.1</v>
      </c>
      <c r="H25" s="78"/>
      <c r="I25" s="54"/>
      <c r="J25" s="2"/>
      <c r="K25" s="2"/>
    </row>
    <row r="26" spans="1:11" ht="16" customHeight="1">
      <c r="A26" s="78"/>
      <c r="B26" s="111" t="s">
        <v>106</v>
      </c>
      <c r="C26" s="111"/>
      <c r="D26" s="82" t="s">
        <v>5</v>
      </c>
      <c r="E26" s="107"/>
      <c r="F26" s="108"/>
      <c r="G26" s="123">
        <f>H64</f>
        <v>174.232</v>
      </c>
      <c r="H26" s="78"/>
      <c r="I26" s="54"/>
      <c r="J26" s="2"/>
      <c r="K26" s="2"/>
    </row>
    <row r="27" spans="1:11" ht="16" customHeight="1">
      <c r="A27" s="78"/>
      <c r="B27" s="92" t="s">
        <v>82</v>
      </c>
      <c r="C27" s="78"/>
      <c r="D27" s="93" t="s">
        <v>28</v>
      </c>
      <c r="E27" s="94">
        <f>G4</f>
        <v>6000</v>
      </c>
      <c r="F27" s="95">
        <v>0.1</v>
      </c>
      <c r="G27" s="87">
        <f>E27*F27</f>
        <v>600</v>
      </c>
      <c r="H27" s="78"/>
      <c r="I27" s="54"/>
    </row>
    <row r="28" spans="1:11" ht="16" customHeight="1">
      <c r="A28" s="54"/>
      <c r="B28" s="92" t="s">
        <v>29</v>
      </c>
      <c r="C28" s="97"/>
      <c r="D28" s="82" t="s">
        <v>7</v>
      </c>
      <c r="E28" s="83">
        <v>6</v>
      </c>
      <c r="F28" s="98">
        <v>7.7499999999999999E-2</v>
      </c>
      <c r="G28" s="85">
        <f>(SUM(G6:G27))*F28*(E28/12)</f>
        <v>196.24790250000001</v>
      </c>
      <c r="H28" s="78"/>
      <c r="I28" s="54"/>
    </row>
    <row r="29" spans="1:11" ht="16" customHeight="1">
      <c r="A29" s="54"/>
      <c r="B29" s="54"/>
      <c r="C29" s="86" t="s">
        <v>13</v>
      </c>
      <c r="D29" s="82"/>
      <c r="E29" s="99"/>
      <c r="F29" s="78"/>
      <c r="G29" s="87">
        <f>SUM(G6:G28)</f>
        <v>5260.7099025000007</v>
      </c>
      <c r="H29" s="87"/>
      <c r="I29" s="54"/>
    </row>
    <row r="30" spans="1:11" ht="16" customHeight="1">
      <c r="A30" s="54"/>
      <c r="B30" s="88" t="s">
        <v>14</v>
      </c>
      <c r="C30" s="88"/>
      <c r="D30" s="100" t="s">
        <v>3</v>
      </c>
      <c r="E30" s="101"/>
      <c r="F30" s="101"/>
      <c r="G30" s="101" t="s">
        <v>60</v>
      </c>
      <c r="H30" s="81"/>
      <c r="I30" s="54"/>
    </row>
    <row r="31" spans="1:11" ht="16" customHeight="1">
      <c r="A31" s="54"/>
      <c r="B31" s="78" t="s">
        <v>42</v>
      </c>
      <c r="C31" s="78"/>
      <c r="D31" s="82" t="s">
        <v>5</v>
      </c>
      <c r="E31" s="78"/>
      <c r="F31" s="78"/>
      <c r="G31" s="96">
        <v>185</v>
      </c>
      <c r="H31" s="78"/>
      <c r="I31" s="54"/>
    </row>
    <row r="32" spans="1:11" ht="16" customHeight="1">
      <c r="A32" s="54"/>
      <c r="B32" s="78" t="s">
        <v>71</v>
      </c>
      <c r="C32" s="78"/>
      <c r="D32" s="82" t="s">
        <v>5</v>
      </c>
      <c r="E32" s="78"/>
      <c r="F32" s="78"/>
      <c r="G32" s="87">
        <f>H54</f>
        <v>142.92000000000002</v>
      </c>
      <c r="H32" s="78"/>
      <c r="I32" s="54"/>
    </row>
    <row r="33" spans="1:9" ht="16" customHeight="1">
      <c r="A33" s="54"/>
      <c r="B33" s="78" t="s">
        <v>72</v>
      </c>
      <c r="C33" s="78"/>
      <c r="D33" s="82" t="s">
        <v>5</v>
      </c>
      <c r="E33" s="78"/>
      <c r="F33" s="78"/>
      <c r="G33" s="85">
        <f>E64</f>
        <v>251.16000000000003</v>
      </c>
      <c r="H33" s="78"/>
      <c r="I33" s="54"/>
    </row>
    <row r="34" spans="1:9" ht="16" customHeight="1">
      <c r="A34" s="54"/>
      <c r="B34" s="54"/>
      <c r="C34" s="86" t="s">
        <v>15</v>
      </c>
      <c r="D34" s="54"/>
      <c r="E34" s="78"/>
      <c r="F34" s="78"/>
      <c r="G34" s="87">
        <f>SUM(G31:G33)</f>
        <v>579.08000000000004</v>
      </c>
      <c r="H34" s="78"/>
      <c r="I34" s="54"/>
    </row>
    <row r="35" spans="1:9" ht="16" customHeight="1">
      <c r="A35" s="54"/>
      <c r="B35" s="56"/>
      <c r="C35" s="86" t="s">
        <v>8</v>
      </c>
      <c r="D35" s="56"/>
      <c r="E35" s="78"/>
      <c r="F35" s="78"/>
      <c r="G35" s="87">
        <f>G29+G34</f>
        <v>5839.7899025000006</v>
      </c>
      <c r="H35" s="87"/>
      <c r="I35" s="54"/>
    </row>
    <row r="36" spans="1:9" ht="16" customHeight="1">
      <c r="A36" s="54"/>
      <c r="B36" s="112" t="s">
        <v>16</v>
      </c>
      <c r="C36" s="112"/>
      <c r="D36" s="112"/>
      <c r="E36" s="102"/>
      <c r="F36" s="102"/>
      <c r="G36" s="103">
        <f>G4-G29</f>
        <v>739.29009749999932</v>
      </c>
      <c r="H36" s="87"/>
      <c r="I36" s="54"/>
    </row>
    <row r="37" spans="1:9" ht="16" customHeight="1">
      <c r="A37" s="54"/>
      <c r="B37" s="142" t="s">
        <v>126</v>
      </c>
      <c r="C37" s="142"/>
      <c r="D37" s="142"/>
      <c r="E37" s="78"/>
      <c r="F37" s="78"/>
      <c r="G37" s="87">
        <f>G4-(G35-SUM(G19:G22,G31))</f>
        <v>2433.2100974999994</v>
      </c>
      <c r="H37" s="87"/>
      <c r="I37" s="54"/>
    </row>
    <row r="38" spans="1:9" ht="16" customHeight="1" thickBot="1">
      <c r="A38" s="54"/>
      <c r="B38" s="113" t="s">
        <v>9</v>
      </c>
      <c r="C38" s="113"/>
      <c r="D38" s="113"/>
      <c r="E38" s="104"/>
      <c r="F38" s="104"/>
      <c r="G38" s="105">
        <f>G4-G35</f>
        <v>160.21009749999939</v>
      </c>
      <c r="H38" s="87"/>
      <c r="I38" s="54"/>
    </row>
    <row r="39" spans="1:9" ht="16" thickTop="1">
      <c r="A39" s="54"/>
      <c r="B39" s="156" t="s">
        <v>73</v>
      </c>
      <c r="C39" s="156"/>
      <c r="D39" s="156"/>
      <c r="E39" s="156"/>
      <c r="F39" s="156"/>
      <c r="G39" s="156"/>
      <c r="H39" s="106"/>
      <c r="I39" s="54"/>
    </row>
    <row r="40" spans="1:9">
      <c r="A40" s="54"/>
      <c r="B40" s="155" t="s">
        <v>74</v>
      </c>
      <c r="C40" s="155"/>
      <c r="D40" s="155"/>
      <c r="E40" s="155"/>
      <c r="F40" s="155"/>
      <c r="G40" s="155"/>
      <c r="H40" s="54"/>
      <c r="I40" s="54"/>
    </row>
    <row r="41" spans="1:9" ht="16" customHeight="1">
      <c r="A41" s="54"/>
      <c r="B41" s="54"/>
      <c r="C41" s="55"/>
      <c r="D41" s="54"/>
      <c r="E41" s="54"/>
      <c r="F41" s="54"/>
      <c r="G41" s="54"/>
      <c r="H41" s="54"/>
      <c r="I41" s="54"/>
    </row>
    <row r="42" spans="1:9" ht="16" customHeight="1">
      <c r="A42" s="54"/>
      <c r="B42" s="56" t="s">
        <v>101</v>
      </c>
      <c r="C42" s="56"/>
      <c r="D42" s="56"/>
      <c r="E42" s="56"/>
      <c r="F42" s="57"/>
      <c r="G42" s="57"/>
      <c r="H42" s="56"/>
      <c r="I42" s="54"/>
    </row>
    <row r="43" spans="1:9" ht="16" customHeight="1">
      <c r="A43" s="54"/>
      <c r="B43" s="54"/>
      <c r="C43" s="54" t="s">
        <v>43</v>
      </c>
      <c r="D43" s="54" t="s">
        <v>52</v>
      </c>
      <c r="E43" s="58" t="s">
        <v>44</v>
      </c>
      <c r="F43" s="59" t="s">
        <v>35</v>
      </c>
      <c r="G43" s="59" t="s">
        <v>75</v>
      </c>
      <c r="H43" s="58" t="s">
        <v>76</v>
      </c>
      <c r="I43" s="54"/>
    </row>
    <row r="44" spans="1:9" ht="16" customHeight="1">
      <c r="A44" s="54"/>
      <c r="B44" s="56"/>
      <c r="C44" s="56"/>
      <c r="D44" s="56"/>
      <c r="E44" s="56"/>
      <c r="F44" s="60" t="s">
        <v>58</v>
      </c>
      <c r="G44" s="60" t="s">
        <v>45</v>
      </c>
      <c r="H44" s="61" t="s">
        <v>45</v>
      </c>
      <c r="I44" s="54"/>
    </row>
    <row r="45" spans="1:9" ht="16" customHeight="1">
      <c r="A45" s="54"/>
      <c r="B45" s="54"/>
      <c r="C45" s="62" t="s">
        <v>63</v>
      </c>
      <c r="D45" s="62" t="s">
        <v>46</v>
      </c>
      <c r="E45" s="62">
        <v>1</v>
      </c>
      <c r="F45" s="109">
        <v>0.22</v>
      </c>
      <c r="G45" s="63">
        <v>6.12</v>
      </c>
      <c r="H45" s="64">
        <v>2.76</v>
      </c>
      <c r="I45" s="54"/>
    </row>
    <row r="46" spans="1:9" ht="16" customHeight="1">
      <c r="A46" s="54"/>
      <c r="B46" s="54"/>
      <c r="C46" s="62" t="s">
        <v>47</v>
      </c>
      <c r="D46" s="62" t="s">
        <v>46</v>
      </c>
      <c r="E46" s="62">
        <v>2</v>
      </c>
      <c r="F46" s="65">
        <v>0.19800000000000001</v>
      </c>
      <c r="G46" s="66">
        <v>12.02</v>
      </c>
      <c r="H46" s="66">
        <v>3.68</v>
      </c>
      <c r="I46" s="54"/>
    </row>
    <row r="47" spans="1:9" ht="16" customHeight="1">
      <c r="A47" s="54"/>
      <c r="B47" s="54"/>
      <c r="C47" s="62" t="s">
        <v>61</v>
      </c>
      <c r="D47" s="62" t="s">
        <v>46</v>
      </c>
      <c r="E47" s="62">
        <v>1</v>
      </c>
      <c r="F47" s="62">
        <v>0.08</v>
      </c>
      <c r="G47" s="67">
        <v>1.93</v>
      </c>
      <c r="H47" s="67">
        <v>0.83</v>
      </c>
      <c r="I47" s="54"/>
    </row>
    <row r="48" spans="1:9" ht="16" customHeight="1">
      <c r="A48" s="54"/>
      <c r="B48" s="54"/>
      <c r="C48" s="62" t="s">
        <v>64</v>
      </c>
      <c r="D48" s="62" t="s">
        <v>46</v>
      </c>
      <c r="E48" s="62">
        <v>1</v>
      </c>
      <c r="F48" s="62">
        <v>0.21</v>
      </c>
      <c r="G48" s="67">
        <v>7.44</v>
      </c>
      <c r="H48" s="67">
        <v>3.7</v>
      </c>
      <c r="I48" s="54"/>
    </row>
    <row r="49" spans="1:10" ht="16" customHeight="1">
      <c r="A49" s="54"/>
      <c r="B49" s="54"/>
      <c r="C49" s="62" t="s">
        <v>65</v>
      </c>
      <c r="D49" s="62" t="s">
        <v>46</v>
      </c>
      <c r="E49" s="62">
        <v>1</v>
      </c>
      <c r="F49" s="68">
        <v>1.47</v>
      </c>
      <c r="G49" s="63">
        <v>44.15</v>
      </c>
      <c r="H49" s="66">
        <v>20.38</v>
      </c>
      <c r="I49" s="54"/>
    </row>
    <row r="50" spans="1:10" ht="16" customHeight="1">
      <c r="A50" s="54"/>
      <c r="B50" s="54"/>
      <c r="C50" s="62" t="s">
        <v>66</v>
      </c>
      <c r="D50" s="62" t="s">
        <v>46</v>
      </c>
      <c r="E50" s="62">
        <v>1</v>
      </c>
      <c r="F50" s="65">
        <v>0.19</v>
      </c>
      <c r="G50" s="66">
        <v>5.35</v>
      </c>
      <c r="H50" s="66">
        <v>2.5299999999999998</v>
      </c>
      <c r="I50" s="54"/>
    </row>
    <row r="51" spans="1:10" ht="16" customHeight="1">
      <c r="A51" s="54"/>
      <c r="B51" s="54"/>
      <c r="C51" s="62" t="s">
        <v>67</v>
      </c>
      <c r="D51" s="62" t="s">
        <v>46</v>
      </c>
      <c r="E51" s="62">
        <v>4</v>
      </c>
      <c r="F51" s="65">
        <v>0.25</v>
      </c>
      <c r="G51" s="66">
        <v>39.6</v>
      </c>
      <c r="H51" s="66">
        <v>24.46</v>
      </c>
      <c r="I51" s="54"/>
    </row>
    <row r="52" spans="1:10" ht="16" customHeight="1">
      <c r="A52" s="54"/>
      <c r="B52" s="54"/>
      <c r="C52" s="62" t="s">
        <v>68</v>
      </c>
      <c r="D52" s="62" t="s">
        <v>46</v>
      </c>
      <c r="E52" s="62">
        <v>1</v>
      </c>
      <c r="F52" s="65">
        <v>0.19</v>
      </c>
      <c r="G52" s="66">
        <v>10.31</v>
      </c>
      <c r="H52" s="66">
        <v>6.81</v>
      </c>
      <c r="I52" s="54"/>
    </row>
    <row r="53" spans="1:10" ht="16" customHeight="1">
      <c r="A53" s="54"/>
      <c r="B53" s="56"/>
      <c r="C53" s="69" t="s">
        <v>69</v>
      </c>
      <c r="D53" s="69" t="s">
        <v>46</v>
      </c>
      <c r="E53" s="69">
        <v>1</v>
      </c>
      <c r="F53" s="70">
        <v>0.09</v>
      </c>
      <c r="G53" s="71">
        <v>1.87</v>
      </c>
      <c r="H53" s="71">
        <v>0.71</v>
      </c>
      <c r="I53" s="54"/>
    </row>
    <row r="54" spans="1:10" ht="16" customHeight="1">
      <c r="A54" s="54"/>
      <c r="B54" s="54"/>
      <c r="C54" s="54"/>
      <c r="D54" s="54"/>
      <c r="E54" s="58" t="s">
        <v>56</v>
      </c>
      <c r="F54" s="72">
        <f>SUMPRODUCT($E$45:$E$53,F45:F53)</f>
        <v>3.8459999999999996</v>
      </c>
      <c r="G54" s="73">
        <f>SUMPRODUCT($E$45:$E$53,G45:G53)</f>
        <v>259.61</v>
      </c>
      <c r="H54" s="73">
        <f>SUMPRODUCT($E$45:$E$53,H45:H53)</f>
        <v>142.92000000000002</v>
      </c>
      <c r="I54" s="54"/>
    </row>
    <row r="55" spans="1:10" ht="16" customHeight="1">
      <c r="A55" s="54"/>
      <c r="B55" s="54"/>
      <c r="C55" s="74" t="s">
        <v>77</v>
      </c>
      <c r="D55" s="54"/>
      <c r="E55" s="54"/>
      <c r="F55" s="72"/>
      <c r="G55" s="73"/>
      <c r="H55" s="73"/>
      <c r="I55" s="54"/>
    </row>
    <row r="56" spans="1:10" ht="16" customHeight="1">
      <c r="A56" s="54"/>
      <c r="B56" s="54"/>
      <c r="C56" s="74" t="s">
        <v>78</v>
      </c>
      <c r="D56" s="54"/>
      <c r="E56" s="54"/>
      <c r="F56" s="72"/>
      <c r="G56" s="73"/>
      <c r="H56" s="73"/>
      <c r="I56" s="54"/>
    </row>
    <row r="57" spans="1:10" ht="16" customHeight="1">
      <c r="A57" s="54"/>
      <c r="B57" s="54"/>
      <c r="C57" s="54"/>
      <c r="D57" s="54"/>
      <c r="E57" s="54"/>
      <c r="F57" s="54"/>
      <c r="G57" s="54"/>
      <c r="H57" s="54"/>
      <c r="I57" s="54"/>
    </row>
    <row r="58" spans="1:10" ht="16" customHeight="1">
      <c r="A58" s="54"/>
      <c r="B58" s="56" t="s">
        <v>102</v>
      </c>
      <c r="C58" s="56"/>
      <c r="D58" s="54"/>
      <c r="E58" s="54"/>
      <c r="F58" s="54"/>
      <c r="G58" s="54"/>
      <c r="H58" s="54"/>
      <c r="I58" s="54"/>
    </row>
    <row r="59" spans="1:10" ht="31" customHeight="1">
      <c r="A59" s="54"/>
      <c r="B59" s="54"/>
      <c r="C59" s="54" t="s">
        <v>43</v>
      </c>
      <c r="D59" s="75" t="s">
        <v>53</v>
      </c>
      <c r="E59" s="131" t="s">
        <v>107</v>
      </c>
      <c r="F59" s="76" t="s">
        <v>55</v>
      </c>
      <c r="G59" s="76" t="s">
        <v>54</v>
      </c>
      <c r="H59" s="76" t="s">
        <v>57</v>
      </c>
      <c r="I59" s="76" t="s">
        <v>48</v>
      </c>
      <c r="J59" s="54"/>
    </row>
    <row r="60" spans="1:10" ht="16" customHeight="1">
      <c r="A60" s="54"/>
      <c r="B60" s="56"/>
      <c r="C60" s="56"/>
      <c r="D60" s="61" t="s">
        <v>49</v>
      </c>
      <c r="E60" s="61" t="s">
        <v>108</v>
      </c>
      <c r="F60" s="61" t="s">
        <v>50</v>
      </c>
      <c r="G60" s="61" t="s">
        <v>51</v>
      </c>
      <c r="H60" s="61" t="s">
        <v>7</v>
      </c>
      <c r="I60" s="61" t="s">
        <v>7</v>
      </c>
      <c r="J60" s="54"/>
    </row>
    <row r="61" spans="1:10" ht="16" customHeight="1">
      <c r="A61" s="54"/>
      <c r="B61" s="75"/>
      <c r="C61" s="119" t="s">
        <v>109</v>
      </c>
      <c r="D61" s="120">
        <v>3029</v>
      </c>
      <c r="E61" s="124">
        <v>0.2</v>
      </c>
      <c r="F61" s="119">
        <v>5</v>
      </c>
      <c r="G61" s="121">
        <v>0</v>
      </c>
      <c r="H61" s="121">
        <v>0.04</v>
      </c>
      <c r="I61" s="128">
        <v>7.7499999999999999E-2</v>
      </c>
      <c r="J61" s="54"/>
    </row>
    <row r="62" spans="1:10" ht="16" customHeight="1">
      <c r="A62" s="54"/>
      <c r="B62" s="54"/>
      <c r="C62" s="62" t="s">
        <v>110</v>
      </c>
      <c r="D62" s="66">
        <v>400</v>
      </c>
      <c r="E62" s="126">
        <v>1</v>
      </c>
      <c r="F62" s="62">
        <v>5</v>
      </c>
      <c r="G62" s="127">
        <v>0</v>
      </c>
      <c r="H62" s="127">
        <v>0</v>
      </c>
      <c r="I62" s="129">
        <v>7.7499999999999999E-2</v>
      </c>
      <c r="J62" s="54"/>
    </row>
    <row r="63" spans="1:10" ht="16" customHeight="1">
      <c r="A63" s="54"/>
      <c r="B63" s="56"/>
      <c r="C63" s="69" t="s">
        <v>111</v>
      </c>
      <c r="D63" s="71">
        <v>30000</v>
      </c>
      <c r="E63" s="125">
        <v>0.05</v>
      </c>
      <c r="F63" s="69">
        <v>30</v>
      </c>
      <c r="G63" s="122">
        <v>0</v>
      </c>
      <c r="H63" s="122">
        <v>0.01</v>
      </c>
      <c r="I63" s="130">
        <v>7.7499999999999999E-2</v>
      </c>
      <c r="J63" s="54"/>
    </row>
    <row r="64" spans="1:10" ht="16" customHeight="1">
      <c r="A64" s="54"/>
      <c r="B64" s="54"/>
      <c r="C64" s="135" t="s">
        <v>112</v>
      </c>
      <c r="D64" s="136"/>
      <c r="E64" s="137">
        <f>((D61*E61)/F61+(D62*E62)/F62+(D63*E63)/F63)</f>
        <v>251.16000000000003</v>
      </c>
      <c r="F64" s="138"/>
      <c r="G64" s="139"/>
      <c r="H64" s="140">
        <f>((D61+(D61*G61)/2)*E61)*H61+((D62+(D62*G62)/2)*E62)*H62+((D63+(D63*G63)*E63)/2)*H63</f>
        <v>174.232</v>
      </c>
      <c r="I64" s="141"/>
      <c r="J64" s="54"/>
    </row>
    <row r="65" spans="1:9" ht="34.5" customHeight="1">
      <c r="A65" s="54"/>
      <c r="B65" s="54"/>
      <c r="C65" s="154" t="s">
        <v>125</v>
      </c>
      <c r="D65" s="154"/>
      <c r="E65" s="154"/>
      <c r="F65" s="154"/>
      <c r="G65" s="154"/>
      <c r="H65" s="154"/>
      <c r="I65" s="154"/>
    </row>
    <row r="66" spans="1:9" hidden="1">
      <c r="A66" s="54"/>
      <c r="B66" s="54"/>
      <c r="C66" s="54"/>
      <c r="D66" s="54"/>
      <c r="E66" s="54"/>
      <c r="F66" s="54"/>
      <c r="G66" s="54"/>
      <c r="H66" s="54"/>
      <c r="I66" s="54"/>
    </row>
    <row r="67" spans="1:9" hidden="1">
      <c r="A67" s="54"/>
      <c r="B67" s="54"/>
      <c r="C67" s="54"/>
      <c r="D67" s="54"/>
      <c r="E67" s="54"/>
      <c r="F67" s="54"/>
      <c r="G67" s="54"/>
      <c r="H67" s="54"/>
      <c r="I67" s="54"/>
    </row>
    <row r="68" spans="1:9" hidden="1">
      <c r="A68" s="54"/>
      <c r="B68" s="54"/>
      <c r="C68" s="54"/>
      <c r="D68" s="54"/>
      <c r="E68" s="54"/>
      <c r="F68" s="54"/>
      <c r="G68" s="54"/>
      <c r="H68" s="54"/>
      <c r="I68" s="54"/>
    </row>
    <row r="69" spans="1:9" hidden="1">
      <c r="A69" s="54"/>
      <c r="B69" s="54"/>
      <c r="C69" s="54"/>
      <c r="D69" s="54"/>
      <c r="E69" s="54"/>
      <c r="F69" s="54"/>
      <c r="G69" s="54"/>
      <c r="H69" s="54"/>
      <c r="I69" s="54"/>
    </row>
    <row r="70" spans="1:9" hidden="1">
      <c r="A70" s="54"/>
      <c r="B70" s="54"/>
      <c r="C70" s="54"/>
      <c r="D70" s="54"/>
      <c r="E70" s="54"/>
      <c r="F70" s="54"/>
      <c r="G70" s="54"/>
      <c r="H70" s="54"/>
      <c r="I70" s="54"/>
    </row>
    <row r="71" spans="1:9" hidden="1">
      <c r="A71" s="54"/>
      <c r="B71" s="54"/>
      <c r="C71" s="54"/>
      <c r="D71" s="54"/>
      <c r="E71" s="54"/>
      <c r="F71" s="54"/>
      <c r="G71" s="54"/>
      <c r="H71" s="54"/>
      <c r="I71" s="54"/>
    </row>
    <row r="72" spans="1:9" hidden="1">
      <c r="A72" s="54"/>
      <c r="B72" s="54"/>
      <c r="C72" s="54"/>
      <c r="D72" s="54"/>
      <c r="E72" s="54"/>
      <c r="F72" s="54"/>
      <c r="G72" s="54"/>
      <c r="H72" s="54"/>
      <c r="I72" s="54"/>
    </row>
    <row r="73" spans="1:9" hidden="1">
      <c r="A73" s="54"/>
      <c r="B73" s="54"/>
      <c r="C73" s="54"/>
      <c r="D73" s="54"/>
      <c r="E73" s="54"/>
      <c r="F73" s="54"/>
      <c r="G73" s="54"/>
      <c r="H73" s="54"/>
      <c r="I73" s="54"/>
    </row>
  </sheetData>
  <sheetProtection sheet="1" objects="1" scenarios="1"/>
  <protectedRanges>
    <protectedRange sqref="F28" name="interest rate"/>
    <protectedRange sqref="C61:I63" name="Range16"/>
    <protectedRange sqref="C45:H53" name="Range15"/>
    <protectedRange sqref="G31" name="land"/>
    <protectedRange sqref="E28" name="interest on operating capital"/>
    <protectedRange sqref="E3:F3" name="Range3"/>
    <protectedRange sqref="E6:F6" name="Range4"/>
    <protectedRange sqref="E8:F10" name="Range5"/>
    <protectedRange sqref="F19:F21" name="Range10"/>
    <protectedRange sqref="E22:F22" name="Range11"/>
    <protectedRange sqref="E26:F26" name="Range12"/>
    <protectedRange sqref="F27" name="Marketing"/>
  </protectedRanges>
  <mergeCells count="4">
    <mergeCell ref="C65:I65"/>
    <mergeCell ref="B40:G40"/>
    <mergeCell ref="B39:G39"/>
    <mergeCell ref="B1:G1"/>
  </mergeCells>
  <conditionalFormatting sqref="E2">
    <cfRule type="expression" dxfId="4" priority="2">
      <formula>#REF!="no"</formula>
    </cfRule>
  </conditionalFormatting>
  <conditionalFormatting sqref="E5">
    <cfRule type="expression" dxfId="3" priority="1">
      <formula>#REF!="no"</formula>
    </cfRule>
  </conditionalFormatting>
  <hyperlinks>
    <hyperlink ref="B40:G40" r:id="rId1" display="Access online at muext.us/MissouriAgBudgets. " xr:uid="{B5FABBEC-3CA2-4F86-911E-45FB42CC7429}"/>
  </hyperlinks>
  <pageMargins left="0.7" right="0.7" top="0.75" bottom="0.75" header="0.3" footer="0.3"/>
  <pageSetup scale="81" orientation="portrait" r:id="rId2"/>
  <ignoredErrors>
    <ignoredError sqref="E27"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95F7E-0FF1-4027-B3F0-598DF36CC945}">
  <sheetPr codeName="Sheet3">
    <pageSetUpPr fitToPage="1"/>
  </sheetPr>
  <dimension ref="A1:L36"/>
  <sheetViews>
    <sheetView workbookViewId="0">
      <selection activeCell="B1" sqref="B1:K1"/>
    </sheetView>
  </sheetViews>
  <sheetFormatPr defaultColWidth="0" defaultRowHeight="14.5" zeroHeight="1"/>
  <cols>
    <col min="1" max="1" width="3.08203125" customWidth="1"/>
    <col min="2" max="2" width="8.58203125" customWidth="1"/>
    <col min="3" max="3" width="10.08203125" customWidth="1"/>
    <col min="4" max="4" width="10.33203125" customWidth="1"/>
    <col min="5" max="5" width="11.83203125" customWidth="1"/>
    <col min="6" max="6" width="9.75" bestFit="1" customWidth="1"/>
    <col min="7" max="7" width="9.08203125" bestFit="1" customWidth="1"/>
    <col min="8" max="8" width="9.83203125" customWidth="1"/>
    <col min="9" max="9" width="11" customWidth="1"/>
    <col min="10" max="10" width="10" bestFit="1" customWidth="1"/>
    <col min="11" max="11" width="10.08203125" customWidth="1"/>
    <col min="12" max="12" width="3.08203125" customWidth="1"/>
    <col min="13" max="16384" width="8.58203125" hidden="1"/>
  </cols>
  <sheetData>
    <row r="1" spans="1:12" ht="16">
      <c r="A1" s="5"/>
      <c r="B1" s="160" t="s">
        <v>127</v>
      </c>
      <c r="C1" s="160"/>
      <c r="D1" s="160"/>
      <c r="E1" s="160"/>
      <c r="F1" s="160"/>
      <c r="G1" s="160"/>
      <c r="H1" s="160"/>
      <c r="I1" s="160"/>
      <c r="J1" s="160"/>
      <c r="K1" s="160"/>
      <c r="L1" s="5"/>
    </row>
    <row r="2" spans="1:12" ht="50.5" customHeight="1">
      <c r="A2" s="5"/>
      <c r="B2" s="167" t="s">
        <v>130</v>
      </c>
      <c r="C2" s="167"/>
      <c r="D2" s="167"/>
      <c r="E2" s="167"/>
      <c r="F2" s="167"/>
      <c r="G2" s="167"/>
      <c r="H2" s="167"/>
      <c r="I2" s="167"/>
      <c r="J2" s="167"/>
      <c r="K2" s="167"/>
      <c r="L2" s="5"/>
    </row>
    <row r="3" spans="1:12" ht="16.5" customHeight="1">
      <c r="A3" s="5"/>
      <c r="B3" s="22"/>
      <c r="C3" s="23"/>
      <c r="D3" s="34"/>
      <c r="E3" s="116"/>
      <c r="F3" s="117" t="s">
        <v>99</v>
      </c>
      <c r="G3" s="117" t="str">
        <f>Budget!D3</f>
        <v>pound</v>
      </c>
      <c r="H3" s="114" t="s">
        <v>98</v>
      </c>
      <c r="I3" s="116"/>
      <c r="J3" s="114"/>
      <c r="K3" s="115"/>
      <c r="L3" s="5"/>
    </row>
    <row r="4" spans="1:12" ht="16.5" customHeight="1">
      <c r="A4" s="5"/>
      <c r="B4" s="24"/>
      <c r="C4" s="25"/>
      <c r="D4" s="35"/>
      <c r="E4" s="26" t="s">
        <v>27</v>
      </c>
      <c r="F4" s="26" t="s">
        <v>26</v>
      </c>
      <c r="G4" s="26" t="s">
        <v>22</v>
      </c>
      <c r="H4" s="26" t="s">
        <v>20</v>
      </c>
      <c r="I4" s="26" t="s">
        <v>18</v>
      </c>
      <c r="J4" s="26" t="s">
        <v>24</v>
      </c>
      <c r="K4" s="27" t="s">
        <v>25</v>
      </c>
      <c r="L4" s="5"/>
    </row>
    <row r="5" spans="1:12" ht="16.5" customHeight="1">
      <c r="A5" s="5"/>
      <c r="B5" s="169" t="str">
        <f>Budget!D3</f>
        <v>pound</v>
      </c>
      <c r="C5" s="36"/>
      <c r="D5" s="12"/>
      <c r="E5" s="13">
        <f>H5*70%</f>
        <v>21000</v>
      </c>
      <c r="F5" s="13">
        <f>H5*80%</f>
        <v>24000</v>
      </c>
      <c r="G5" s="13">
        <f>H5*90%</f>
        <v>27000</v>
      </c>
      <c r="H5" s="171">
        <f>Budget!E3</f>
        <v>30000</v>
      </c>
      <c r="I5" s="13">
        <f>H5*110%</f>
        <v>33000</v>
      </c>
      <c r="J5" s="13">
        <f>H5*120%</f>
        <v>36000</v>
      </c>
      <c r="K5" s="29">
        <f>H5*130%</f>
        <v>39000</v>
      </c>
      <c r="L5" s="5"/>
    </row>
    <row r="6" spans="1:12" ht="16.5" customHeight="1">
      <c r="A6" s="5"/>
      <c r="B6" s="169"/>
      <c r="C6" s="30" t="s">
        <v>23</v>
      </c>
      <c r="D6" s="20">
        <f>D9*85%</f>
        <v>0.17</v>
      </c>
      <c r="E6" s="37">
        <f>(D6*$E$5)-Budget!$G$35</f>
        <v>-2269.7899025000002</v>
      </c>
      <c r="F6" s="38">
        <f>(D6*$F$5)-Budget!$G$35</f>
        <v>-1759.7899025000002</v>
      </c>
      <c r="G6" s="38">
        <f>(D6*$G$5)-Budget!$G$35</f>
        <v>-1249.7899025000006</v>
      </c>
      <c r="H6" s="38">
        <f>(D6*$H$5)-Budget!$G$35</f>
        <v>-739.78990250000061</v>
      </c>
      <c r="I6" s="38">
        <f>(D6*$I$5)-Budget!$G$35</f>
        <v>-229.78990250000061</v>
      </c>
      <c r="J6" s="38">
        <f>(D6*$J$5)-Budget!$G$35</f>
        <v>280.21009749999939</v>
      </c>
      <c r="K6" s="39">
        <f>(D6*$K$5)-Budget!$G$35</f>
        <v>790.2100975000003</v>
      </c>
      <c r="L6" s="5"/>
    </row>
    <row r="7" spans="1:12" ht="16.5" customHeight="1">
      <c r="A7" s="5"/>
      <c r="B7" s="169"/>
      <c r="C7" s="30" t="s">
        <v>22</v>
      </c>
      <c r="D7" s="20">
        <f>D9*90%</f>
        <v>0.18000000000000002</v>
      </c>
      <c r="E7" s="40">
        <f>(D7*$E$5)-Budget!$G$35</f>
        <v>-2059.7899025000002</v>
      </c>
      <c r="F7" s="41">
        <f>(D7*$F$5)-Budget!$G$35</f>
        <v>-1519.7899024999997</v>
      </c>
      <c r="G7" s="41">
        <f>(D7*$G$5)-Budget!$G$35</f>
        <v>-979.7899024999997</v>
      </c>
      <c r="H7" s="41">
        <f>(D7*$H$5)-Budget!$G$35</f>
        <v>-439.7899024999997</v>
      </c>
      <c r="I7" s="41">
        <f>(D7*$I$5)-Budget!$G$35</f>
        <v>100.2100975000003</v>
      </c>
      <c r="J7" s="41">
        <f>(D7*$J$5)-Budget!$G$35</f>
        <v>640.2100975000003</v>
      </c>
      <c r="K7" s="42">
        <f>(D7*$K$5)-Budget!$G$35</f>
        <v>1180.2100975000003</v>
      </c>
      <c r="L7" s="5"/>
    </row>
    <row r="8" spans="1:12" ht="16.5" customHeight="1" thickBot="1">
      <c r="A8" s="5"/>
      <c r="B8" s="168" t="s">
        <v>100</v>
      </c>
      <c r="C8" s="31" t="s">
        <v>21</v>
      </c>
      <c r="D8" s="20">
        <f>D9*0.95</f>
        <v>0.19</v>
      </c>
      <c r="E8" s="40">
        <f>(D8*$E$5)-Budget!$G$35</f>
        <v>-1849.7899025000006</v>
      </c>
      <c r="F8" s="41">
        <f>(D8*$F$5)-Budget!$G$35</f>
        <v>-1279.7899025000006</v>
      </c>
      <c r="G8" s="41">
        <f>(D8*$G$5)-Budget!$G$35</f>
        <v>-709.78990250000061</v>
      </c>
      <c r="H8" s="41">
        <f>(D8*$H$5)-Budget!$G$35</f>
        <v>-139.78990250000061</v>
      </c>
      <c r="I8" s="41">
        <f>(D8*$I$5)-Budget!$G$35</f>
        <v>430.21009749999939</v>
      </c>
      <c r="J8" s="41">
        <f>(D8*$J$5)-Budget!$G$35</f>
        <v>1000.2100974999994</v>
      </c>
      <c r="K8" s="42">
        <f>(D8*$K$5)-Budget!$G$35</f>
        <v>1570.2100974999994</v>
      </c>
      <c r="L8" s="5"/>
    </row>
    <row r="9" spans="1:12" ht="16.5" customHeight="1" thickBot="1">
      <c r="A9" s="5"/>
      <c r="B9" s="168"/>
      <c r="C9" s="30" t="s">
        <v>20</v>
      </c>
      <c r="D9" s="172">
        <f>Budget!F3</f>
        <v>0.2</v>
      </c>
      <c r="E9" s="40">
        <f>(D9*$E$5)-Budget!$G$35</f>
        <v>-1639.7899025000006</v>
      </c>
      <c r="F9" s="41">
        <f>(D9*$F$5)-Budget!$G$35</f>
        <v>-1039.7899025000006</v>
      </c>
      <c r="G9" s="41">
        <f>(D9*$G$5)-Budget!$G$35</f>
        <v>-439.78990250000061</v>
      </c>
      <c r="H9" s="43">
        <f>(D9*$H$5)-Budget!$G$35</f>
        <v>160.21009749999939</v>
      </c>
      <c r="I9" s="41">
        <f>(D9*$I$5)-Budget!$G$35</f>
        <v>760.21009749999939</v>
      </c>
      <c r="J9" s="41">
        <f>(D9*$J$5)-Budget!$G$35</f>
        <v>1360.2100974999994</v>
      </c>
      <c r="K9" s="42">
        <f>(D9*$K$5)-Budget!$G$35</f>
        <v>1960.2100974999994</v>
      </c>
      <c r="L9" s="5"/>
    </row>
    <row r="10" spans="1:12" ht="16.5" customHeight="1">
      <c r="A10" s="5"/>
      <c r="B10" s="168"/>
      <c r="C10" s="30" t="s">
        <v>19</v>
      </c>
      <c r="D10" s="20">
        <f>D9*105%</f>
        <v>0.21000000000000002</v>
      </c>
      <c r="E10" s="40">
        <f>(D10*$E$5)-Budget!$G$35</f>
        <v>-1429.7899025000006</v>
      </c>
      <c r="F10" s="41">
        <f>(D10*$F$5)-Budget!$G$35</f>
        <v>-799.7899024999997</v>
      </c>
      <c r="G10" s="41">
        <f>(D10*$G$5)-Budget!$G$35</f>
        <v>-169.7899024999997</v>
      </c>
      <c r="H10" s="41">
        <f>(D10*$H$5)-Budget!$G$35</f>
        <v>460.2100975000003</v>
      </c>
      <c r="I10" s="41">
        <f>(D10*$I$5)-Budget!$G$35</f>
        <v>1090.2100975000003</v>
      </c>
      <c r="J10" s="41">
        <f>(D10*$J$5)-Budget!$G$35</f>
        <v>1720.2100975000003</v>
      </c>
      <c r="K10" s="42">
        <f>(D10*$K$5)-Budget!$G$35</f>
        <v>2350.2100975000003</v>
      </c>
      <c r="L10" s="5"/>
    </row>
    <row r="11" spans="1:12" ht="16.5" customHeight="1">
      <c r="A11" s="5"/>
      <c r="B11" s="168"/>
      <c r="C11" s="30" t="s">
        <v>18</v>
      </c>
      <c r="D11" s="20">
        <f>D9*110%</f>
        <v>0.22000000000000003</v>
      </c>
      <c r="E11" s="40">
        <f>(D11*$E$5)-Budget!$G$35</f>
        <v>-1219.7899024999997</v>
      </c>
      <c r="F11" s="41">
        <f>(D11*$F$5)-Budget!$G$35</f>
        <v>-559.7899024999997</v>
      </c>
      <c r="G11" s="41">
        <f>(D11*$G$5)-Budget!$G$35</f>
        <v>100.2100975000003</v>
      </c>
      <c r="H11" s="41">
        <f>(D11*$H$5)-Budget!$G$35</f>
        <v>760.2100975000003</v>
      </c>
      <c r="I11" s="41">
        <f>(D11*$I$5)-Budget!$G$35</f>
        <v>1420.2100975000003</v>
      </c>
      <c r="J11" s="41">
        <f>(D11*$J$5)-Budget!$G$35</f>
        <v>2080.2100975000003</v>
      </c>
      <c r="K11" s="42">
        <f>(D11*$K$5)-Budget!$G$35</f>
        <v>2740.2100975000012</v>
      </c>
      <c r="L11" s="5"/>
    </row>
    <row r="12" spans="1:12" ht="16.5" customHeight="1">
      <c r="A12" s="5"/>
      <c r="B12" s="118"/>
      <c r="C12" s="32" t="s">
        <v>17</v>
      </c>
      <c r="D12" s="33">
        <f>D9*115%</f>
        <v>0.22999999999999998</v>
      </c>
      <c r="E12" s="44">
        <f>(D12*$E$5)-Budget!$G$35</f>
        <v>-1009.7899025000006</v>
      </c>
      <c r="F12" s="45">
        <f>(D12*$F$5)-Budget!$G$35</f>
        <v>-319.78990250000061</v>
      </c>
      <c r="G12" s="45">
        <f>(D12*$G$5)-Budget!$G$35</f>
        <v>370.21009749999848</v>
      </c>
      <c r="H12" s="45">
        <f>(D12*$H$5)-Budget!$G$35</f>
        <v>1060.2100974999985</v>
      </c>
      <c r="I12" s="45">
        <f>(D12*$I$5)-Budget!$G$35</f>
        <v>1750.2100974999985</v>
      </c>
      <c r="J12" s="45">
        <f>(D12*$J$5)-Budget!$G$35</f>
        <v>2440.2100974999994</v>
      </c>
      <c r="K12" s="46">
        <f>(D12*$K$5)-Budget!$G$35</f>
        <v>3130.2100974999994</v>
      </c>
      <c r="L12" s="5"/>
    </row>
    <row r="13" spans="1:12" s="5" customFormat="1" ht="16.5" customHeight="1">
      <c r="B13" s="7"/>
      <c r="C13" s="7"/>
      <c r="D13" s="7"/>
      <c r="E13" s="7"/>
      <c r="F13" s="7"/>
      <c r="G13" s="7"/>
      <c r="H13" s="7"/>
      <c r="I13" s="7"/>
      <c r="J13" s="7"/>
      <c r="K13" s="7"/>
    </row>
    <row r="14" spans="1:12" s="5" customFormat="1" ht="16.5" customHeight="1">
      <c r="B14" s="160" t="s">
        <v>128</v>
      </c>
      <c r="C14" s="160"/>
      <c r="D14" s="160"/>
      <c r="E14" s="160"/>
      <c r="F14" s="160"/>
      <c r="G14" s="160"/>
      <c r="H14" s="160"/>
      <c r="I14" s="160"/>
      <c r="J14" s="160"/>
      <c r="K14" s="160"/>
    </row>
    <row r="15" spans="1:12" s="5" customFormat="1" ht="16">
      <c r="B15" s="167" t="s">
        <v>62</v>
      </c>
      <c r="C15" s="167"/>
      <c r="D15" s="167"/>
      <c r="E15" s="167"/>
      <c r="F15" s="167"/>
      <c r="G15" s="167"/>
      <c r="H15" s="167"/>
      <c r="I15" s="167"/>
      <c r="J15" s="167"/>
      <c r="K15" s="167"/>
    </row>
    <row r="16" spans="1:12" ht="16.5" customHeight="1">
      <c r="A16" s="5"/>
      <c r="B16" s="22"/>
      <c r="C16" s="49"/>
      <c r="D16" s="49"/>
      <c r="E16" s="162" t="s">
        <v>2</v>
      </c>
      <c r="F16" s="163"/>
      <c r="G16" s="163"/>
      <c r="H16" s="163"/>
      <c r="I16" s="163"/>
      <c r="J16" s="163"/>
      <c r="K16" s="164"/>
      <c r="L16" s="5"/>
    </row>
    <row r="17" spans="1:12" ht="16.5" customHeight="1">
      <c r="A17" s="5"/>
      <c r="B17" s="28"/>
      <c r="C17" s="11"/>
      <c r="D17" s="14"/>
      <c r="E17" s="47" t="s">
        <v>23</v>
      </c>
      <c r="F17" s="15" t="s">
        <v>22</v>
      </c>
      <c r="G17" s="15" t="s">
        <v>21</v>
      </c>
      <c r="H17" s="15" t="s">
        <v>20</v>
      </c>
      <c r="I17" s="15" t="s">
        <v>19</v>
      </c>
      <c r="J17" s="15" t="s">
        <v>18</v>
      </c>
      <c r="K17" s="48" t="s">
        <v>17</v>
      </c>
      <c r="L17" s="5"/>
    </row>
    <row r="18" spans="1:12" ht="16.5" customHeight="1">
      <c r="A18" s="5"/>
      <c r="B18" s="165" t="s">
        <v>12</v>
      </c>
      <c r="C18" s="16"/>
      <c r="D18" s="17" t="s">
        <v>23</v>
      </c>
      <c r="E18" s="37">
        <f>(Budget!G4*0.85)-(Budget!G29*0.85)-Budget!G34</f>
        <v>49.316582874999654</v>
      </c>
      <c r="F18" s="38">
        <f>(Budget!G4*0.9)-(Budget!G29*0.85)-Budget!G34</f>
        <v>349.31658287499965</v>
      </c>
      <c r="G18" s="38">
        <f>(Budget!G4*0.95)-(Budget!G29*0.85)-Budget!G34</f>
        <v>649.31658287499965</v>
      </c>
      <c r="H18" s="38">
        <f>Budget!G4-(Budget!G29*0.85)-Budget!G34</f>
        <v>949.31658287499965</v>
      </c>
      <c r="I18" s="38">
        <f>(Budget!G4*1.05)-(Budget!G29*0.85)-Budget!G34</f>
        <v>1249.3165828749998</v>
      </c>
      <c r="J18" s="38">
        <f>(Budget!G4*1.1)-(Budget!G29*0.85)-Budget!G34</f>
        <v>1549.3165828750007</v>
      </c>
      <c r="K18" s="39">
        <f>(Budget!G4*1.15)-(Budget!G29*0.85)-Budget!G34</f>
        <v>1849.3165828749989</v>
      </c>
      <c r="L18" s="5"/>
    </row>
    <row r="19" spans="1:12" ht="16.5" customHeight="1">
      <c r="A19" s="5"/>
      <c r="B19" s="165"/>
      <c r="C19" s="16"/>
      <c r="D19" s="17" t="s">
        <v>22</v>
      </c>
      <c r="E19" s="40">
        <f>(Budget!G4*0.85)-(Budget!G29*0.9)-Budget!G34</f>
        <v>-213.71891225000047</v>
      </c>
      <c r="F19" s="41">
        <f>(Budget!G4*0.9)-(Budget!G29*0.9)-Budget!G34</f>
        <v>86.281087749999529</v>
      </c>
      <c r="G19" s="41">
        <f>(Budget!G4*0.95)-(Budget!G29*0.9)-Budget!G34</f>
        <v>386.28108774999953</v>
      </c>
      <c r="H19" s="41">
        <f>Budget!G4-(Budget!G29*0.9)-Budget!G34</f>
        <v>686.28108774999953</v>
      </c>
      <c r="I19" s="41">
        <f>(Budget!G4*1.05)-(Budget!G29*0.9)-Budget!G34</f>
        <v>986.28108774999953</v>
      </c>
      <c r="J19" s="41">
        <f>(Budget!G4*1.1)-(Budget!G29*0.9)-Budget!G34</f>
        <v>1286.2810877500006</v>
      </c>
      <c r="K19" s="42">
        <f>(Budget!G4*1.15)-(Budget!G29*0.9)-Budget!G34</f>
        <v>1586.2810877499987</v>
      </c>
      <c r="L19" s="5"/>
    </row>
    <row r="20" spans="1:12" ht="16.5" customHeight="1" thickBot="1">
      <c r="A20" s="5"/>
      <c r="B20" s="165"/>
      <c r="C20" s="16"/>
      <c r="D20" s="17" t="s">
        <v>21</v>
      </c>
      <c r="E20" s="40">
        <f>(Budget!G4*0.85)-(Budget!G29*0.95)-Budget!G34</f>
        <v>-476.7544073750006</v>
      </c>
      <c r="F20" s="41">
        <f>(Budget!G4*0.9)-(Budget!G29*0.95)-Budget!G34</f>
        <v>-176.7544073750006</v>
      </c>
      <c r="G20" s="41">
        <f>(Budget!G4*0.95)-(Budget!G29*0.95)-Budget!G34</f>
        <v>123.2455926249994</v>
      </c>
      <c r="H20" s="41">
        <f>Budget!G4-(Budget!G29*0.95)-Budget!G34</f>
        <v>423.2455926249994</v>
      </c>
      <c r="I20" s="41">
        <f>(Budget!G4*1.05)-(Budget!G29*0.95)-Budget!G34</f>
        <v>723.2455926249994</v>
      </c>
      <c r="J20" s="41">
        <f>(Budget!G4*1.1)-(Budget!G29*0.95)-Budget!G34</f>
        <v>1023.2455926250003</v>
      </c>
      <c r="K20" s="42">
        <f>(Budget!G4*1.15)-(Budget!G29*0.95)-Budget!G34</f>
        <v>1323.2455926249986</v>
      </c>
      <c r="L20" s="5"/>
    </row>
    <row r="21" spans="1:12" ht="16.5" customHeight="1" thickBot="1">
      <c r="A21" s="5"/>
      <c r="B21" s="165"/>
      <c r="C21" s="16"/>
      <c r="D21" s="17" t="s">
        <v>20</v>
      </c>
      <c r="E21" s="40">
        <f>(Budget!G4*0.85)-Budget!G29-Budget!GG34</f>
        <v>-160.70990250000068</v>
      </c>
      <c r="F21" s="41">
        <f>(Budget!G4*0.9)-(Budget!G29)-Budget!G34</f>
        <v>-439.78990250000072</v>
      </c>
      <c r="G21" s="41">
        <f>(Budget!G4*0.95)-(Budget!G29)-Budget!G34</f>
        <v>-139.78990250000072</v>
      </c>
      <c r="H21" s="43">
        <f>Budget!G4-(Budget!G29)-Budget!G34</f>
        <v>160.21009749999928</v>
      </c>
      <c r="I21" s="41">
        <f>(Budget!G4*1.05)-(Budget!G29)-Budget!G34</f>
        <v>460.21009749999928</v>
      </c>
      <c r="J21" s="41">
        <f>(Budget!G4*1.1)-(Budget!G29)-Budget!G34</f>
        <v>760.21009750000019</v>
      </c>
      <c r="K21" s="42">
        <f>(Budget!G4*1.15)-(Budget!G29)-Budget!G34</f>
        <v>1060.2100974999985</v>
      </c>
      <c r="L21" s="5"/>
    </row>
    <row r="22" spans="1:12" ht="16.5" customHeight="1">
      <c r="A22" s="5"/>
      <c r="B22" s="165"/>
      <c r="C22" s="16"/>
      <c r="D22" s="17" t="s">
        <v>19</v>
      </c>
      <c r="E22" s="40">
        <f>(Budget!G4*0.85)-(Budget!G29*1.05)-Budget!G34</f>
        <v>-1002.8253976250008</v>
      </c>
      <c r="F22" s="41">
        <f>(Budget!G4*0.9)-(Budget!G29*1.05)-Budget!G34</f>
        <v>-702.82539762500085</v>
      </c>
      <c r="G22" s="41">
        <f>(Budget!G4*0.95)-(Budget!G29*1.05)-Budget!G34</f>
        <v>-402.82539762500085</v>
      </c>
      <c r="H22" s="41">
        <f>Budget!G4-(Budget!G29*1.05)-Budget!G34</f>
        <v>-102.82539762500085</v>
      </c>
      <c r="I22" s="41">
        <f>(Budget!G4*1.05)-(Budget!G29*1.05)-Budget!G34</f>
        <v>197.17460237499915</v>
      </c>
      <c r="J22" s="41">
        <f>(Budget!G4*1.1)-(Budget!G29*1.05)-Budget!G34</f>
        <v>497.17460237500006</v>
      </c>
      <c r="K22" s="42">
        <f>(Budget!G4*1.15)-(Budget!G29*1.05)-Budget!G34</f>
        <v>797.17460237499824</v>
      </c>
      <c r="L22" s="5"/>
    </row>
    <row r="23" spans="1:12" ht="16.5" customHeight="1">
      <c r="A23" s="5"/>
      <c r="B23" s="165"/>
      <c r="C23" s="16"/>
      <c r="D23" s="17" t="s">
        <v>18</v>
      </c>
      <c r="E23" s="40">
        <f>(Budget!G4*0.85)-(Budget!G29*1.1)-Budget!G34</f>
        <v>-1265.8608927500009</v>
      </c>
      <c r="F23" s="41">
        <f>(Budget!G4*0.9)-(Budget!G29*1.1)-Budget!G34</f>
        <v>-965.86089275000097</v>
      </c>
      <c r="G23" s="41">
        <f>(Budget!G4*0.95)-(Budget!G29*1.1)-Budget!G34</f>
        <v>-665.86089275000097</v>
      </c>
      <c r="H23" s="41">
        <f>Budget!G4-(Budget!G29*1.1)-Budget!G34</f>
        <v>-365.86089275000097</v>
      </c>
      <c r="I23" s="41">
        <f>(Budget!G4*1.05)-(Budget!G29*1.1)-Budget!G34</f>
        <v>-65.860892750000971</v>
      </c>
      <c r="J23" s="41">
        <f>(Budget!G4*1.1)-(Budget!G29*1.1)-Budget!G34</f>
        <v>234.13910724999994</v>
      </c>
      <c r="K23" s="42">
        <f>(Budget!G4*1.15)-(Budget!G29*1.1)-Budget!G34</f>
        <v>534.13910724999812</v>
      </c>
      <c r="L23" s="5"/>
    </row>
    <row r="24" spans="1:12" ht="16.5" customHeight="1">
      <c r="A24" s="5"/>
      <c r="B24" s="166"/>
      <c r="C24" s="50"/>
      <c r="D24" s="51" t="s">
        <v>17</v>
      </c>
      <c r="E24" s="44">
        <f>(Budget!G4*0.85)-(Budget!G29*1.15)-Budget!G34</f>
        <v>-1528.8963878750001</v>
      </c>
      <c r="F24" s="45">
        <f>(Budget!G4*0.9)-(Budget!G29*1.15)-Budget!G34</f>
        <v>-1228.8963878750001</v>
      </c>
      <c r="G24" s="45">
        <f>(Budget!G4*0.95)-(Budget!G29*1.15)-Budget!G34</f>
        <v>-928.89638787500019</v>
      </c>
      <c r="H24" s="45">
        <f>Budget!G4-(Budget!G29*1.15)-Budget!G34</f>
        <v>-628.89638787500019</v>
      </c>
      <c r="I24" s="45">
        <f>(Budget!G4*1.05)-(Budget!G29*1.15)-Budget!G34</f>
        <v>-328.89638787500019</v>
      </c>
      <c r="J24" s="45">
        <f>(Budget!G4*1.1)-(Budget!G29*1.15)-Budget!G34</f>
        <v>-28.896387874999277</v>
      </c>
      <c r="K24" s="46">
        <f>(Budget!G4*1.15)-(Budget!G29*1.15)-Budget!G34</f>
        <v>271.1036121249989</v>
      </c>
      <c r="L24" s="5"/>
    </row>
    <row r="25" spans="1:12" ht="9" hidden="1" customHeight="1">
      <c r="A25" s="5"/>
      <c r="B25" s="8"/>
      <c r="C25" s="8"/>
      <c r="D25" s="8"/>
      <c r="E25" s="8"/>
      <c r="F25" s="8"/>
      <c r="G25" s="8"/>
      <c r="H25" s="8"/>
      <c r="I25" s="8"/>
      <c r="J25" s="8"/>
      <c r="K25" s="8"/>
    </row>
    <row r="26" spans="1:12" ht="14.5" hidden="1" customHeight="1">
      <c r="B26" s="5"/>
      <c r="C26" s="5"/>
      <c r="D26" s="5"/>
      <c r="E26" s="5"/>
      <c r="F26" s="5"/>
      <c r="G26" s="5"/>
      <c r="H26" s="5"/>
      <c r="I26" s="5"/>
      <c r="J26" s="5"/>
      <c r="K26" s="5"/>
    </row>
    <row r="28" spans="1:12" ht="32.15" hidden="1" customHeight="1"/>
    <row r="29" spans="1:12" ht="16" hidden="1">
      <c r="B29" s="161"/>
      <c r="C29" s="161"/>
      <c r="D29" s="161"/>
      <c r="E29" s="161"/>
      <c r="F29" s="161"/>
      <c r="G29" s="161"/>
      <c r="H29" s="161"/>
      <c r="I29" s="161"/>
      <c r="J29" s="161"/>
      <c r="K29" s="161"/>
    </row>
    <row r="30" spans="1:12" ht="16" hidden="1">
      <c r="B30" s="161"/>
      <c r="C30" s="161"/>
      <c r="D30" s="161"/>
      <c r="E30" s="161"/>
      <c r="F30" s="161"/>
      <c r="G30" s="161"/>
      <c r="H30" s="161"/>
      <c r="I30" s="161"/>
      <c r="J30" s="161"/>
      <c r="K30" s="161"/>
    </row>
    <row r="31" spans="1:12" ht="16" hidden="1">
      <c r="B31" s="9"/>
      <c r="C31" s="9"/>
      <c r="D31" s="9"/>
      <c r="E31" s="9"/>
      <c r="F31" s="9"/>
      <c r="G31" s="9"/>
      <c r="H31" s="9"/>
      <c r="I31" s="9"/>
      <c r="J31" s="9"/>
      <c r="K31" s="9"/>
    </row>
    <row r="32" spans="1:12" ht="16" hidden="1">
      <c r="G32" s="8"/>
      <c r="H32" s="8"/>
      <c r="I32" s="8"/>
      <c r="J32" s="8"/>
      <c r="K32" s="8"/>
    </row>
    <row r="33" spans="7:11" ht="16" hidden="1">
      <c r="G33" s="8"/>
      <c r="H33" s="8"/>
      <c r="I33" s="8"/>
      <c r="J33" s="8"/>
      <c r="K33" s="8"/>
    </row>
    <row r="34" spans="7:11" ht="16" hidden="1">
      <c r="G34" s="8"/>
      <c r="H34" s="8"/>
      <c r="I34" s="8"/>
      <c r="J34" s="8"/>
      <c r="K34" s="8"/>
    </row>
    <row r="35" spans="7:11" ht="16" hidden="1">
      <c r="G35" s="8"/>
      <c r="H35" s="8"/>
      <c r="I35" s="8"/>
      <c r="J35" s="8"/>
      <c r="K35" s="8"/>
    </row>
    <row r="36" spans="7:11" ht="16" hidden="1">
      <c r="G36" s="8"/>
      <c r="H36" s="8"/>
      <c r="I36" s="8"/>
      <c r="J36" s="8"/>
      <c r="K36" s="8"/>
    </row>
  </sheetData>
  <sheetProtection sheet="1" objects="1" scenarios="1"/>
  <mergeCells count="10">
    <mergeCell ref="B1:K1"/>
    <mergeCell ref="B14:K14"/>
    <mergeCell ref="B29:K29"/>
    <mergeCell ref="B30:K30"/>
    <mergeCell ref="E16:K16"/>
    <mergeCell ref="B18:B24"/>
    <mergeCell ref="B2:K2"/>
    <mergeCell ref="B15:K15"/>
    <mergeCell ref="B8:B11"/>
    <mergeCell ref="B5:B7"/>
  </mergeCells>
  <conditionalFormatting sqref="E6:K12">
    <cfRule type="cellIs" dxfId="2" priority="2" operator="lessThan">
      <formula>0</formula>
    </cfRule>
  </conditionalFormatting>
  <conditionalFormatting sqref="E18:K24">
    <cfRule type="cellIs" dxfId="1" priority="1" operator="lessThan">
      <formula>0</formula>
    </cfRule>
  </conditionalFormatting>
  <pageMargins left="0.7" right="0.7" top="0.75" bottom="0.75" header="0.3" footer="0.3"/>
  <pageSetup scale="8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8D6DD-5F7A-4EFA-9356-6C81ABC5F780}">
  <dimension ref="A1:E30"/>
  <sheetViews>
    <sheetView workbookViewId="0">
      <selection activeCell="E29" sqref="E29"/>
    </sheetView>
  </sheetViews>
  <sheetFormatPr defaultRowHeight="14.5"/>
  <cols>
    <col min="2" max="2" width="26.33203125" bestFit="1" customWidth="1"/>
    <col min="4" max="4" width="14.5" bestFit="1" customWidth="1"/>
    <col min="5" max="5" width="45.33203125" bestFit="1" customWidth="1"/>
  </cols>
  <sheetData>
    <row r="1" spans="1:5" ht="18.5">
      <c r="A1" s="79" t="s">
        <v>10</v>
      </c>
      <c r="B1" s="79"/>
      <c r="C1" s="79" t="s">
        <v>3</v>
      </c>
      <c r="D1" s="133" t="s">
        <v>113</v>
      </c>
      <c r="E1" s="132" t="s">
        <v>114</v>
      </c>
    </row>
    <row r="2" spans="1:5" ht="15.5">
      <c r="A2" s="78" t="s">
        <v>85</v>
      </c>
      <c r="B2" s="78"/>
      <c r="C2" s="82" t="s">
        <v>6</v>
      </c>
      <c r="D2" s="83">
        <v>30000</v>
      </c>
    </row>
    <row r="3" spans="1:5" ht="15.5">
      <c r="A3" s="78"/>
      <c r="B3" s="86" t="s">
        <v>11</v>
      </c>
      <c r="C3" s="54"/>
      <c r="D3" s="78"/>
    </row>
    <row r="4" spans="1:5" ht="15.5">
      <c r="A4" s="88" t="s">
        <v>12</v>
      </c>
      <c r="B4" s="88"/>
      <c r="C4" s="79" t="s">
        <v>3</v>
      </c>
      <c r="D4" s="80" t="s">
        <v>4</v>
      </c>
    </row>
    <row r="5" spans="1:5" ht="15.5">
      <c r="A5" s="78" t="s">
        <v>80</v>
      </c>
      <c r="B5" s="78"/>
      <c r="C5" s="82" t="s">
        <v>86</v>
      </c>
      <c r="D5" s="83">
        <v>2</v>
      </c>
    </row>
    <row r="6" spans="1:5" ht="15.5">
      <c r="A6" s="78" t="s">
        <v>96</v>
      </c>
      <c r="B6" s="78"/>
      <c r="C6" s="82"/>
      <c r="D6" s="89"/>
    </row>
    <row r="7" spans="1:5" ht="15.5">
      <c r="A7" s="78"/>
      <c r="B7" s="78" t="s">
        <v>87</v>
      </c>
      <c r="C7" s="82" t="s">
        <v>6</v>
      </c>
      <c r="D7" s="83">
        <v>100</v>
      </c>
    </row>
    <row r="8" spans="1:5" ht="15.5">
      <c r="A8" s="78"/>
      <c r="B8" s="78" t="s">
        <v>88</v>
      </c>
      <c r="C8" s="82" t="s">
        <v>6</v>
      </c>
      <c r="D8" s="83">
        <v>80</v>
      </c>
    </row>
    <row r="9" spans="1:5" ht="15.5">
      <c r="A9" s="78"/>
      <c r="B9" s="78" t="s">
        <v>89</v>
      </c>
      <c r="C9" s="82" t="s">
        <v>6</v>
      </c>
      <c r="D9" s="83">
        <v>150</v>
      </c>
    </row>
    <row r="10" spans="1:5" ht="15.5">
      <c r="A10" s="78" t="s">
        <v>36</v>
      </c>
      <c r="B10" s="78"/>
      <c r="C10" s="82" t="s">
        <v>79</v>
      </c>
      <c r="D10" s="83">
        <v>1</v>
      </c>
    </row>
    <row r="11" spans="1:5" ht="15.5">
      <c r="A11" s="78" t="s">
        <v>37</v>
      </c>
      <c r="B11" s="78"/>
      <c r="C11" s="82" t="s">
        <v>79</v>
      </c>
      <c r="D11" s="83">
        <v>1</v>
      </c>
    </row>
    <row r="12" spans="1:5" ht="15.5">
      <c r="A12" s="78" t="s">
        <v>38</v>
      </c>
      <c r="B12" s="78"/>
      <c r="C12" s="82" t="s">
        <v>79</v>
      </c>
      <c r="D12" s="83">
        <v>1</v>
      </c>
    </row>
    <row r="13" spans="1:5" ht="15.5">
      <c r="A13" s="78" t="s">
        <v>90</v>
      </c>
      <c r="B13" s="78"/>
      <c r="C13" s="82" t="s">
        <v>5</v>
      </c>
      <c r="D13" s="83">
        <v>1</v>
      </c>
    </row>
    <row r="14" spans="1:5" ht="15.5">
      <c r="A14" s="78" t="s">
        <v>91</v>
      </c>
      <c r="B14" s="78"/>
      <c r="C14" s="82" t="s">
        <v>5</v>
      </c>
      <c r="D14" s="83">
        <v>1</v>
      </c>
    </row>
    <row r="15" spans="1:5" ht="15.5">
      <c r="A15" s="78" t="s">
        <v>92</v>
      </c>
      <c r="B15" s="78"/>
      <c r="C15" s="82" t="s">
        <v>93</v>
      </c>
      <c r="D15" s="83">
        <v>1</v>
      </c>
    </row>
    <row r="16" spans="1:5" ht="15.5">
      <c r="A16" s="78" t="s">
        <v>81</v>
      </c>
      <c r="B16" s="78"/>
      <c r="C16" s="82" t="s">
        <v>95</v>
      </c>
      <c r="D16" s="83">
        <v>42</v>
      </c>
    </row>
    <row r="17" spans="1:5" ht="15.5">
      <c r="A17" s="78" t="s">
        <v>35</v>
      </c>
      <c r="B17" s="78"/>
      <c r="C17" s="82"/>
      <c r="D17" s="89"/>
    </row>
    <row r="18" spans="1:5" ht="15.5">
      <c r="A18" s="78"/>
      <c r="B18" s="92" t="s">
        <v>94</v>
      </c>
      <c r="C18" s="82" t="s">
        <v>40</v>
      </c>
      <c r="D18" s="110" t="s">
        <v>115</v>
      </c>
      <c r="E18" t="s">
        <v>116</v>
      </c>
    </row>
    <row r="19" spans="1:5" ht="15.5">
      <c r="A19" s="54"/>
      <c r="B19" s="78" t="s">
        <v>97</v>
      </c>
      <c r="C19" s="82" t="s">
        <v>40</v>
      </c>
      <c r="D19" s="83">
        <v>10</v>
      </c>
      <c r="E19" t="s">
        <v>116</v>
      </c>
    </row>
    <row r="20" spans="1:5" ht="15.5">
      <c r="A20" s="170" t="s">
        <v>41</v>
      </c>
      <c r="B20" s="170"/>
      <c r="C20" s="82" t="s">
        <v>5</v>
      </c>
      <c r="D20" s="89"/>
      <c r="E20" t="s">
        <v>117</v>
      </c>
    </row>
    <row r="21" spans="1:5" ht="15.5">
      <c r="A21" s="111" t="s">
        <v>103</v>
      </c>
      <c r="B21" s="111"/>
      <c r="C21" s="82" t="s">
        <v>104</v>
      </c>
      <c r="D21" s="83">
        <v>0</v>
      </c>
      <c r="E21" t="s">
        <v>122</v>
      </c>
    </row>
    <row r="22" spans="1:5" ht="15.5">
      <c r="A22" s="111" t="s">
        <v>105</v>
      </c>
      <c r="B22" s="111"/>
      <c r="C22" s="82" t="s">
        <v>40</v>
      </c>
      <c r="D22" s="83">
        <v>90</v>
      </c>
      <c r="E22" t="s">
        <v>121</v>
      </c>
    </row>
    <row r="23" spans="1:5" ht="15.5">
      <c r="A23" s="170" t="s">
        <v>106</v>
      </c>
      <c r="B23" s="170"/>
      <c r="C23" s="82" t="s">
        <v>5</v>
      </c>
      <c r="D23" s="107"/>
      <c r="E23" t="s">
        <v>118</v>
      </c>
    </row>
    <row r="24" spans="1:5" ht="15.5">
      <c r="A24" s="92" t="s">
        <v>82</v>
      </c>
      <c r="B24" s="78"/>
      <c r="C24" s="93" t="s">
        <v>28</v>
      </c>
      <c r="D24" s="94">
        <f>F3</f>
        <v>0</v>
      </c>
      <c r="E24" t="s">
        <v>119</v>
      </c>
    </row>
    <row r="25" spans="1:5" ht="15.5">
      <c r="A25" s="92" t="s">
        <v>29</v>
      </c>
      <c r="B25" s="97"/>
      <c r="C25" s="82" t="s">
        <v>7</v>
      </c>
      <c r="D25" s="134">
        <v>7.7499999999999999E-2</v>
      </c>
      <c r="E25" t="s">
        <v>120</v>
      </c>
    </row>
    <row r="26" spans="1:5" ht="15.5">
      <c r="A26" s="54"/>
      <c r="B26" s="86" t="s">
        <v>13</v>
      </c>
      <c r="C26" s="82"/>
    </row>
    <row r="27" spans="1:5" ht="15.5">
      <c r="A27" s="88" t="s">
        <v>14</v>
      </c>
      <c r="B27" s="88"/>
      <c r="C27" s="100" t="s">
        <v>3</v>
      </c>
    </row>
    <row r="28" spans="1:5" ht="15.5">
      <c r="A28" s="78" t="s">
        <v>42</v>
      </c>
      <c r="B28" s="78"/>
      <c r="C28" s="82" t="s">
        <v>5</v>
      </c>
      <c r="D28">
        <v>185</v>
      </c>
      <c r="E28" t="s">
        <v>123</v>
      </c>
    </row>
    <row r="29" spans="1:5" ht="15.5">
      <c r="A29" s="78" t="s">
        <v>71</v>
      </c>
      <c r="B29" s="78"/>
      <c r="C29" s="82" t="s">
        <v>5</v>
      </c>
      <c r="D29">
        <v>142.91999999999999</v>
      </c>
      <c r="E29" t="s">
        <v>117</v>
      </c>
    </row>
    <row r="30" spans="1:5" ht="15.5">
      <c r="A30" s="78" t="s">
        <v>72</v>
      </c>
      <c r="B30" s="78"/>
      <c r="C30" s="82" t="s">
        <v>5</v>
      </c>
      <c r="D30">
        <v>251.16</v>
      </c>
      <c r="E30" t="s">
        <v>118</v>
      </c>
    </row>
  </sheetData>
  <protectedRanges>
    <protectedRange sqref="D25" name="interest on operating capital"/>
    <protectedRange sqref="D2" name="Range3"/>
    <protectedRange sqref="D5" name="Range4"/>
    <protectedRange sqref="D7:D9" name="Range5"/>
    <protectedRange sqref="D19" name="Range11"/>
    <protectedRange sqref="D23" name="Range12"/>
  </protectedRanges>
  <mergeCells count="2">
    <mergeCell ref="A20:B20"/>
    <mergeCell ref="A23:B23"/>
  </mergeCells>
  <conditionalFormatting sqref="D4">
    <cfRule type="expression" dxfId="0" priority="1">
      <formula>#REF!="no"</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E1293EDA749C499D09F25756402A22" ma:contentTypeVersion="18" ma:contentTypeDescription="Create a new document." ma:contentTypeScope="" ma:versionID="5d5302aff14df483c43236a570fa4496">
  <xsd:schema xmlns:xsd="http://www.w3.org/2001/XMLSchema" xmlns:xs="http://www.w3.org/2001/XMLSchema" xmlns:p="http://schemas.microsoft.com/office/2006/metadata/properties" xmlns:ns2="efba6830-88fc-4660-8252-66421c0ed606" xmlns:ns3="68029b82-de8b-4bb8-a3ab-fd0183ed5d77" targetNamespace="http://schemas.microsoft.com/office/2006/metadata/properties" ma:root="true" ma:fieldsID="e4ef6fd8f4a36105861edc94ec9f0e2c" ns2:_="" ns3:_="">
    <xsd:import namespace="efba6830-88fc-4660-8252-66421c0ed606"/>
    <xsd:import namespace="68029b82-de8b-4bb8-a3ab-fd0183ed5d7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ba6830-88fc-4660-8252-66421c0ed6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e20e570-3a27-4eff-9ea0-d3488a33fbf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8029b82-de8b-4bb8-a3ab-fd0183ed5d7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298e622-2bdb-4ed5-999f-2e6ceaea9292}" ma:internalName="TaxCatchAll" ma:showField="CatchAllData" ma:web="68029b82-de8b-4bb8-a3ab-fd0183ed5d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fba6830-88fc-4660-8252-66421c0ed606">
      <Terms xmlns="http://schemas.microsoft.com/office/infopath/2007/PartnerControls"/>
    </lcf76f155ced4ddcb4097134ff3c332f>
    <TaxCatchAll xmlns="68029b82-de8b-4bb8-a3ab-fd0183ed5d77" xsi:nil="true"/>
  </documentManagement>
</p:properties>
</file>

<file path=customXml/itemProps1.xml><?xml version="1.0" encoding="utf-8"?>
<ds:datastoreItem xmlns:ds="http://schemas.openxmlformats.org/officeDocument/2006/customXml" ds:itemID="{CECA026C-1EC3-4F0B-9755-6F2CC28889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ba6830-88fc-4660-8252-66421c0ed606"/>
    <ds:schemaRef ds:uri="68029b82-de8b-4bb8-a3ab-fd0183ed5d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3F0A06-9F9F-49EF-8C3D-05FBF50BAEB2}">
  <ds:schemaRefs>
    <ds:schemaRef ds:uri="http://schemas.microsoft.com/sharepoint/v3/contenttype/forms"/>
  </ds:schemaRefs>
</ds:datastoreItem>
</file>

<file path=customXml/itemProps3.xml><?xml version="1.0" encoding="utf-8"?>
<ds:datastoreItem xmlns:ds="http://schemas.openxmlformats.org/officeDocument/2006/customXml" ds:itemID="{29E28324-32A9-4154-8247-D3B1E0DB2445}">
  <ds:schemaRefs>
    <ds:schemaRef ds:uri="http://schemas.microsoft.com/office/2006/metadata/properties"/>
    <ds:schemaRef ds:uri="http://schemas.microsoft.com/office/infopath/2007/PartnerControls"/>
    <ds:schemaRef ds:uri="afeaba0f-363c-487a-9eab-504fb0ae0068"/>
    <ds:schemaRef ds:uri="3cf54786-5cbe-4eed-9d82-be7bae57988e"/>
    <ds:schemaRef ds:uri="efba6830-88fc-4660-8252-66421c0ed606"/>
    <ds:schemaRef ds:uri="68029b82-de8b-4bb8-a3ab-fd0183ed5d7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Introduction</vt:lpstr>
      <vt:lpstr>Budget</vt:lpstr>
      <vt:lpstr>Financial Sensitivity</vt:lpstr>
      <vt:lpstr>Assumptions</vt:lpstr>
      <vt:lpstr>Budget!Print_Area</vt:lpstr>
      <vt:lpstr>'Financial Sensitivity'!Print_Area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Kruse</dc:creator>
  <cp:keywords/>
  <dc:description/>
  <cp:lastModifiedBy>Rahe, Mallory</cp:lastModifiedBy>
  <cp:revision/>
  <cp:lastPrinted>2025-08-08T12:53:59Z</cp:lastPrinted>
  <dcterms:created xsi:type="dcterms:W3CDTF">2020-07-30T17:48:44Z</dcterms:created>
  <dcterms:modified xsi:type="dcterms:W3CDTF">2025-10-16T21:02:44Z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0x010100C8E1293EDA749C499D09F25756402A22</vt:lpwstr>
  </property>
  <property fmtid="{D5CDD505-2E9C-101B-9397-08002B2CF9AE}" pid="3" name="MediaServiceImageTags">
    <vt:lpwstr/>
  </property>
</Properties>
</file>