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mailmissouri-my.sharepoint.com/personal/knappv_umsystem_edu/Documents/Documents/ABP pubs/z-done/mx466_new_082025/Excel/"/>
    </mc:Choice>
  </mc:AlternateContent>
  <xr:revisionPtr revIDLastSave="1" documentId="8_{D6482050-810A-4402-97BC-973AC3EB415D}" xr6:coauthVersionLast="47" xr6:coauthVersionMax="47" xr10:uidLastSave="{94730037-A56A-4EE3-A6AB-ECC4711F0FEC}"/>
  <bookViews>
    <workbookView xWindow="32220" yWindow="300" windowWidth="22020" windowHeight="15030" tabRatio="634" xr2:uid="{00000000-000D-0000-FFFF-FFFF00000000}"/>
  </bookViews>
  <sheets>
    <sheet name="Introduction" sheetId="28" r:id="rId1"/>
    <sheet name="Summary" sheetId="58" r:id="rId2"/>
    <sheet name="Operating Inputs" sheetId="11" r:id="rId3"/>
    <sheet name="Capital Inputs" sheetId="21" r:id="rId4"/>
    <sheet name="1- Food - Catfish" sheetId="57" r:id="rId5"/>
    <sheet name="2- Food - Hybrid striped bass" sheetId="53" r:id="rId6"/>
    <sheet name="3- Food - Yellow perch" sheetId="52" r:id="rId7"/>
    <sheet name="4-Stocking - Bluegill" sheetId="49" r:id="rId8"/>
    <sheet name="5- Stocking - Catfish" sheetId="56" r:id="rId9"/>
    <sheet name="6- Stocking- Golden shiner bait" sheetId="36" r:id="rId10"/>
    <sheet name="7- Stocking - Grass carp" sheetId="50" r:id="rId11"/>
    <sheet name="8-Stocking- Hybrid striped bass" sheetId="40" r:id="rId12"/>
    <sheet name="9- Stocking- Large mouth bass" sheetId="47" r:id="rId13"/>
    <sheet name="10- Stocking - Yellow perch" sheetId="48" r:id="rId14"/>
    <sheet name="Cash flow for investments- Food" sheetId="59" state="hidden" r:id="rId15"/>
    <sheet name="Cash flow for investments-  Sto" sheetId="61" state="hidden" r:id="rId16"/>
  </sheets>
  <externalReferences>
    <externalReference r:id="rId17"/>
  </externalReferences>
  <definedNames>
    <definedName name="AZ" localSheetId="4">'1- Food - Catfish'!$Y:$Y</definedName>
    <definedName name="AZ" localSheetId="13">'10- Stocking - Yellow perch'!$Y:$Y</definedName>
    <definedName name="AZ" localSheetId="5">'2- Food - Hybrid striped bass'!$AK:$AK</definedName>
    <definedName name="AZ" localSheetId="6">'3- Food - Yellow perch'!$Y:$Y</definedName>
    <definedName name="AZ" localSheetId="7">'4-Stocking - Bluegill'!$Y:$Y</definedName>
    <definedName name="AZ" localSheetId="8">'5- Stocking - Catfish'!$Y:$Y</definedName>
    <definedName name="AZ" localSheetId="9">'6- Stocking- Golden shiner bait'!$Y:$Y</definedName>
    <definedName name="AZ" localSheetId="10">'7- Stocking - Grass carp'!#REF!</definedName>
    <definedName name="AZ" localSheetId="11">'8-Stocking- Hybrid striped bass'!$AQ:$AQ</definedName>
    <definedName name="AZ" localSheetId="12">'9- Stocking- Large mouth bass'!$AK:$AK</definedName>
    <definedName name="AZ">#REF!</definedName>
    <definedName name="BudgetActivities" localSheetId="0">#REF!</definedName>
    <definedName name="BudgetActivities">#REF!</definedName>
    <definedName name="CustomActivities">'[1]Activity list'!$W$4:$AA$14</definedName>
    <definedName name="CustomImps">[1]!Table4[Implement]</definedName>
    <definedName name="ss">#REF!</definedName>
    <definedName name="ww">[1]!Table4[Implement]</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6" i="47" l="1"/>
  <c r="N27" i="40"/>
  <c r="P25" i="47" l="1"/>
  <c r="P26" i="47"/>
  <c r="O26" i="47"/>
  <c r="L26" i="47"/>
  <c r="P27" i="40"/>
  <c r="O27" i="40"/>
  <c r="B40" i="50"/>
  <c r="B41" i="57"/>
  <c r="Y37" i="47" l="1"/>
  <c r="F22" i="52" l="1"/>
  <c r="E23" i="36"/>
  <c r="E11" i="56" l="1"/>
  <c r="E20" i="36"/>
  <c r="E22" i="36"/>
  <c r="W9" i="53" l="1"/>
  <c r="G7" i="21"/>
  <c r="B41" i="48"/>
  <c r="B39" i="47"/>
  <c r="M20" i="49"/>
  <c r="L6" i="61"/>
  <c r="M6" i="61"/>
  <c r="N6" i="61"/>
  <c r="O6" i="61"/>
  <c r="P6" i="61"/>
  <c r="S6" i="61"/>
  <c r="K6" i="61"/>
  <c r="L5" i="61"/>
  <c r="L7" i="61" s="1"/>
  <c r="M5" i="61"/>
  <c r="M7" i="61" s="1"/>
  <c r="N5" i="61"/>
  <c r="O5" i="61"/>
  <c r="P5" i="61"/>
  <c r="S5" i="61"/>
  <c r="K5" i="61"/>
  <c r="AH6" i="61"/>
  <c r="AH5" i="61"/>
  <c r="R34" i="21"/>
  <c r="R35" i="21"/>
  <c r="R36" i="21"/>
  <c r="R37" i="21"/>
  <c r="R38" i="21"/>
  <c r="R39" i="21"/>
  <c r="R21" i="21"/>
  <c r="R22" i="21"/>
  <c r="R23" i="21"/>
  <c r="R24" i="21"/>
  <c r="R25" i="21"/>
  <c r="R26" i="21"/>
  <c r="R27" i="21"/>
  <c r="R28" i="21"/>
  <c r="R29" i="21"/>
  <c r="R30" i="21"/>
  <c r="R31" i="21"/>
  <c r="R32" i="21"/>
  <c r="R33" i="21"/>
  <c r="R15" i="21"/>
  <c r="R16" i="21"/>
  <c r="R17" i="21"/>
  <c r="R18" i="21"/>
  <c r="R19" i="21"/>
  <c r="R20" i="21"/>
  <c r="R14" i="21"/>
  <c r="R6" i="21"/>
  <c r="R5" i="21"/>
  <c r="AH5" i="59"/>
  <c r="AH6" i="59"/>
  <c r="L6" i="59"/>
  <c r="M6" i="59"/>
  <c r="N6" i="59"/>
  <c r="P6" i="59"/>
  <c r="S6" i="59"/>
  <c r="K6" i="59"/>
  <c r="K5" i="59"/>
  <c r="L5" i="59"/>
  <c r="M5" i="59"/>
  <c r="N5" i="59"/>
  <c r="P5" i="59"/>
  <c r="S5" i="59"/>
  <c r="M7" i="59" l="1"/>
  <c r="N7" i="61"/>
  <c r="AH7" i="61"/>
  <c r="K7" i="61"/>
  <c r="P7" i="61"/>
  <c r="S7" i="61"/>
  <c r="O7" i="61"/>
  <c r="S7" i="59"/>
  <c r="N7" i="59"/>
  <c r="L7" i="59"/>
  <c r="P7" i="59"/>
  <c r="AH7" i="59"/>
  <c r="K7" i="59"/>
  <c r="E12" i="49" l="1"/>
  <c r="E6" i="49" s="1"/>
  <c r="J22" i="53"/>
  <c r="E11" i="49" l="1"/>
  <c r="G21" i="58" l="1"/>
  <c r="F21" i="58"/>
  <c r="G19" i="58"/>
  <c r="G18" i="58"/>
  <c r="F19" i="58"/>
  <c r="F18" i="58"/>
  <c r="G15" i="58"/>
  <c r="G14" i="58"/>
  <c r="F15" i="58"/>
  <c r="F14" i="58"/>
  <c r="G12" i="58"/>
  <c r="F12" i="58"/>
  <c r="G11" i="58"/>
  <c r="F11" i="58"/>
  <c r="G10" i="58"/>
  <c r="F10" i="58"/>
  <c r="G9" i="58"/>
  <c r="F9" i="58"/>
  <c r="G8" i="58"/>
  <c r="F8" i="58"/>
  <c r="G6" i="58"/>
  <c r="G5" i="58"/>
  <c r="G3" i="58"/>
  <c r="F6" i="58"/>
  <c r="F5" i="58"/>
  <c r="F3" i="58"/>
  <c r="F23" i="57"/>
  <c r="G23" i="57" s="1"/>
  <c r="E18" i="57"/>
  <c r="F18" i="57" s="1"/>
  <c r="D5" i="57"/>
  <c r="H5" i="57" s="1"/>
  <c r="S39" i="57"/>
  <c r="R39" i="57"/>
  <c r="U38" i="57"/>
  <c r="T38" i="57"/>
  <c r="S38" i="57"/>
  <c r="R38" i="57"/>
  <c r="U37" i="57"/>
  <c r="T37" i="57"/>
  <c r="U36" i="57"/>
  <c r="T36" i="57"/>
  <c r="U35" i="57"/>
  <c r="T35" i="57"/>
  <c r="U34" i="57"/>
  <c r="T34" i="57"/>
  <c r="U33" i="57"/>
  <c r="T33" i="57"/>
  <c r="U32" i="57"/>
  <c r="T32" i="57"/>
  <c r="U31" i="57"/>
  <c r="T31" i="57"/>
  <c r="D33" i="57"/>
  <c r="U30" i="57"/>
  <c r="T30" i="57"/>
  <c r="F32" i="57"/>
  <c r="G32" i="57" s="1"/>
  <c r="U29" i="57"/>
  <c r="T29" i="57"/>
  <c r="U28" i="57"/>
  <c r="T28" i="57"/>
  <c r="U27" i="57"/>
  <c r="T27" i="57"/>
  <c r="U26" i="57"/>
  <c r="T26" i="57"/>
  <c r="D27" i="57"/>
  <c r="U25" i="57"/>
  <c r="T25" i="57"/>
  <c r="G26" i="57"/>
  <c r="U24" i="57"/>
  <c r="T24" i="57"/>
  <c r="D25" i="57"/>
  <c r="U23" i="57"/>
  <c r="T23" i="57"/>
  <c r="F24" i="57"/>
  <c r="U22" i="57"/>
  <c r="T22" i="57"/>
  <c r="E22" i="57"/>
  <c r="D22" i="57"/>
  <c r="F21" i="57"/>
  <c r="E20" i="57"/>
  <c r="F20" i="57" s="1"/>
  <c r="D19" i="57"/>
  <c r="D18" i="57"/>
  <c r="F15" i="57"/>
  <c r="E13" i="57"/>
  <c r="D13" i="57"/>
  <c r="F12" i="57"/>
  <c r="E11" i="57"/>
  <c r="F11" i="57" s="1"/>
  <c r="D10" i="57"/>
  <c r="D6" i="57"/>
  <c r="D25" i="56"/>
  <c r="F23" i="56"/>
  <c r="S39" i="56"/>
  <c r="R39" i="56"/>
  <c r="U38" i="56"/>
  <c r="T38" i="56"/>
  <c r="S38" i="56"/>
  <c r="R38" i="56"/>
  <c r="U37" i="56"/>
  <c r="T37" i="56"/>
  <c r="U36" i="56"/>
  <c r="T36" i="56"/>
  <c r="U35" i="56"/>
  <c r="T35" i="56"/>
  <c r="U34" i="56"/>
  <c r="T34" i="56"/>
  <c r="U33" i="56"/>
  <c r="T33" i="56"/>
  <c r="U32" i="56"/>
  <c r="T32" i="56"/>
  <c r="U31" i="56"/>
  <c r="T31" i="56"/>
  <c r="D33" i="56"/>
  <c r="B41" i="56" s="1"/>
  <c r="U30" i="56"/>
  <c r="T30" i="56"/>
  <c r="F32" i="56"/>
  <c r="U29" i="56"/>
  <c r="T29" i="56"/>
  <c r="U28" i="56"/>
  <c r="T28" i="56"/>
  <c r="U27" i="56"/>
  <c r="T27" i="56"/>
  <c r="U26" i="56"/>
  <c r="T26" i="56"/>
  <c r="D27" i="56"/>
  <c r="U25" i="56"/>
  <c r="T25" i="56"/>
  <c r="G26" i="56"/>
  <c r="U24" i="56"/>
  <c r="T24" i="56"/>
  <c r="U23" i="56"/>
  <c r="T23" i="56"/>
  <c r="F24" i="56"/>
  <c r="U22" i="56"/>
  <c r="T22" i="56"/>
  <c r="E22" i="56"/>
  <c r="D22" i="56"/>
  <c r="F21" i="56"/>
  <c r="G21" i="56" s="1"/>
  <c r="E20" i="56"/>
  <c r="F20" i="56" s="1"/>
  <c r="D19" i="56"/>
  <c r="E18" i="56"/>
  <c r="F18" i="56" s="1"/>
  <c r="D18" i="56"/>
  <c r="F15" i="56"/>
  <c r="E13" i="56"/>
  <c r="D13" i="56"/>
  <c r="F12" i="56"/>
  <c r="F11" i="56"/>
  <c r="D10" i="56"/>
  <c r="D6" i="56"/>
  <c r="D5" i="56"/>
  <c r="H5" i="56" s="1"/>
  <c r="F24" i="53"/>
  <c r="F21" i="53"/>
  <c r="Q39" i="52"/>
  <c r="P39" i="52"/>
  <c r="S38" i="52"/>
  <c r="R38" i="52"/>
  <c r="Q38" i="52"/>
  <c r="P38" i="52"/>
  <c r="S37" i="52"/>
  <c r="R37" i="52"/>
  <c r="Q37" i="52"/>
  <c r="S36" i="52"/>
  <c r="R36" i="52"/>
  <c r="Q36" i="52"/>
  <c r="S35" i="52"/>
  <c r="R35" i="52"/>
  <c r="Q35" i="52"/>
  <c r="S34" i="52"/>
  <c r="R34" i="52"/>
  <c r="Q34" i="52"/>
  <c r="S33" i="52"/>
  <c r="R33" i="52"/>
  <c r="Q33" i="52"/>
  <c r="S32" i="52"/>
  <c r="R32" i="52"/>
  <c r="Q32" i="52"/>
  <c r="S31" i="52"/>
  <c r="R31" i="52"/>
  <c r="Q31" i="52"/>
  <c r="S30" i="52"/>
  <c r="R30" i="52"/>
  <c r="Q30" i="52"/>
  <c r="S29" i="52"/>
  <c r="R29" i="52"/>
  <c r="Q29" i="52"/>
  <c r="S28" i="52"/>
  <c r="R28" i="52"/>
  <c r="Q28" i="52"/>
  <c r="S27" i="52"/>
  <c r="R27" i="52"/>
  <c r="Q27" i="52"/>
  <c r="S26" i="52"/>
  <c r="R26" i="52"/>
  <c r="Q26" i="52"/>
  <c r="S25" i="52"/>
  <c r="R25" i="52"/>
  <c r="Q25" i="52"/>
  <c r="S24" i="52"/>
  <c r="R24" i="52"/>
  <c r="Q24" i="52"/>
  <c r="S23" i="52"/>
  <c r="R23" i="52"/>
  <c r="Q23" i="52"/>
  <c r="S22" i="52"/>
  <c r="R22" i="52"/>
  <c r="Q22" i="52"/>
  <c r="E23" i="52"/>
  <c r="F23" i="52"/>
  <c r="D25" i="52"/>
  <c r="M14" i="48"/>
  <c r="M14" i="52"/>
  <c r="D5" i="52"/>
  <c r="D10" i="52"/>
  <c r="E11" i="52"/>
  <c r="E5" i="52" s="1"/>
  <c r="M8" i="58" s="1"/>
  <c r="R8" i="58" s="1"/>
  <c r="G20" i="56" l="1"/>
  <c r="F20" i="58"/>
  <c r="F16" i="58"/>
  <c r="F22" i="56"/>
  <c r="E5" i="56"/>
  <c r="E10" i="52"/>
  <c r="F22" i="57"/>
  <c r="G22" i="57" s="1"/>
  <c r="E5" i="57"/>
  <c r="F5" i="57" s="1"/>
  <c r="E10" i="57"/>
  <c r="F10" i="57" s="1"/>
  <c r="F13" i="57"/>
  <c r="G13" i="57" s="1"/>
  <c r="F7" i="58"/>
  <c r="G11" i="57"/>
  <c r="G20" i="57"/>
  <c r="G12" i="57"/>
  <c r="G15" i="57"/>
  <c r="G18" i="57"/>
  <c r="G21" i="57"/>
  <c r="G24" i="57"/>
  <c r="F13" i="56"/>
  <c r="G13" i="56" s="1"/>
  <c r="G22" i="56"/>
  <c r="G18" i="56"/>
  <c r="G12" i="56"/>
  <c r="G15" i="56"/>
  <c r="G32" i="56"/>
  <c r="G23" i="56"/>
  <c r="G11" i="56"/>
  <c r="G24" i="56"/>
  <c r="I7" i="40"/>
  <c r="K22" i="40"/>
  <c r="F22" i="40"/>
  <c r="E24" i="40"/>
  <c r="J19" i="40"/>
  <c r="R9" i="40"/>
  <c r="R26" i="40"/>
  <c r="R29" i="40"/>
  <c r="U12" i="40"/>
  <c r="J24" i="40" s="1"/>
  <c r="F24" i="40"/>
  <c r="E22" i="50"/>
  <c r="F22" i="50" s="1"/>
  <c r="S38" i="50"/>
  <c r="R38" i="50"/>
  <c r="U37" i="50"/>
  <c r="T37" i="50"/>
  <c r="U36" i="50"/>
  <c r="T36" i="50"/>
  <c r="U35" i="50"/>
  <c r="T35" i="50"/>
  <c r="U34" i="50"/>
  <c r="T34" i="50"/>
  <c r="U33" i="50"/>
  <c r="T33" i="50"/>
  <c r="U32" i="50"/>
  <c r="T32" i="50"/>
  <c r="U31" i="50"/>
  <c r="T31" i="50"/>
  <c r="U30" i="50"/>
  <c r="T30" i="50"/>
  <c r="U29" i="50"/>
  <c r="T29" i="50"/>
  <c r="U28" i="50"/>
  <c r="T28" i="50"/>
  <c r="U27" i="50"/>
  <c r="T27" i="50"/>
  <c r="U26" i="50"/>
  <c r="T26" i="50"/>
  <c r="U25" i="50"/>
  <c r="T25" i="50"/>
  <c r="U24" i="50"/>
  <c r="T24" i="50"/>
  <c r="U23" i="50"/>
  <c r="T23" i="50"/>
  <c r="U22" i="50"/>
  <c r="T22" i="50"/>
  <c r="U21" i="50"/>
  <c r="T21" i="50"/>
  <c r="D12" i="50"/>
  <c r="E10" i="50"/>
  <c r="E5" i="50" s="1"/>
  <c r="D11" i="49"/>
  <c r="S39" i="48"/>
  <c r="R39" i="48"/>
  <c r="U38" i="48"/>
  <c r="T38" i="48"/>
  <c r="S38" i="48"/>
  <c r="R38" i="48"/>
  <c r="U37" i="48"/>
  <c r="T37" i="48"/>
  <c r="U36" i="48"/>
  <c r="T36" i="48"/>
  <c r="U35" i="48"/>
  <c r="T35" i="48"/>
  <c r="U34" i="48"/>
  <c r="T34" i="48"/>
  <c r="U33" i="48"/>
  <c r="T33" i="48"/>
  <c r="U32" i="48"/>
  <c r="T32" i="48"/>
  <c r="U31" i="48"/>
  <c r="T31" i="48"/>
  <c r="U30" i="48"/>
  <c r="T30" i="48"/>
  <c r="U29" i="48"/>
  <c r="T29" i="48"/>
  <c r="U28" i="48"/>
  <c r="T28" i="48"/>
  <c r="U27" i="48"/>
  <c r="T27" i="48"/>
  <c r="U26" i="48"/>
  <c r="T26" i="48"/>
  <c r="U25" i="48"/>
  <c r="T25" i="48"/>
  <c r="U24" i="48"/>
  <c r="T24" i="48"/>
  <c r="U23" i="48"/>
  <c r="T23" i="48"/>
  <c r="U22" i="48"/>
  <c r="T22" i="48"/>
  <c r="M20" i="48"/>
  <c r="D10" i="48" s="1"/>
  <c r="E11" i="48"/>
  <c r="E5" i="48" s="1"/>
  <c r="M21" i="58" s="1"/>
  <c r="R21" i="58" s="1"/>
  <c r="R40" i="49"/>
  <c r="S40" i="49"/>
  <c r="U38" i="49"/>
  <c r="T38" i="49"/>
  <c r="S39" i="49"/>
  <c r="R39" i="49"/>
  <c r="U37" i="49"/>
  <c r="T37" i="49"/>
  <c r="S38" i="49"/>
  <c r="R38" i="49"/>
  <c r="U36" i="49"/>
  <c r="T36" i="49"/>
  <c r="U35" i="49"/>
  <c r="T35" i="49"/>
  <c r="U34" i="49"/>
  <c r="T34" i="49"/>
  <c r="U33" i="49"/>
  <c r="T33" i="49"/>
  <c r="U32" i="49"/>
  <c r="T32" i="49"/>
  <c r="U31" i="49"/>
  <c r="T31" i="49"/>
  <c r="U30" i="49"/>
  <c r="T30" i="49"/>
  <c r="U29" i="49"/>
  <c r="T29" i="49"/>
  <c r="U28" i="49"/>
  <c r="T28" i="49"/>
  <c r="U27" i="49"/>
  <c r="T27" i="49"/>
  <c r="U26" i="49"/>
  <c r="T26" i="49"/>
  <c r="U25" i="49"/>
  <c r="T25" i="49"/>
  <c r="U24" i="49"/>
  <c r="T24" i="49"/>
  <c r="U23" i="49"/>
  <c r="T23" i="49"/>
  <c r="U22" i="49"/>
  <c r="T22" i="49"/>
  <c r="M9" i="58"/>
  <c r="R9" i="58" s="1"/>
  <c r="D12" i="49"/>
  <c r="U24" i="36"/>
  <c r="U25" i="36"/>
  <c r="U26" i="36"/>
  <c r="U27" i="36"/>
  <c r="U28" i="36"/>
  <c r="U29" i="36"/>
  <c r="U30" i="36"/>
  <c r="U31" i="36"/>
  <c r="U32" i="36"/>
  <c r="U33" i="36"/>
  <c r="U34" i="36"/>
  <c r="U35" i="36"/>
  <c r="U36" i="36"/>
  <c r="U37" i="36"/>
  <c r="U38" i="36"/>
  <c r="U39" i="36"/>
  <c r="S38" i="36"/>
  <c r="S39" i="36"/>
  <c r="S40" i="36"/>
  <c r="T39" i="36"/>
  <c r="T24" i="36"/>
  <c r="T25" i="36"/>
  <c r="T26" i="36"/>
  <c r="T27" i="36"/>
  <c r="T28" i="36"/>
  <c r="T29" i="36"/>
  <c r="T30" i="36"/>
  <c r="T31" i="36"/>
  <c r="T32" i="36"/>
  <c r="T33" i="36"/>
  <c r="T34" i="36"/>
  <c r="T35" i="36"/>
  <c r="T36" i="36"/>
  <c r="T37" i="36"/>
  <c r="T38" i="36"/>
  <c r="R40" i="36"/>
  <c r="R38" i="36"/>
  <c r="R39" i="36"/>
  <c r="U23" i="36"/>
  <c r="T23" i="36"/>
  <c r="E11" i="36"/>
  <c r="E5" i="36" s="1"/>
  <c r="M11" i="58" s="1"/>
  <c r="R11" i="58" s="1"/>
  <c r="D23" i="36"/>
  <c r="F15" i="36"/>
  <c r="E18" i="36"/>
  <c r="L14" i="21"/>
  <c r="M6" i="36"/>
  <c r="D10" i="36" s="1"/>
  <c r="F23" i="36"/>
  <c r="M12" i="58" l="1"/>
  <c r="R12" i="58" s="1"/>
  <c r="E6" i="56"/>
  <c r="F6" i="56" s="1"/>
  <c r="H26" i="56"/>
  <c r="H21" i="56"/>
  <c r="M10" i="58"/>
  <c r="R10" i="58" s="1"/>
  <c r="H11" i="56"/>
  <c r="H24" i="56"/>
  <c r="H18" i="56"/>
  <c r="H22" i="56"/>
  <c r="H20" i="56"/>
  <c r="H32" i="56"/>
  <c r="F5" i="56"/>
  <c r="I12" i="56" s="1"/>
  <c r="H23" i="56"/>
  <c r="H15" i="56"/>
  <c r="E10" i="56"/>
  <c r="F10" i="56" s="1"/>
  <c r="H12" i="56"/>
  <c r="H26" i="57"/>
  <c r="H23" i="57"/>
  <c r="H20" i="57"/>
  <c r="H18" i="57"/>
  <c r="M3" i="58"/>
  <c r="R3" i="58" s="1"/>
  <c r="H15" i="57"/>
  <c r="E6" i="57"/>
  <c r="F6" i="57" s="1"/>
  <c r="F7" i="57" s="1"/>
  <c r="H22" i="57"/>
  <c r="H11" i="57"/>
  <c r="H24" i="57"/>
  <c r="H21" i="57"/>
  <c r="H12" i="57"/>
  <c r="H32" i="57"/>
  <c r="I15" i="57"/>
  <c r="N3" i="58"/>
  <c r="E10" i="36"/>
  <c r="F10" i="36" s="1"/>
  <c r="I24" i="57"/>
  <c r="G5" i="57"/>
  <c r="I11" i="57"/>
  <c r="I12" i="57"/>
  <c r="E25" i="57"/>
  <c r="I26" i="57"/>
  <c r="F14" i="57"/>
  <c r="I5" i="57"/>
  <c r="I23" i="57"/>
  <c r="I32" i="57"/>
  <c r="I10" i="57"/>
  <c r="H10" i="57"/>
  <c r="G10" i="57"/>
  <c r="F10" i="52"/>
  <c r="H10" i="56" l="1"/>
  <c r="H6" i="56"/>
  <c r="G6" i="56"/>
  <c r="G14" i="57"/>
  <c r="I26" i="56"/>
  <c r="I11" i="56"/>
  <c r="I5" i="56"/>
  <c r="I23" i="56"/>
  <c r="I32" i="56"/>
  <c r="I24" i="56"/>
  <c r="I6" i="56"/>
  <c r="F7" i="56"/>
  <c r="I10" i="56"/>
  <c r="G10" i="56"/>
  <c r="I15" i="56"/>
  <c r="E25" i="56"/>
  <c r="F25" i="56" s="1"/>
  <c r="I25" i="56" s="1"/>
  <c r="F14" i="56"/>
  <c r="G5" i="56"/>
  <c r="N10" i="58"/>
  <c r="Q3" i="58"/>
  <c r="G6" i="57"/>
  <c r="G7" i="57" s="1"/>
  <c r="H6" i="57"/>
  <c r="I6" i="57"/>
  <c r="F25" i="57"/>
  <c r="H25" i="57" s="1"/>
  <c r="H14" i="57"/>
  <c r="I14" i="57"/>
  <c r="I7" i="57"/>
  <c r="H7" i="57"/>
  <c r="D28" i="11"/>
  <c r="E19" i="36" s="1"/>
  <c r="J18" i="53"/>
  <c r="L32" i="21"/>
  <c r="E18" i="47"/>
  <c r="J20" i="53"/>
  <c r="E18" i="53"/>
  <c r="F18" i="53" s="1"/>
  <c r="E19" i="40"/>
  <c r="D5" i="50"/>
  <c r="D6" i="49"/>
  <c r="D5" i="48"/>
  <c r="E19" i="52" l="1"/>
  <c r="J19" i="47"/>
  <c r="J20" i="40"/>
  <c r="E19" i="53"/>
  <c r="E19" i="57"/>
  <c r="F19" i="57" s="1"/>
  <c r="E19" i="56"/>
  <c r="F19" i="56" s="1"/>
  <c r="E19" i="47"/>
  <c r="J19" i="53"/>
  <c r="E19" i="48"/>
  <c r="E20" i="49"/>
  <c r="E18" i="50"/>
  <c r="E20" i="40"/>
  <c r="G7" i="56"/>
  <c r="G14" i="56"/>
  <c r="H7" i="56"/>
  <c r="I7" i="56"/>
  <c r="I42" i="56"/>
  <c r="Q10" i="58"/>
  <c r="H14" i="56"/>
  <c r="I14" i="56"/>
  <c r="H25" i="56"/>
  <c r="G25" i="56"/>
  <c r="G25" i="57"/>
  <c r="I25" i="57"/>
  <c r="D5" i="36"/>
  <c r="F5" i="36" s="1"/>
  <c r="N11" i="58" s="1"/>
  <c r="F17" i="56" l="1"/>
  <c r="H19" i="56"/>
  <c r="G19" i="56"/>
  <c r="G19" i="57"/>
  <c r="F17" i="57"/>
  <c r="H19" i="57"/>
  <c r="E12" i="40"/>
  <c r="E7" i="40" s="1"/>
  <c r="E12" i="50"/>
  <c r="I17" i="57" l="1"/>
  <c r="G17" i="57"/>
  <c r="H17" i="57"/>
  <c r="H17" i="56"/>
  <c r="G17" i="56"/>
  <c r="I17" i="56"/>
  <c r="F5" i="52"/>
  <c r="F11" i="52"/>
  <c r="E20" i="53"/>
  <c r="E20" i="52"/>
  <c r="F20" i="52" s="1"/>
  <c r="J20" i="47"/>
  <c r="E20" i="47"/>
  <c r="J21" i="40"/>
  <c r="E21" i="40"/>
  <c r="Y35" i="53"/>
  <c r="X35" i="53"/>
  <c r="W35" i="53"/>
  <c r="Y34" i="53"/>
  <c r="X34" i="53"/>
  <c r="W34" i="53"/>
  <c r="Y33" i="53"/>
  <c r="X33" i="53"/>
  <c r="W33" i="53"/>
  <c r="Y32" i="53"/>
  <c r="X32" i="53"/>
  <c r="W32" i="53"/>
  <c r="Y31" i="53"/>
  <c r="X31" i="53"/>
  <c r="W31" i="53"/>
  <c r="Y30" i="53"/>
  <c r="X30" i="53"/>
  <c r="W30" i="53"/>
  <c r="Y29" i="53"/>
  <c r="X29" i="53"/>
  <c r="W29" i="53"/>
  <c r="Y28" i="53"/>
  <c r="X28" i="53"/>
  <c r="W28" i="53"/>
  <c r="Y27" i="53"/>
  <c r="X27" i="53"/>
  <c r="W27" i="53"/>
  <c r="Y26" i="53"/>
  <c r="X26" i="53"/>
  <c r="W26" i="53"/>
  <c r="Y25" i="53"/>
  <c r="X25" i="53"/>
  <c r="W25" i="53"/>
  <c r="Y24" i="53"/>
  <c r="X24" i="53"/>
  <c r="W24" i="53"/>
  <c r="Y23" i="53"/>
  <c r="X23" i="53"/>
  <c r="W23" i="53"/>
  <c r="Y22" i="53"/>
  <c r="X22" i="53"/>
  <c r="W22" i="53"/>
  <c r="Y21" i="53"/>
  <c r="X21" i="53"/>
  <c r="W21" i="53"/>
  <c r="Y20" i="53"/>
  <c r="X20" i="53"/>
  <c r="W20" i="53"/>
  <c r="Y19" i="53"/>
  <c r="X19" i="53"/>
  <c r="W19" i="53"/>
  <c r="Y18" i="53"/>
  <c r="X18" i="53"/>
  <c r="W18" i="53"/>
  <c r="Y17" i="53"/>
  <c r="X17" i="53"/>
  <c r="W17" i="53"/>
  <c r="Y16" i="53"/>
  <c r="X16" i="53"/>
  <c r="W16" i="53"/>
  <c r="Y15" i="53"/>
  <c r="X15" i="53"/>
  <c r="W15" i="53"/>
  <c r="Y14" i="53"/>
  <c r="X14" i="53"/>
  <c r="W14" i="53"/>
  <c r="Y13" i="53"/>
  <c r="X13" i="53"/>
  <c r="W13" i="53"/>
  <c r="Y12" i="53"/>
  <c r="X12" i="53"/>
  <c r="W12" i="53"/>
  <c r="Y11" i="53"/>
  <c r="X11" i="53"/>
  <c r="W11" i="53"/>
  <c r="Y10" i="53"/>
  <c r="X10" i="53"/>
  <c r="W10" i="53"/>
  <c r="Y9" i="53"/>
  <c r="X9" i="53"/>
  <c r="Y8" i="53"/>
  <c r="X8" i="53"/>
  <c r="W8" i="53"/>
  <c r="I33" i="53"/>
  <c r="D33" i="53"/>
  <c r="B40" i="53" s="1"/>
  <c r="Y7" i="53"/>
  <c r="X7" i="53"/>
  <c r="W7" i="53"/>
  <c r="P32" i="53"/>
  <c r="Y6" i="53"/>
  <c r="X6" i="53"/>
  <c r="W6" i="53"/>
  <c r="Y5" i="53"/>
  <c r="X5" i="53"/>
  <c r="W5" i="53"/>
  <c r="Y4" i="53"/>
  <c r="X4" i="53"/>
  <c r="W4" i="53"/>
  <c r="Y3" i="53"/>
  <c r="X3" i="53"/>
  <c r="W3" i="53"/>
  <c r="D28" i="53"/>
  <c r="I28" i="53" s="1"/>
  <c r="I26" i="53"/>
  <c r="D26" i="53"/>
  <c r="K25" i="53"/>
  <c r="F25" i="53"/>
  <c r="K24" i="53"/>
  <c r="E22" i="53"/>
  <c r="D22" i="53"/>
  <c r="I22" i="53" s="1"/>
  <c r="K21" i="53"/>
  <c r="D20" i="53"/>
  <c r="I20" i="53" s="1"/>
  <c r="D19" i="53"/>
  <c r="I19" i="53" s="1"/>
  <c r="K18" i="53"/>
  <c r="D18" i="53"/>
  <c r="I18" i="53" s="1"/>
  <c r="U15" i="53"/>
  <c r="T15" i="53"/>
  <c r="D11" i="53" s="1"/>
  <c r="K15" i="53"/>
  <c r="F15" i="53"/>
  <c r="T13" i="53"/>
  <c r="J13" i="53"/>
  <c r="E13" i="53"/>
  <c r="D13" i="53"/>
  <c r="I13" i="53" s="1"/>
  <c r="K12" i="53"/>
  <c r="F12" i="53"/>
  <c r="J11" i="53"/>
  <c r="I11" i="53"/>
  <c r="E11" i="53"/>
  <c r="I10" i="53"/>
  <c r="D10" i="53"/>
  <c r="I7" i="53"/>
  <c r="D7" i="53"/>
  <c r="I6" i="53"/>
  <c r="D6" i="53"/>
  <c r="G6" i="53" s="1"/>
  <c r="D33" i="52"/>
  <c r="B41" i="52" s="1"/>
  <c r="F32" i="52"/>
  <c r="G32" i="52" s="1"/>
  <c r="D27" i="52"/>
  <c r="G26" i="52"/>
  <c r="F24" i="52"/>
  <c r="F21" i="52"/>
  <c r="H21" i="52" s="1"/>
  <c r="D19" i="52"/>
  <c r="E18" i="52"/>
  <c r="F18" i="52" s="1"/>
  <c r="D18" i="52"/>
  <c r="F15" i="52"/>
  <c r="G15" i="52" s="1"/>
  <c r="E13" i="52"/>
  <c r="D13" i="52"/>
  <c r="F12" i="52"/>
  <c r="D6" i="52"/>
  <c r="H5" i="52"/>
  <c r="D32" i="50"/>
  <c r="F31" i="50"/>
  <c r="D26" i="50"/>
  <c r="G25" i="50"/>
  <c r="D24" i="50"/>
  <c r="F23" i="50"/>
  <c r="G23" i="50" s="1"/>
  <c r="G22" i="50"/>
  <c r="E21" i="50"/>
  <c r="D21" i="50"/>
  <c r="F20" i="50"/>
  <c r="G20" i="50" s="1"/>
  <c r="E19" i="50"/>
  <c r="F19" i="50" s="1"/>
  <c r="D18" i="50"/>
  <c r="E17" i="50"/>
  <c r="F17" i="50" s="1"/>
  <c r="D17" i="50"/>
  <c r="F14" i="50"/>
  <c r="F11" i="50"/>
  <c r="D6" i="50"/>
  <c r="E6" i="50" s="1"/>
  <c r="H5" i="50"/>
  <c r="D34" i="49"/>
  <c r="B42" i="49" s="1"/>
  <c r="F33" i="49"/>
  <c r="G33" i="49" s="1"/>
  <c r="D28" i="49"/>
  <c r="G27" i="49"/>
  <c r="F25" i="49"/>
  <c r="F24" i="49"/>
  <c r="G24" i="49" s="1"/>
  <c r="E23" i="49"/>
  <c r="D23" i="49"/>
  <c r="F22" i="49"/>
  <c r="E21" i="49"/>
  <c r="F21" i="49" s="1"/>
  <c r="D20" i="49"/>
  <c r="F20" i="49" s="1"/>
  <c r="E19" i="49"/>
  <c r="F19" i="49" s="1"/>
  <c r="D19" i="49"/>
  <c r="F16" i="49"/>
  <c r="G16" i="49" s="1"/>
  <c r="E14" i="49"/>
  <c r="D14" i="49"/>
  <c r="F13" i="49"/>
  <c r="D7" i="49"/>
  <c r="E7" i="49" s="1"/>
  <c r="H6" i="49"/>
  <c r="F18" i="49" l="1"/>
  <c r="F14" i="49"/>
  <c r="G14" i="49" s="1"/>
  <c r="J6" i="53"/>
  <c r="J10" i="53" s="1"/>
  <c r="K10" i="53" s="1"/>
  <c r="E6" i="53"/>
  <c r="G18" i="53" s="1"/>
  <c r="C43" i="53"/>
  <c r="N15" i="53" s="1"/>
  <c r="D43" i="53"/>
  <c r="J24" i="53" s="1"/>
  <c r="G5" i="52"/>
  <c r="N8" i="58"/>
  <c r="H11" i="52"/>
  <c r="F7" i="49"/>
  <c r="F23" i="49"/>
  <c r="H23" i="49" s="1"/>
  <c r="F19" i="52"/>
  <c r="H19" i="52" s="1"/>
  <c r="E6" i="52"/>
  <c r="F6" i="52" s="1"/>
  <c r="F7" i="52" s="1"/>
  <c r="F13" i="53"/>
  <c r="K11" i="53"/>
  <c r="F20" i="53"/>
  <c r="F19" i="53"/>
  <c r="K19" i="53"/>
  <c r="K13" i="53"/>
  <c r="H22" i="52"/>
  <c r="H24" i="52"/>
  <c r="H18" i="52"/>
  <c r="H32" i="52"/>
  <c r="F13" i="52"/>
  <c r="G13" i="52" s="1"/>
  <c r="K20" i="53"/>
  <c r="F11" i="53"/>
  <c r="F22" i="53"/>
  <c r="H20" i="52"/>
  <c r="G20" i="52"/>
  <c r="G23" i="52"/>
  <c r="I24" i="52"/>
  <c r="H23" i="52"/>
  <c r="G12" i="52"/>
  <c r="H15" i="52"/>
  <c r="G18" i="52"/>
  <c r="G21" i="52"/>
  <c r="G24" i="52"/>
  <c r="H26" i="52"/>
  <c r="H12" i="52"/>
  <c r="F12" i="50"/>
  <c r="G12" i="50" s="1"/>
  <c r="F18" i="50"/>
  <c r="F16" i="50" s="1"/>
  <c r="H19" i="50"/>
  <c r="H31" i="50"/>
  <c r="F21" i="50"/>
  <c r="G21" i="50" s="1"/>
  <c r="H17" i="50"/>
  <c r="G17" i="50"/>
  <c r="H22" i="50"/>
  <c r="H11" i="50"/>
  <c r="H14" i="50"/>
  <c r="G11" i="50"/>
  <c r="H25" i="50"/>
  <c r="G14" i="50"/>
  <c r="H20" i="50"/>
  <c r="H23" i="50"/>
  <c r="G19" i="50"/>
  <c r="F6" i="50"/>
  <c r="F10" i="50"/>
  <c r="F5" i="50"/>
  <c r="G31" i="50"/>
  <c r="H33" i="49"/>
  <c r="F12" i="49"/>
  <c r="G12" i="49" s="1"/>
  <c r="H13" i="49"/>
  <c r="H22" i="49"/>
  <c r="H20" i="49"/>
  <c r="H19" i="49"/>
  <c r="G19" i="49"/>
  <c r="H21" i="49"/>
  <c r="G21" i="49"/>
  <c r="F6" i="49"/>
  <c r="G22" i="49"/>
  <c r="G25" i="49"/>
  <c r="H27" i="49"/>
  <c r="H25" i="49"/>
  <c r="H24" i="49"/>
  <c r="G13" i="49"/>
  <c r="F11" i="49"/>
  <c r="H16" i="49"/>
  <c r="G20" i="49"/>
  <c r="N12" i="58" l="1"/>
  <c r="I21" i="50"/>
  <c r="N18" i="53"/>
  <c r="E24" i="53"/>
  <c r="O12" i="53"/>
  <c r="K17" i="53"/>
  <c r="F17" i="53"/>
  <c r="F17" i="52"/>
  <c r="G17" i="52" s="1"/>
  <c r="Q8" i="58"/>
  <c r="G23" i="49"/>
  <c r="L20" i="53"/>
  <c r="E10" i="53"/>
  <c r="F10" i="53" s="1"/>
  <c r="G15" i="53"/>
  <c r="E7" i="53"/>
  <c r="F7" i="53" s="1"/>
  <c r="L21" i="53"/>
  <c r="L24" i="53"/>
  <c r="G22" i="53"/>
  <c r="L25" i="53"/>
  <c r="G19" i="53"/>
  <c r="G21" i="53"/>
  <c r="O19" i="53"/>
  <c r="G25" i="53"/>
  <c r="G12" i="53"/>
  <c r="L12" i="53"/>
  <c r="G27" i="53"/>
  <c r="F6" i="53"/>
  <c r="L13" i="53"/>
  <c r="N21" i="53"/>
  <c r="K6" i="53"/>
  <c r="L18" i="53"/>
  <c r="L15" i="53"/>
  <c r="N20" i="53"/>
  <c r="G24" i="53"/>
  <c r="E43" i="53"/>
  <c r="G23" i="53"/>
  <c r="O15" i="53"/>
  <c r="P15" i="53" s="1"/>
  <c r="O5" i="53"/>
  <c r="O21" i="53"/>
  <c r="O25" i="53"/>
  <c r="N13" i="53"/>
  <c r="J7" i="53"/>
  <c r="K7" i="53" s="1"/>
  <c r="I25" i="49"/>
  <c r="N9" i="58"/>
  <c r="G11" i="52"/>
  <c r="L19" i="53"/>
  <c r="O13" i="53"/>
  <c r="H12" i="50"/>
  <c r="G19" i="52"/>
  <c r="N27" i="53"/>
  <c r="N23" i="53"/>
  <c r="G20" i="53"/>
  <c r="N19" i="53"/>
  <c r="N12" i="53"/>
  <c r="N24" i="53"/>
  <c r="O27" i="53"/>
  <c r="P27" i="53" s="1"/>
  <c r="K23" i="53"/>
  <c r="O18" i="53"/>
  <c r="O24" i="53"/>
  <c r="I24" i="49"/>
  <c r="I16" i="49"/>
  <c r="I13" i="49"/>
  <c r="L11" i="53"/>
  <c r="N5" i="53"/>
  <c r="N25" i="53"/>
  <c r="G22" i="52"/>
  <c r="I23" i="52"/>
  <c r="I12" i="52"/>
  <c r="O20" i="53"/>
  <c r="N11" i="53"/>
  <c r="P11" i="53" s="1"/>
  <c r="G11" i="53"/>
  <c r="O10" i="53"/>
  <c r="L10" i="53"/>
  <c r="G6" i="52"/>
  <c r="I6" i="52"/>
  <c r="H6" i="52"/>
  <c r="I32" i="52"/>
  <c r="F14" i="52"/>
  <c r="E25" i="52"/>
  <c r="F25" i="52" s="1"/>
  <c r="I26" i="52"/>
  <c r="I5" i="52"/>
  <c r="I11" i="52"/>
  <c r="I15" i="52"/>
  <c r="G10" i="52"/>
  <c r="I10" i="52"/>
  <c r="H10" i="52"/>
  <c r="I12" i="50"/>
  <c r="I16" i="50"/>
  <c r="H18" i="50"/>
  <c r="G18" i="50"/>
  <c r="I23" i="50"/>
  <c r="H21" i="50"/>
  <c r="I11" i="50"/>
  <c r="I31" i="50"/>
  <c r="H10" i="50"/>
  <c r="G10" i="50"/>
  <c r="I10" i="50"/>
  <c r="F7" i="50"/>
  <c r="F13" i="50"/>
  <c r="E24" i="50"/>
  <c r="F24" i="50" s="1"/>
  <c r="I5" i="50"/>
  <c r="G5" i="50"/>
  <c r="I25" i="50"/>
  <c r="I22" i="50"/>
  <c r="H6" i="50"/>
  <c r="G6" i="50"/>
  <c r="I6" i="50"/>
  <c r="I14" i="50"/>
  <c r="H12" i="49"/>
  <c r="I12" i="49"/>
  <c r="I7" i="49"/>
  <c r="H7" i="49"/>
  <c r="G7" i="49"/>
  <c r="G18" i="49"/>
  <c r="I18" i="49"/>
  <c r="H18" i="49"/>
  <c r="F15" i="49"/>
  <c r="E26" i="49"/>
  <c r="F26" i="49" s="1"/>
  <c r="G6" i="49"/>
  <c r="I27" i="49"/>
  <c r="I6" i="49"/>
  <c r="F8" i="49"/>
  <c r="I33" i="49"/>
  <c r="I11" i="49"/>
  <c r="H11" i="49"/>
  <c r="G11" i="49"/>
  <c r="P18" i="53" l="1"/>
  <c r="P12" i="53"/>
  <c r="N17" i="53"/>
  <c r="O17" i="53"/>
  <c r="P6" i="53"/>
  <c r="N7" i="58" s="1"/>
  <c r="P7" i="53"/>
  <c r="G10" i="53"/>
  <c r="Q12" i="58"/>
  <c r="G7" i="53"/>
  <c r="Q9" i="58"/>
  <c r="N10" i="53"/>
  <c r="P10" i="53" s="1"/>
  <c r="H7" i="53"/>
  <c r="P19" i="53"/>
  <c r="P21" i="53"/>
  <c r="P13" i="53"/>
  <c r="F14" i="53"/>
  <c r="M12" i="53"/>
  <c r="H6" i="53"/>
  <c r="H23" i="53"/>
  <c r="H24" i="53"/>
  <c r="M19" i="53"/>
  <c r="F8" i="53"/>
  <c r="H18" i="53"/>
  <c r="H19" i="53"/>
  <c r="H21" i="53"/>
  <c r="H13" i="53"/>
  <c r="H20" i="53"/>
  <c r="H25" i="53"/>
  <c r="H11" i="53"/>
  <c r="H22" i="53"/>
  <c r="H27" i="53"/>
  <c r="H15" i="53"/>
  <c r="M27" i="53"/>
  <c r="H10" i="53"/>
  <c r="M20" i="53"/>
  <c r="M10" i="53"/>
  <c r="M24" i="53"/>
  <c r="M7" i="58"/>
  <c r="R7" i="58" s="1"/>
  <c r="H12" i="53"/>
  <c r="P25" i="53"/>
  <c r="M18" i="53"/>
  <c r="O32" i="53"/>
  <c r="M21" i="53"/>
  <c r="K14" i="53"/>
  <c r="L6" i="53"/>
  <c r="M13" i="53"/>
  <c r="M6" i="53"/>
  <c r="M15" i="53"/>
  <c r="M25" i="53"/>
  <c r="M11" i="53"/>
  <c r="P5" i="53"/>
  <c r="P24" i="53"/>
  <c r="N32" i="53"/>
  <c r="F32" i="53" s="1"/>
  <c r="L7" i="53"/>
  <c r="M7" i="53"/>
  <c r="K8" i="53"/>
  <c r="H16" i="50"/>
  <c r="O23" i="53"/>
  <c r="P23" i="53" s="1"/>
  <c r="L23" i="53"/>
  <c r="M23" i="53"/>
  <c r="H17" i="52"/>
  <c r="I17" i="52"/>
  <c r="P20" i="53"/>
  <c r="H17" i="53"/>
  <c r="G17" i="53"/>
  <c r="I25" i="52"/>
  <c r="H25" i="52"/>
  <c r="G25" i="52"/>
  <c r="H14" i="52"/>
  <c r="G14" i="52"/>
  <c r="I14" i="52"/>
  <c r="I7" i="52"/>
  <c r="H7" i="52"/>
  <c r="G7" i="52"/>
  <c r="G16" i="50"/>
  <c r="G24" i="50"/>
  <c r="H24" i="50"/>
  <c r="I24" i="50"/>
  <c r="G7" i="50"/>
  <c r="H13" i="50"/>
  <c r="G13" i="50"/>
  <c r="I13" i="50"/>
  <c r="I41" i="50"/>
  <c r="I7" i="50"/>
  <c r="H7" i="50"/>
  <c r="G8" i="49"/>
  <c r="G26" i="49"/>
  <c r="I26" i="49"/>
  <c r="H26" i="49"/>
  <c r="G15" i="49"/>
  <c r="H15" i="49"/>
  <c r="I15" i="49"/>
  <c r="I8" i="49"/>
  <c r="I43" i="49"/>
  <c r="H8" i="49"/>
  <c r="D25" i="48"/>
  <c r="E10" i="48"/>
  <c r="F10" i="48" s="1"/>
  <c r="E22" i="48"/>
  <c r="D33" i="48"/>
  <c r="F32" i="48"/>
  <c r="D27" i="48"/>
  <c r="G26" i="48"/>
  <c r="F24" i="48"/>
  <c r="G24" i="48" s="1"/>
  <c r="F23" i="48"/>
  <c r="G23" i="48" s="1"/>
  <c r="D22" i="48"/>
  <c r="F21" i="48"/>
  <c r="G21" i="48" s="1"/>
  <c r="E20" i="48"/>
  <c r="F20" i="48" s="1"/>
  <c r="D19" i="48"/>
  <c r="F19" i="48" s="1"/>
  <c r="E18" i="48"/>
  <c r="F18" i="48" s="1"/>
  <c r="D18" i="48"/>
  <c r="F15" i="48"/>
  <c r="G15" i="48" s="1"/>
  <c r="E13" i="48"/>
  <c r="D13" i="48"/>
  <c r="F12" i="48"/>
  <c r="D6" i="48"/>
  <c r="H5" i="48"/>
  <c r="D6" i="36"/>
  <c r="E6" i="36" s="1"/>
  <c r="F6" i="36" s="1"/>
  <c r="D6" i="47"/>
  <c r="G6" i="47" s="1"/>
  <c r="I6" i="47"/>
  <c r="D7" i="47"/>
  <c r="I7" i="47"/>
  <c r="D10" i="47"/>
  <c r="I10" i="47"/>
  <c r="D11" i="47"/>
  <c r="E11" i="47"/>
  <c r="I11" i="47"/>
  <c r="J11" i="47"/>
  <c r="J6" i="47" s="1"/>
  <c r="F12" i="47"/>
  <c r="K12" i="47"/>
  <c r="D13" i="47"/>
  <c r="E13" i="47"/>
  <c r="J13" i="47"/>
  <c r="F15" i="47"/>
  <c r="K15" i="47"/>
  <c r="F16" i="47"/>
  <c r="K16" i="47"/>
  <c r="D18" i="47"/>
  <c r="I18" i="47" s="1"/>
  <c r="F18" i="47"/>
  <c r="J18" i="47"/>
  <c r="K18" i="47" s="1"/>
  <c r="D19" i="47"/>
  <c r="I19" i="47" s="1"/>
  <c r="D20" i="47"/>
  <c r="F21" i="47"/>
  <c r="K21" i="47"/>
  <c r="D22" i="47"/>
  <c r="I22" i="47" s="1"/>
  <c r="E22" i="47"/>
  <c r="J22" i="47"/>
  <c r="F23" i="47"/>
  <c r="K23" i="47"/>
  <c r="F24" i="47"/>
  <c r="K24" i="47"/>
  <c r="D25" i="47"/>
  <c r="I25" i="47"/>
  <c r="D27" i="47"/>
  <c r="I27" i="47" s="1"/>
  <c r="P31" i="47"/>
  <c r="D32" i="47"/>
  <c r="I32" i="47"/>
  <c r="P17" i="53" l="1"/>
  <c r="G20" i="48"/>
  <c r="F17" i="48"/>
  <c r="N14" i="53"/>
  <c r="O14" i="53"/>
  <c r="H14" i="53"/>
  <c r="H8" i="53"/>
  <c r="G14" i="53"/>
  <c r="F19" i="47"/>
  <c r="D42" i="47"/>
  <c r="E6" i="47"/>
  <c r="G15" i="47" s="1"/>
  <c r="C42" i="47"/>
  <c r="E26" i="53"/>
  <c r="F26" i="53" s="1"/>
  <c r="N41" i="53"/>
  <c r="G8" i="53"/>
  <c r="Q12" i="53"/>
  <c r="M14" i="53"/>
  <c r="L14" i="53"/>
  <c r="L8" i="53"/>
  <c r="J26" i="53"/>
  <c r="K26" i="53" s="1"/>
  <c r="M26" i="53" s="1"/>
  <c r="M8" i="53"/>
  <c r="F22" i="47"/>
  <c r="L18" i="47"/>
  <c r="L21" i="47"/>
  <c r="L23" i="47"/>
  <c r="L24" i="47"/>
  <c r="L12" i="47"/>
  <c r="F20" i="47"/>
  <c r="H32" i="53"/>
  <c r="F13" i="48"/>
  <c r="G13" i="48" s="1"/>
  <c r="E6" i="48"/>
  <c r="F6" i="48" s="1"/>
  <c r="F11" i="48"/>
  <c r="G11" i="48" s="1"/>
  <c r="H10" i="48"/>
  <c r="H20" i="48"/>
  <c r="H23" i="48"/>
  <c r="H15" i="48"/>
  <c r="H26" i="48"/>
  <c r="F5" i="48"/>
  <c r="N21" i="58" s="1"/>
  <c r="H19" i="48"/>
  <c r="G19" i="48"/>
  <c r="F22" i="48"/>
  <c r="G12" i="48"/>
  <c r="H12" i="48"/>
  <c r="H18" i="48"/>
  <c r="H21" i="48"/>
  <c r="H24" i="48"/>
  <c r="G18" i="48"/>
  <c r="G32" i="48"/>
  <c r="H32" i="48"/>
  <c r="L15" i="47"/>
  <c r="F13" i="47"/>
  <c r="K22" i="47"/>
  <c r="L22" i="47" s="1"/>
  <c r="K11" i="47"/>
  <c r="L11" i="47" s="1"/>
  <c r="F11" i="47"/>
  <c r="L16" i="47"/>
  <c r="K19" i="47"/>
  <c r="L19" i="47" s="1"/>
  <c r="K6" i="47"/>
  <c r="J7" i="47"/>
  <c r="K7" i="47" s="1"/>
  <c r="I13" i="47"/>
  <c r="K13" i="47" s="1"/>
  <c r="I20" i="47"/>
  <c r="K20" i="47" s="1"/>
  <c r="F17" i="47" l="1"/>
  <c r="N13" i="47"/>
  <c r="O13" i="47"/>
  <c r="L20" i="47"/>
  <c r="K17" i="47"/>
  <c r="L17" i="47" s="1"/>
  <c r="P14" i="53"/>
  <c r="G22" i="47"/>
  <c r="G16" i="47"/>
  <c r="Q19" i="53"/>
  <c r="G26" i="47"/>
  <c r="G23" i="47"/>
  <c r="F6" i="47"/>
  <c r="H12" i="47" s="1"/>
  <c r="G24" i="47"/>
  <c r="G21" i="47"/>
  <c r="G19" i="47"/>
  <c r="G17" i="47"/>
  <c r="G18" i="47"/>
  <c r="G11" i="47"/>
  <c r="Q27" i="53"/>
  <c r="G12" i="47"/>
  <c r="Q32" i="53"/>
  <c r="E42" i="47"/>
  <c r="H26" i="53"/>
  <c r="G26" i="53"/>
  <c r="Q7" i="53"/>
  <c r="Q25" i="53"/>
  <c r="Q24" i="53"/>
  <c r="Q20" i="53"/>
  <c r="Q11" i="53"/>
  <c r="Q21" i="53"/>
  <c r="Q15" i="53"/>
  <c r="Q10" i="53"/>
  <c r="Q6" i="53"/>
  <c r="Q18" i="53"/>
  <c r="Q23" i="53"/>
  <c r="Q13" i="53"/>
  <c r="P8" i="53"/>
  <c r="Q7" i="58" s="1"/>
  <c r="O26" i="53"/>
  <c r="P26" i="53" s="1"/>
  <c r="Q26" i="53" s="1"/>
  <c r="L26" i="53"/>
  <c r="M20" i="58"/>
  <c r="G20" i="47"/>
  <c r="M18" i="47"/>
  <c r="M19" i="47"/>
  <c r="M20" i="47"/>
  <c r="M21" i="47"/>
  <c r="M22" i="47"/>
  <c r="M23" i="47"/>
  <c r="K32" i="53"/>
  <c r="M32" i="53" s="1"/>
  <c r="G32" i="53"/>
  <c r="I32" i="48"/>
  <c r="E25" i="48"/>
  <c r="F25" i="48" s="1"/>
  <c r="I25" i="48" s="1"/>
  <c r="G10" i="48"/>
  <c r="I26" i="48"/>
  <c r="I24" i="48"/>
  <c r="G5" i="48"/>
  <c r="F14" i="48"/>
  <c r="I10" i="48"/>
  <c r="F7" i="48"/>
  <c r="I5" i="48"/>
  <c r="I15" i="48"/>
  <c r="I23" i="48"/>
  <c r="I12" i="48"/>
  <c r="I17" i="48"/>
  <c r="H17" i="48"/>
  <c r="G17" i="48"/>
  <c r="I11" i="48"/>
  <c r="H11" i="48"/>
  <c r="I6" i="48"/>
  <c r="H6" i="48"/>
  <c r="G6" i="48"/>
  <c r="H22" i="48"/>
  <c r="G22" i="48"/>
  <c r="M16" i="47"/>
  <c r="M13" i="47"/>
  <c r="M15" i="47"/>
  <c r="M11" i="47"/>
  <c r="M26" i="47"/>
  <c r="M24" i="47"/>
  <c r="M12" i="47"/>
  <c r="M7" i="47"/>
  <c r="L6" i="47"/>
  <c r="M6" i="47"/>
  <c r="K8" i="47"/>
  <c r="K14" i="47"/>
  <c r="L13" i="47"/>
  <c r="L7" i="47"/>
  <c r="P13" i="47" l="1"/>
  <c r="Q8" i="53"/>
  <c r="G14" i="48"/>
  <c r="Q14" i="53"/>
  <c r="H15" i="47"/>
  <c r="H17" i="47"/>
  <c r="H21" i="47"/>
  <c r="H22" i="47"/>
  <c r="H20" i="47"/>
  <c r="H19" i="47"/>
  <c r="H18" i="47"/>
  <c r="H6" i="47"/>
  <c r="F14" i="47"/>
  <c r="H14" i="47" s="1"/>
  <c r="H11" i="47"/>
  <c r="H16" i="47"/>
  <c r="H23" i="47"/>
  <c r="H24" i="47"/>
  <c r="H13" i="47"/>
  <c r="H26" i="47"/>
  <c r="N31" i="47"/>
  <c r="O31" i="47"/>
  <c r="H7" i="48"/>
  <c r="Q21" i="58"/>
  <c r="M17" i="47"/>
  <c r="L32" i="53"/>
  <c r="G25" i="48"/>
  <c r="H25" i="48"/>
  <c r="G7" i="48"/>
  <c r="I7" i="48"/>
  <c r="H14" i="48"/>
  <c r="I14" i="48"/>
  <c r="I42" i="48"/>
  <c r="J25" i="47"/>
  <c r="K25" i="47" s="1"/>
  <c r="M25" i="47" s="1"/>
  <c r="M8" i="47"/>
  <c r="L8" i="47"/>
  <c r="L14" i="47"/>
  <c r="M14" i="47"/>
  <c r="G14" i="47" l="1"/>
  <c r="L25" i="47"/>
  <c r="X37" i="47" l="1"/>
  <c r="W37" i="47"/>
  <c r="Y36" i="47"/>
  <c r="X36" i="47"/>
  <c r="W36" i="47"/>
  <c r="Y35" i="47"/>
  <c r="X35" i="47"/>
  <c r="W35" i="47"/>
  <c r="Y34" i="47"/>
  <c r="X34" i="47"/>
  <c r="W34" i="47"/>
  <c r="Y33" i="47"/>
  <c r="X33" i="47"/>
  <c r="W33" i="47"/>
  <c r="Y32" i="47"/>
  <c r="X32" i="47"/>
  <c r="W32" i="47"/>
  <c r="Y31" i="47"/>
  <c r="X31" i="47"/>
  <c r="W31" i="47"/>
  <c r="Y30" i="47"/>
  <c r="X30" i="47"/>
  <c r="W30" i="47"/>
  <c r="Y29" i="47"/>
  <c r="X29" i="47"/>
  <c r="W29" i="47"/>
  <c r="Y28" i="47"/>
  <c r="X28" i="47"/>
  <c r="W28" i="47"/>
  <c r="Y27" i="47"/>
  <c r="X27" i="47"/>
  <c r="W27" i="47"/>
  <c r="Y26" i="47"/>
  <c r="X26" i="47"/>
  <c r="W26" i="47"/>
  <c r="Y25" i="47"/>
  <c r="X25" i="47"/>
  <c r="W25" i="47"/>
  <c r="Y24" i="47"/>
  <c r="X24" i="47"/>
  <c r="W24" i="47"/>
  <c r="Y23" i="47"/>
  <c r="X23" i="47"/>
  <c r="W23" i="47"/>
  <c r="Y22" i="47"/>
  <c r="X22" i="47"/>
  <c r="W22" i="47"/>
  <c r="Y21" i="47"/>
  <c r="X21" i="47"/>
  <c r="W21" i="47"/>
  <c r="Y20" i="47"/>
  <c r="X20" i="47"/>
  <c r="W20" i="47"/>
  <c r="Y19" i="47"/>
  <c r="X19" i="47"/>
  <c r="W19" i="47"/>
  <c r="Y18" i="47"/>
  <c r="X18" i="47"/>
  <c r="W18" i="47"/>
  <c r="Y17" i="47"/>
  <c r="X17" i="47"/>
  <c r="W17" i="47"/>
  <c r="Y16" i="47"/>
  <c r="X16" i="47"/>
  <c r="W16" i="47"/>
  <c r="Y15" i="47"/>
  <c r="X15" i="47"/>
  <c r="W15" i="47"/>
  <c r="Y14" i="47"/>
  <c r="X14" i="47"/>
  <c r="W14" i="47"/>
  <c r="Y13" i="47"/>
  <c r="X13" i="47"/>
  <c r="W13" i="47"/>
  <c r="Y12" i="47"/>
  <c r="X12" i="47"/>
  <c r="W12" i="47"/>
  <c r="Y11" i="47"/>
  <c r="X11" i="47"/>
  <c r="W11" i="47"/>
  <c r="Y10" i="47"/>
  <c r="X10" i="47"/>
  <c r="W10" i="47"/>
  <c r="Y9" i="47"/>
  <c r="X9" i="47"/>
  <c r="W9" i="47"/>
  <c r="Y8" i="47"/>
  <c r="X8" i="47"/>
  <c r="W8" i="47"/>
  <c r="Y7" i="47"/>
  <c r="X7" i="47"/>
  <c r="W7" i="47"/>
  <c r="Y6" i="47"/>
  <c r="X6" i="47"/>
  <c r="W6" i="47"/>
  <c r="Y5" i="47"/>
  <c r="X5" i="47"/>
  <c r="W5" i="47"/>
  <c r="T13" i="47"/>
  <c r="I11" i="40"/>
  <c r="D11" i="40"/>
  <c r="I8" i="40"/>
  <c r="D8" i="40"/>
  <c r="J23" i="40"/>
  <c r="E23" i="40"/>
  <c r="D20" i="40"/>
  <c r="I20" i="40" s="1"/>
  <c r="I33" i="40"/>
  <c r="K24" i="40"/>
  <c r="L30" i="21"/>
  <c r="F30" i="21"/>
  <c r="K30" i="21" s="1"/>
  <c r="F24" i="36"/>
  <c r="G24" i="36" s="1"/>
  <c r="F21" i="36"/>
  <c r="G21" i="36" s="1"/>
  <c r="F12" i="36"/>
  <c r="G12" i="36" s="1"/>
  <c r="E14" i="40"/>
  <c r="J14" i="40"/>
  <c r="K13" i="40"/>
  <c r="F13" i="40"/>
  <c r="K16" i="40"/>
  <c r="F16" i="40"/>
  <c r="L42" i="21"/>
  <c r="F42" i="21"/>
  <c r="F32" i="21"/>
  <c r="D19" i="36"/>
  <c r="F19" i="36" s="1"/>
  <c r="P32" i="40"/>
  <c r="G25" i="36"/>
  <c r="F31" i="36"/>
  <c r="G31" i="36" s="1"/>
  <c r="K5" i="21"/>
  <c r="K6" i="21"/>
  <c r="L15" i="21"/>
  <c r="L16" i="21"/>
  <c r="L17" i="21"/>
  <c r="L18" i="21"/>
  <c r="L19" i="21"/>
  <c r="L20" i="21"/>
  <c r="L21" i="21"/>
  <c r="L22" i="21"/>
  <c r="L23" i="21"/>
  <c r="L24" i="21"/>
  <c r="L25" i="21"/>
  <c r="L26" i="21"/>
  <c r="L27" i="21"/>
  <c r="L28" i="21"/>
  <c r="L29" i="21"/>
  <c r="L31" i="21"/>
  <c r="L33" i="21"/>
  <c r="L34" i="21"/>
  <c r="L35" i="21"/>
  <c r="L36" i="21"/>
  <c r="L37" i="21"/>
  <c r="L38" i="21"/>
  <c r="L39" i="21"/>
  <c r="L41" i="21"/>
  <c r="E13" i="36"/>
  <c r="J32" i="21" l="1"/>
  <c r="N32" i="21"/>
  <c r="O32" i="21"/>
  <c r="P32" i="21" s="1"/>
  <c r="N30" i="21"/>
  <c r="O30" i="21"/>
  <c r="P30" i="21" s="1"/>
  <c r="J42" i="21"/>
  <c r="N42" i="21"/>
  <c r="O42" i="21"/>
  <c r="P42" i="21" s="1"/>
  <c r="J30" i="21"/>
  <c r="R31" i="40"/>
  <c r="J10" i="47"/>
  <c r="K10" i="47" s="1"/>
  <c r="K27" i="47" s="1"/>
  <c r="E7" i="47"/>
  <c r="F7" i="47" s="1"/>
  <c r="E10" i="47"/>
  <c r="F10" i="47" s="1"/>
  <c r="O5" i="47"/>
  <c r="O23" i="47"/>
  <c r="O24" i="47"/>
  <c r="O15" i="47"/>
  <c r="O18" i="47"/>
  <c r="O21" i="47"/>
  <c r="O12" i="47"/>
  <c r="O19" i="47"/>
  <c r="O16" i="47"/>
  <c r="O6" i="47"/>
  <c r="O22" i="47"/>
  <c r="P22" i="47" s="1"/>
  <c r="O8" i="47"/>
  <c r="O20" i="47"/>
  <c r="O14" i="47"/>
  <c r="O7" i="47"/>
  <c r="P7" i="47" s="1"/>
  <c r="O25" i="47"/>
  <c r="N5" i="47"/>
  <c r="N16" i="47"/>
  <c r="N24" i="47"/>
  <c r="N12" i="47"/>
  <c r="N15" i="47"/>
  <c r="N20" i="47"/>
  <c r="N18" i="47"/>
  <c r="N19" i="47"/>
  <c r="N11" i="47"/>
  <c r="P11" i="47" s="1"/>
  <c r="N23" i="47"/>
  <c r="N21" i="47"/>
  <c r="N14" i="47"/>
  <c r="P5" i="47"/>
  <c r="F20" i="40"/>
  <c r="K20" i="40"/>
  <c r="K42" i="21"/>
  <c r="H19" i="36"/>
  <c r="K32" i="21"/>
  <c r="K8" i="21"/>
  <c r="G23" i="36"/>
  <c r="L43" i="21"/>
  <c r="L40" i="21"/>
  <c r="N17" i="47" l="1"/>
  <c r="F32" i="36"/>
  <c r="G32" i="36" s="1"/>
  <c r="F33" i="57"/>
  <c r="F33" i="56"/>
  <c r="P23" i="47"/>
  <c r="O17" i="47"/>
  <c r="M10" i="47"/>
  <c r="P6" i="47"/>
  <c r="N20" i="58" s="1"/>
  <c r="F33" i="40"/>
  <c r="F32" i="50"/>
  <c r="F34" i="49"/>
  <c r="F33" i="48"/>
  <c r="F32" i="47"/>
  <c r="K32" i="47"/>
  <c r="F33" i="53"/>
  <c r="K33" i="53"/>
  <c r="F33" i="52"/>
  <c r="O10" i="47"/>
  <c r="N10" i="47"/>
  <c r="H10" i="47"/>
  <c r="H7" i="47"/>
  <c r="P20" i="47"/>
  <c r="P24" i="47"/>
  <c r="G10" i="47"/>
  <c r="P16" i="47"/>
  <c r="G7" i="47"/>
  <c r="F8" i="47"/>
  <c r="H8" i="47" s="1"/>
  <c r="P21" i="47"/>
  <c r="L10" i="47"/>
  <c r="P19" i="47"/>
  <c r="P14" i="47"/>
  <c r="P15" i="47"/>
  <c r="P18" i="47"/>
  <c r="P12" i="47"/>
  <c r="G19" i="36"/>
  <c r="G33" i="56" l="1"/>
  <c r="H33" i="56"/>
  <c r="I33" i="56"/>
  <c r="G33" i="57"/>
  <c r="I33" i="57"/>
  <c r="H33" i="57"/>
  <c r="P17" i="47"/>
  <c r="Q17" i="47" s="1"/>
  <c r="G33" i="48"/>
  <c r="H33" i="48"/>
  <c r="I33" i="48"/>
  <c r="H32" i="50"/>
  <c r="G32" i="50"/>
  <c r="I32" i="50"/>
  <c r="H34" i="49"/>
  <c r="G34" i="49"/>
  <c r="I34" i="49"/>
  <c r="L32" i="47"/>
  <c r="M32" i="47"/>
  <c r="O32" i="47"/>
  <c r="G33" i="52"/>
  <c r="H33" i="52"/>
  <c r="I33" i="52"/>
  <c r="G33" i="53"/>
  <c r="N33" i="53"/>
  <c r="H33" i="53"/>
  <c r="G32" i="47"/>
  <c r="H32" i="47"/>
  <c r="N32" i="47"/>
  <c r="L33" i="53"/>
  <c r="M33" i="53"/>
  <c r="O33" i="53"/>
  <c r="P10" i="47"/>
  <c r="Q10" i="47" s="1"/>
  <c r="Q14" i="47"/>
  <c r="Q23" i="47"/>
  <c r="Q11" i="47"/>
  <c r="Q22" i="47"/>
  <c r="Q21" i="47"/>
  <c r="Q20" i="47"/>
  <c r="Q19" i="47"/>
  <c r="Q7" i="47"/>
  <c r="Q15" i="47"/>
  <c r="Q26" i="47"/>
  <c r="Q12" i="47"/>
  <c r="Q25" i="47"/>
  <c r="Q31" i="47"/>
  <c r="Q18" i="47"/>
  <c r="Q16" i="47"/>
  <c r="Q13" i="47"/>
  <c r="Q24" i="47"/>
  <c r="P8" i="47"/>
  <c r="Q20" i="58" s="1"/>
  <c r="Q6" i="47"/>
  <c r="K28" i="47"/>
  <c r="M27" i="47"/>
  <c r="K31" i="47"/>
  <c r="L27" i="47"/>
  <c r="O28" i="47"/>
  <c r="E25" i="47"/>
  <c r="F25" i="47" s="1"/>
  <c r="G8" i="47"/>
  <c r="N40" i="47"/>
  <c r="F41" i="21"/>
  <c r="K41" i="21" l="1"/>
  <c r="N41" i="21"/>
  <c r="O6" i="59" s="1"/>
  <c r="O5" i="59"/>
  <c r="O41" i="21"/>
  <c r="P41" i="21" s="1"/>
  <c r="P27" i="47"/>
  <c r="P28" i="47" s="1"/>
  <c r="H25" i="47"/>
  <c r="F27" i="47"/>
  <c r="Q8" i="47"/>
  <c r="P33" i="53"/>
  <c r="Q33" i="53" s="1"/>
  <c r="P32" i="47"/>
  <c r="Q32" i="47" s="1"/>
  <c r="L28" i="47"/>
  <c r="M28" i="47"/>
  <c r="L31" i="47"/>
  <c r="M31" i="47"/>
  <c r="F31" i="47"/>
  <c r="G31" i="47" s="1"/>
  <c r="G25" i="47"/>
  <c r="J41" i="21"/>
  <c r="O7" i="59" l="1"/>
  <c r="H31" i="47"/>
  <c r="F28" i="47"/>
  <c r="H27" i="47"/>
  <c r="G27" i="47"/>
  <c r="K33" i="40"/>
  <c r="N28" i="47" l="1"/>
  <c r="Q27" i="47"/>
  <c r="G28" i="47"/>
  <c r="H28" i="47"/>
  <c r="Q28" i="47" l="1"/>
  <c r="O20" i="58"/>
  <c r="P20" i="58" s="1"/>
  <c r="Y6" i="40"/>
  <c r="Y7" i="40"/>
  <c r="Y8" i="40"/>
  <c r="Y9" i="40"/>
  <c r="Y10" i="40"/>
  <c r="Y11" i="40"/>
  <c r="Y12" i="40"/>
  <c r="Y13" i="40"/>
  <c r="Y14" i="40"/>
  <c r="Y15" i="40"/>
  <c r="Y16" i="40"/>
  <c r="Y17" i="40"/>
  <c r="Y18" i="40"/>
  <c r="Y19" i="40"/>
  <c r="Y20" i="40"/>
  <c r="Y21" i="40"/>
  <c r="Y22" i="40"/>
  <c r="Y23" i="40"/>
  <c r="Y24" i="40"/>
  <c r="Y25" i="40"/>
  <c r="Y26" i="40"/>
  <c r="Y27" i="40"/>
  <c r="Y28" i="40"/>
  <c r="Y29" i="40"/>
  <c r="Y30" i="40"/>
  <c r="Y31" i="40"/>
  <c r="Y32" i="40"/>
  <c r="Y33" i="40"/>
  <c r="Y34" i="40"/>
  <c r="Y35" i="40"/>
  <c r="Y36" i="40"/>
  <c r="Y37" i="40"/>
  <c r="Y5" i="40"/>
  <c r="X6" i="40"/>
  <c r="X7" i="40"/>
  <c r="X8" i="40"/>
  <c r="X9" i="40"/>
  <c r="X10" i="40"/>
  <c r="X11" i="40"/>
  <c r="X12" i="40"/>
  <c r="X13" i="40"/>
  <c r="X14" i="40"/>
  <c r="X15" i="40"/>
  <c r="X16" i="40"/>
  <c r="X17" i="40"/>
  <c r="X18" i="40"/>
  <c r="X19" i="40"/>
  <c r="X20" i="40"/>
  <c r="X21" i="40"/>
  <c r="X22" i="40"/>
  <c r="X23" i="40"/>
  <c r="X24" i="40"/>
  <c r="X25" i="40"/>
  <c r="X26" i="40"/>
  <c r="X27" i="40"/>
  <c r="X28" i="40"/>
  <c r="X29" i="40"/>
  <c r="X30" i="40"/>
  <c r="X31" i="40"/>
  <c r="X32" i="40"/>
  <c r="X33" i="40"/>
  <c r="X34" i="40"/>
  <c r="X35" i="40"/>
  <c r="X36" i="40"/>
  <c r="X37" i="40"/>
  <c r="X5" i="40"/>
  <c r="W6" i="40"/>
  <c r="W7" i="40"/>
  <c r="W8" i="40"/>
  <c r="W9" i="40"/>
  <c r="W10" i="40"/>
  <c r="W11" i="40"/>
  <c r="W12" i="40"/>
  <c r="W13" i="40"/>
  <c r="W14" i="40"/>
  <c r="W15" i="40"/>
  <c r="W16" i="40"/>
  <c r="W17" i="40"/>
  <c r="W18" i="40"/>
  <c r="W19" i="40"/>
  <c r="W20" i="40"/>
  <c r="W21" i="40"/>
  <c r="W22" i="40"/>
  <c r="W23" i="40"/>
  <c r="W24" i="40"/>
  <c r="W25" i="40"/>
  <c r="W26" i="40"/>
  <c r="W27" i="40"/>
  <c r="W28" i="40"/>
  <c r="W29" i="40"/>
  <c r="W30" i="40"/>
  <c r="W31" i="40"/>
  <c r="W32" i="40"/>
  <c r="W33" i="40"/>
  <c r="W34" i="40"/>
  <c r="W35" i="40"/>
  <c r="W36" i="40"/>
  <c r="W37" i="40"/>
  <c r="W5" i="40"/>
  <c r="D26" i="40"/>
  <c r="I26" i="40"/>
  <c r="K25" i="40"/>
  <c r="K19" i="40"/>
  <c r="F19" i="40"/>
  <c r="D19" i="40"/>
  <c r="I19" i="40" s="1"/>
  <c r="D7" i="40"/>
  <c r="G7" i="40" s="1"/>
  <c r="F25" i="40"/>
  <c r="U16" i="40"/>
  <c r="I12" i="40"/>
  <c r="J12" i="40"/>
  <c r="J7" i="40" s="1"/>
  <c r="L27" i="40" s="1"/>
  <c r="T14" i="40"/>
  <c r="T16" i="40"/>
  <c r="D12" i="40" s="1"/>
  <c r="D33" i="40"/>
  <c r="B40" i="40" s="1"/>
  <c r="D28" i="40"/>
  <c r="I28" i="40" s="1"/>
  <c r="D23" i="40"/>
  <c r="I23" i="40" s="1"/>
  <c r="D21" i="40"/>
  <c r="I21" i="40" s="1"/>
  <c r="G5" i="36"/>
  <c r="F20" i="36"/>
  <c r="D18" i="36"/>
  <c r="F18" i="36" s="1"/>
  <c r="G18" i="36" s="1"/>
  <c r="D22" i="36"/>
  <c r="F39" i="21"/>
  <c r="F38" i="21"/>
  <c r="D26" i="36"/>
  <c r="J38" i="21" l="1"/>
  <c r="O38" i="21"/>
  <c r="P38" i="21" s="1"/>
  <c r="N38" i="21"/>
  <c r="J39" i="21"/>
  <c r="O39" i="21"/>
  <c r="P39" i="21" s="1"/>
  <c r="N39" i="21"/>
  <c r="F17" i="36"/>
  <c r="K7" i="40"/>
  <c r="D43" i="40"/>
  <c r="O25" i="40" s="1"/>
  <c r="C43" i="40"/>
  <c r="N25" i="40" s="1"/>
  <c r="G20" i="40"/>
  <c r="G22" i="40"/>
  <c r="G19" i="40"/>
  <c r="E8" i="40"/>
  <c r="F8" i="40" s="1"/>
  <c r="H20" i="36"/>
  <c r="G20" i="36"/>
  <c r="D13" i="36"/>
  <c r="F13" i="36" s="1"/>
  <c r="K23" i="40"/>
  <c r="D14" i="40"/>
  <c r="I14" i="40" s="1"/>
  <c r="K14" i="40" s="1"/>
  <c r="K38" i="21"/>
  <c r="K39" i="21"/>
  <c r="L25" i="40"/>
  <c r="F21" i="40"/>
  <c r="F18" i="40" s="1"/>
  <c r="K21" i="40"/>
  <c r="K18" i="40" s="1"/>
  <c r="K12" i="40"/>
  <c r="F12" i="40"/>
  <c r="E11" i="40"/>
  <c r="F11" i="40" s="1"/>
  <c r="G13" i="40"/>
  <c r="F7" i="40"/>
  <c r="G27" i="40"/>
  <c r="F23" i="40"/>
  <c r="G23" i="40" s="1"/>
  <c r="G25" i="40"/>
  <c r="F22" i="36"/>
  <c r="H5" i="36"/>
  <c r="N12" i="40" l="1"/>
  <c r="O23" i="40"/>
  <c r="P7" i="40"/>
  <c r="N16" i="58" s="1"/>
  <c r="N11" i="40"/>
  <c r="N21" i="40"/>
  <c r="G13" i="36"/>
  <c r="H13" i="36"/>
  <c r="M16" i="58"/>
  <c r="L20" i="40"/>
  <c r="J11" i="40"/>
  <c r="K11" i="40" s="1"/>
  <c r="J8" i="40"/>
  <c r="K8" i="40" s="1"/>
  <c r="P8" i="40" s="1"/>
  <c r="L24" i="40"/>
  <c r="L19" i="40"/>
  <c r="P12" i="40"/>
  <c r="R11" i="40" s="1"/>
  <c r="O21" i="40"/>
  <c r="E43" i="40"/>
  <c r="N6" i="40"/>
  <c r="N24" i="40"/>
  <c r="N22" i="40"/>
  <c r="N16" i="40"/>
  <c r="N13" i="40"/>
  <c r="N20" i="40"/>
  <c r="O6" i="40"/>
  <c r="O24" i="40"/>
  <c r="O13" i="40"/>
  <c r="O16" i="40"/>
  <c r="O20" i="40"/>
  <c r="O22" i="40"/>
  <c r="L13" i="40"/>
  <c r="L21" i="40"/>
  <c r="N19" i="40"/>
  <c r="L22" i="40"/>
  <c r="O19" i="40"/>
  <c r="L23" i="40"/>
  <c r="G21" i="40"/>
  <c r="M24" i="40"/>
  <c r="M19" i="40"/>
  <c r="M21" i="40"/>
  <c r="M22" i="40"/>
  <c r="M23" i="40"/>
  <c r="M20" i="40"/>
  <c r="H19" i="40"/>
  <c r="H22" i="40"/>
  <c r="H20" i="40"/>
  <c r="H21" i="40"/>
  <c r="H23" i="40"/>
  <c r="H11" i="40"/>
  <c r="H8" i="40"/>
  <c r="M7" i="40"/>
  <c r="M33" i="40"/>
  <c r="M16" i="40"/>
  <c r="M14" i="40"/>
  <c r="M13" i="40"/>
  <c r="M12" i="40"/>
  <c r="M25" i="40"/>
  <c r="M27" i="40"/>
  <c r="H33" i="40"/>
  <c r="H7" i="40"/>
  <c r="H16" i="40"/>
  <c r="H27" i="40"/>
  <c r="H25" i="40"/>
  <c r="H13" i="40"/>
  <c r="H24" i="40"/>
  <c r="H12" i="40"/>
  <c r="G18" i="40"/>
  <c r="L18" i="40"/>
  <c r="G17" i="36"/>
  <c r="G22" i="36"/>
  <c r="H22" i="36"/>
  <c r="F14" i="40"/>
  <c r="N14" i="40" s="1"/>
  <c r="P25" i="40"/>
  <c r="R24" i="40" s="1"/>
  <c r="G33" i="40"/>
  <c r="L33" i="40"/>
  <c r="P23" i="40"/>
  <c r="R22" i="40" s="1"/>
  <c r="L12" i="40"/>
  <c r="L14" i="40"/>
  <c r="O14" i="40"/>
  <c r="G8" i="40"/>
  <c r="L7" i="40"/>
  <c r="K15" i="40"/>
  <c r="O15" i="40" s="1"/>
  <c r="F15" i="40"/>
  <c r="F9" i="40"/>
  <c r="G12" i="40"/>
  <c r="G24" i="40"/>
  <c r="G11" i="40"/>
  <c r="D32" i="36"/>
  <c r="B40" i="36" s="1"/>
  <c r="N18" i="40" l="1"/>
  <c r="O18" i="40"/>
  <c r="R16" i="58"/>
  <c r="R20" i="58"/>
  <c r="K9" i="40"/>
  <c r="J26" i="40" s="1"/>
  <c r="N15" i="40"/>
  <c r="O11" i="40"/>
  <c r="P11" i="40" s="1"/>
  <c r="H9" i="40"/>
  <c r="N41" i="40"/>
  <c r="R6" i="40"/>
  <c r="R7" i="40"/>
  <c r="L11" i="40"/>
  <c r="M8" i="40"/>
  <c r="P20" i="40"/>
  <c r="R19" i="40" s="1"/>
  <c r="O32" i="40"/>
  <c r="L8" i="40"/>
  <c r="P6" i="40"/>
  <c r="P19" i="40"/>
  <c r="R18" i="40" s="1"/>
  <c r="N32" i="40"/>
  <c r="M11" i="40"/>
  <c r="H14" i="40"/>
  <c r="H15" i="40"/>
  <c r="M15" i="40"/>
  <c r="M18" i="40"/>
  <c r="H18" i="40"/>
  <c r="E26" i="40"/>
  <c r="F26" i="40" s="1"/>
  <c r="N33" i="40"/>
  <c r="P13" i="40"/>
  <c r="R12" i="40" s="1"/>
  <c r="P22" i="40"/>
  <c r="R21" i="40" s="1"/>
  <c r="P24" i="40"/>
  <c r="R23" i="40" s="1"/>
  <c r="O33" i="40"/>
  <c r="P21" i="40"/>
  <c r="P14" i="40"/>
  <c r="R13" i="40" s="1"/>
  <c r="L15" i="40"/>
  <c r="G15" i="40"/>
  <c r="G9" i="40"/>
  <c r="H24" i="36"/>
  <c r="H21" i="36"/>
  <c r="H32" i="36"/>
  <c r="H17" i="36"/>
  <c r="H25" i="36"/>
  <c r="H12" i="36"/>
  <c r="H23" i="36"/>
  <c r="F11" i="36"/>
  <c r="G10" i="36"/>
  <c r="R20" i="40" l="1"/>
  <c r="P18" i="40"/>
  <c r="M9" i="40"/>
  <c r="L9" i="40"/>
  <c r="R10" i="40"/>
  <c r="K26" i="40"/>
  <c r="F32" i="40"/>
  <c r="Q22" i="40"/>
  <c r="Q7" i="40"/>
  <c r="Q13" i="40"/>
  <c r="Q21" i="40"/>
  <c r="Q27" i="40"/>
  <c r="Q19" i="40"/>
  <c r="Q23" i="40"/>
  <c r="Q14" i="40"/>
  <c r="Q32" i="40"/>
  <c r="Q12" i="40"/>
  <c r="Q24" i="40"/>
  <c r="Q25" i="40"/>
  <c r="Q20" i="40"/>
  <c r="P15" i="40"/>
  <c r="Q11" i="40"/>
  <c r="Q8" i="40"/>
  <c r="H26" i="40"/>
  <c r="G26" i="40"/>
  <c r="G11" i="36"/>
  <c r="H6" i="36"/>
  <c r="G6" i="36"/>
  <c r="G7" i="36" s="1"/>
  <c r="P9" i="40"/>
  <c r="Q16" i="58" s="1"/>
  <c r="P33" i="40"/>
  <c r="H11" i="36"/>
  <c r="H10" i="36"/>
  <c r="H31" i="36"/>
  <c r="I32" i="36"/>
  <c r="I10" i="36"/>
  <c r="I11" i="36"/>
  <c r="I17" i="36"/>
  <c r="F14" i="36"/>
  <c r="I6" i="36"/>
  <c r="I24" i="36"/>
  <c r="I25" i="36"/>
  <c r="F7" i="36"/>
  <c r="I5" i="36"/>
  <c r="I12" i="36"/>
  <c r="I23" i="36"/>
  <c r="O26" i="40" l="1"/>
  <c r="P26" i="40" s="1"/>
  <c r="R8" i="40"/>
  <c r="H7" i="36"/>
  <c r="Q11" i="58"/>
  <c r="M26" i="40"/>
  <c r="L26" i="40"/>
  <c r="Q33" i="40"/>
  <c r="R32" i="40"/>
  <c r="Q18" i="40"/>
  <c r="R17" i="40"/>
  <c r="R14" i="40"/>
  <c r="Q9" i="40"/>
  <c r="Q15" i="40"/>
  <c r="K32" i="40"/>
  <c r="L32" i="40" s="1"/>
  <c r="G32" i="40"/>
  <c r="H32" i="40"/>
  <c r="H15" i="36"/>
  <c r="G15" i="36"/>
  <c r="H14" i="36"/>
  <c r="G14" i="36"/>
  <c r="G16" i="40"/>
  <c r="L16" i="40"/>
  <c r="I15" i="36"/>
  <c r="I31" i="36"/>
  <c r="I14" i="36"/>
  <c r="I41" i="36"/>
  <c r="I7" i="36"/>
  <c r="R25" i="40" l="1"/>
  <c r="Q26" i="40"/>
  <c r="M32" i="40"/>
  <c r="P16" i="40"/>
  <c r="H18" i="36"/>
  <c r="F5" i="21"/>
  <c r="J5" i="21" l="1"/>
  <c r="O5" i="21"/>
  <c r="P5" i="21" s="1"/>
  <c r="N5" i="21"/>
  <c r="Q16" i="40"/>
  <c r="R15" i="40"/>
  <c r="F6" i="21"/>
  <c r="F28" i="21"/>
  <c r="F21" i="21"/>
  <c r="K28" i="21" l="1"/>
  <c r="N28" i="21"/>
  <c r="O28" i="21"/>
  <c r="P28" i="21" s="1"/>
  <c r="K21" i="21"/>
  <c r="O21" i="21"/>
  <c r="P21" i="21" s="1"/>
  <c r="N21" i="21"/>
  <c r="J6" i="21"/>
  <c r="J8" i="21" s="1"/>
  <c r="O6" i="21"/>
  <c r="P6" i="21" s="1"/>
  <c r="N6" i="21"/>
  <c r="J21" i="21"/>
  <c r="J28" i="21"/>
  <c r="F15" i="21"/>
  <c r="F16" i="21"/>
  <c r="F17" i="21"/>
  <c r="F18" i="21"/>
  <c r="F14" i="21"/>
  <c r="F22" i="21"/>
  <c r="K15" i="21" l="1"/>
  <c r="O15" i="21"/>
  <c r="P15" i="21" s="1"/>
  <c r="N15" i="21"/>
  <c r="K22" i="21"/>
  <c r="O22" i="21"/>
  <c r="P22" i="21" s="1"/>
  <c r="N22" i="21"/>
  <c r="O14" i="21"/>
  <c r="P14" i="21" s="1"/>
  <c r="Q14" i="21"/>
  <c r="N14" i="21"/>
  <c r="K18" i="21"/>
  <c r="O18" i="21"/>
  <c r="P18" i="21" s="1"/>
  <c r="N18" i="21"/>
  <c r="K17" i="21"/>
  <c r="O17" i="21"/>
  <c r="P17" i="21" s="1"/>
  <c r="N17" i="21"/>
  <c r="K16" i="21"/>
  <c r="O16" i="21"/>
  <c r="P16" i="21" s="1"/>
  <c r="N16" i="21"/>
  <c r="J14" i="21"/>
  <c r="K14" i="21"/>
  <c r="J16" i="21"/>
  <c r="J22" i="21"/>
  <c r="J18" i="21"/>
  <c r="J15" i="21"/>
  <c r="J17" i="21"/>
  <c r="F24" i="21" l="1"/>
  <c r="F23" i="21"/>
  <c r="F37" i="21"/>
  <c r="F27" i="21"/>
  <c r="F29" i="21"/>
  <c r="F31" i="21"/>
  <c r="F33" i="21"/>
  <c r="F34" i="21"/>
  <c r="F35" i="21"/>
  <c r="F36" i="21"/>
  <c r="F26" i="21"/>
  <c r="F25" i="21"/>
  <c r="F20" i="21"/>
  <c r="F19" i="21"/>
  <c r="K27" i="21" l="1"/>
  <c r="AI5" i="59"/>
  <c r="N27" i="21"/>
  <c r="O27" i="21"/>
  <c r="P27" i="21" s="1"/>
  <c r="AI5" i="61"/>
  <c r="K20" i="21"/>
  <c r="N20" i="21"/>
  <c r="O20" i="21"/>
  <c r="P20" i="21" s="1"/>
  <c r="T5" i="61"/>
  <c r="T5" i="59"/>
  <c r="K36" i="21"/>
  <c r="O36" i="21"/>
  <c r="P36" i="21" s="1"/>
  <c r="N36" i="21"/>
  <c r="K31" i="21"/>
  <c r="N31" i="21"/>
  <c r="R5" i="61"/>
  <c r="R5" i="59"/>
  <c r="O31" i="21"/>
  <c r="P31" i="21" s="1"/>
  <c r="O19" i="21"/>
  <c r="P19" i="21" s="1"/>
  <c r="N19" i="21"/>
  <c r="G43" i="21"/>
  <c r="G40" i="21"/>
  <c r="K26" i="21"/>
  <c r="O26" i="21"/>
  <c r="P26" i="21" s="1"/>
  <c r="N26" i="21"/>
  <c r="K34" i="21"/>
  <c r="N34" i="21"/>
  <c r="Q5" i="59"/>
  <c r="Q5" i="61"/>
  <c r="O34" i="21"/>
  <c r="P34" i="21" s="1"/>
  <c r="K33" i="21"/>
  <c r="N33" i="21"/>
  <c r="O33" i="21"/>
  <c r="P33" i="21" s="1"/>
  <c r="K29" i="21"/>
  <c r="N29" i="21"/>
  <c r="O29" i="21"/>
  <c r="P29" i="21" s="1"/>
  <c r="K37" i="21"/>
  <c r="O37" i="21"/>
  <c r="P37" i="21" s="1"/>
  <c r="N37" i="21"/>
  <c r="K24" i="21"/>
  <c r="N24" i="21"/>
  <c r="O24" i="21"/>
  <c r="P24" i="21" s="1"/>
  <c r="K25" i="21"/>
  <c r="O25" i="21"/>
  <c r="P25" i="21" s="1"/>
  <c r="N25" i="21"/>
  <c r="K35" i="21"/>
  <c r="N35" i="21"/>
  <c r="O35" i="21"/>
  <c r="P35" i="21" s="1"/>
  <c r="K23" i="21"/>
  <c r="N23" i="21"/>
  <c r="O23" i="21"/>
  <c r="P23" i="21" s="1"/>
  <c r="F43" i="21"/>
  <c r="F40" i="21"/>
  <c r="K19" i="21"/>
  <c r="J37" i="21"/>
  <c r="J36" i="21"/>
  <c r="J24" i="21"/>
  <c r="J34" i="21"/>
  <c r="J27" i="21"/>
  <c r="J35" i="21"/>
  <c r="J23" i="21"/>
  <c r="J20" i="21"/>
  <c r="J33" i="21"/>
  <c r="J25" i="21"/>
  <c r="J31" i="21"/>
  <c r="J26" i="21"/>
  <c r="J29" i="21"/>
  <c r="J19" i="21"/>
  <c r="C12" i="61" l="1"/>
  <c r="R6" i="61"/>
  <c r="R7" i="61" s="1"/>
  <c r="R6" i="59"/>
  <c r="R7" i="59" s="1"/>
  <c r="N40" i="21"/>
  <c r="E21" i="58"/>
  <c r="E19" i="58"/>
  <c r="E18" i="58"/>
  <c r="E15" i="58"/>
  <c r="E12" i="58"/>
  <c r="E10" i="58"/>
  <c r="E16" i="58"/>
  <c r="E14" i="58"/>
  <c r="E11" i="58"/>
  <c r="E9" i="58"/>
  <c r="E20" i="58"/>
  <c r="C67" i="57"/>
  <c r="E67" i="57" s="1"/>
  <c r="C68" i="49"/>
  <c r="E68" i="49" s="1"/>
  <c r="C68" i="53"/>
  <c r="E68" i="53" s="1"/>
  <c r="F64" i="53" s="1"/>
  <c r="C65" i="47"/>
  <c r="E65" i="47" s="1"/>
  <c r="C64" i="50"/>
  <c r="E64" i="50" s="1"/>
  <c r="C67" i="56"/>
  <c r="E67" i="56" s="1"/>
  <c r="N43" i="21"/>
  <c r="C67" i="52"/>
  <c r="E67" i="52" s="1"/>
  <c r="C65" i="48"/>
  <c r="E65" i="48" s="1"/>
  <c r="C66" i="40"/>
  <c r="E66" i="40" s="1"/>
  <c r="F66" i="40" s="1"/>
  <c r="C66" i="36"/>
  <c r="E66" i="36" s="1"/>
  <c r="F65" i="36" s="1"/>
  <c r="E7" i="58"/>
  <c r="E8" i="58"/>
  <c r="E3" i="58"/>
  <c r="Q6" i="61"/>
  <c r="Q7" i="61" s="1"/>
  <c r="Q6" i="59"/>
  <c r="Q7" i="59" s="1"/>
  <c r="AI6" i="59"/>
  <c r="AI7" i="59" s="1"/>
  <c r="AI6" i="61"/>
  <c r="AI7" i="61" s="1"/>
  <c r="C12" i="59"/>
  <c r="K43" i="21"/>
  <c r="F31" i="52" s="1"/>
  <c r="T6" i="59"/>
  <c r="T7" i="59" s="1"/>
  <c r="T6" i="61"/>
  <c r="T7" i="61" s="1"/>
  <c r="F16" i="57"/>
  <c r="F16" i="56"/>
  <c r="F16" i="53"/>
  <c r="F16" i="36"/>
  <c r="I16" i="36" s="1"/>
  <c r="K17" i="40"/>
  <c r="F17" i="40"/>
  <c r="F17" i="49"/>
  <c r="F15" i="50"/>
  <c r="F16" i="52"/>
  <c r="K16" i="53"/>
  <c r="F16" i="48"/>
  <c r="J40" i="21"/>
  <c r="J43" i="21"/>
  <c r="K40" i="21"/>
  <c r="H16" i="36" l="1"/>
  <c r="C2" i="59" a="1"/>
  <c r="F67" i="49"/>
  <c r="G31" i="52"/>
  <c r="G34" i="52" s="1"/>
  <c r="H31" i="52"/>
  <c r="I31" i="52"/>
  <c r="F34" i="52"/>
  <c r="F31" i="57"/>
  <c r="F31" i="56"/>
  <c r="P31" i="40"/>
  <c r="F31" i="40"/>
  <c r="H31" i="40" s="1"/>
  <c r="F32" i="49"/>
  <c r="F31" i="48"/>
  <c r="P31" i="53"/>
  <c r="P30" i="47"/>
  <c r="F30" i="50"/>
  <c r="F30" i="36"/>
  <c r="F33" i="36" s="1"/>
  <c r="H33" i="36" s="1"/>
  <c r="K31" i="40"/>
  <c r="M31" i="40" s="1"/>
  <c r="F66" i="57"/>
  <c r="O16" i="53"/>
  <c r="L16" i="53"/>
  <c r="M16" i="53"/>
  <c r="G17" i="40"/>
  <c r="N17" i="40"/>
  <c r="H17" i="40"/>
  <c r="F28" i="40"/>
  <c r="F29" i="40" s="1"/>
  <c r="G17" i="49"/>
  <c r="H17" i="49"/>
  <c r="I17" i="49"/>
  <c r="F28" i="49"/>
  <c r="F64" i="47"/>
  <c r="D78" i="57"/>
  <c r="D77" i="36"/>
  <c r="D79" i="49"/>
  <c r="D78" i="52"/>
  <c r="D76" i="48"/>
  <c r="D77" i="40"/>
  <c r="D79" i="53"/>
  <c r="D76" i="47"/>
  <c r="D75" i="50"/>
  <c r="D78" i="56"/>
  <c r="H16" i="48"/>
  <c r="G16" i="48"/>
  <c r="I16" i="48"/>
  <c r="F27" i="48"/>
  <c r="G16" i="52"/>
  <c r="H16" i="52"/>
  <c r="I16" i="52"/>
  <c r="F27" i="52"/>
  <c r="F28" i="52" s="1"/>
  <c r="N16" i="53"/>
  <c r="H16" i="53"/>
  <c r="G16" i="53"/>
  <c r="F28" i="53"/>
  <c r="F29" i="53" s="1"/>
  <c r="F63" i="50"/>
  <c r="H15" i="50"/>
  <c r="G15" i="50"/>
  <c r="I15" i="50"/>
  <c r="F26" i="50"/>
  <c r="F26" i="36"/>
  <c r="F27" i="36" s="1"/>
  <c r="G16" i="36"/>
  <c r="G16" i="56"/>
  <c r="H16" i="56"/>
  <c r="I16" i="56"/>
  <c r="F27" i="56"/>
  <c r="F28" i="56" s="1"/>
  <c r="C2" i="61" a="1"/>
  <c r="O17" i="40"/>
  <c r="O29" i="40" s="1"/>
  <c r="L17" i="40"/>
  <c r="M17" i="40"/>
  <c r="K28" i="40"/>
  <c r="K29" i="40" s="1"/>
  <c r="F65" i="48"/>
  <c r="F67" i="52"/>
  <c r="G16" i="57"/>
  <c r="H16" i="57"/>
  <c r="I16" i="57"/>
  <c r="F27" i="57"/>
  <c r="F28" i="57" s="1"/>
  <c r="F66" i="56"/>
  <c r="G26" i="36" l="1"/>
  <c r="H26" i="36"/>
  <c r="I26" i="36"/>
  <c r="G30" i="36"/>
  <c r="G33" i="36" s="1"/>
  <c r="H30" i="36"/>
  <c r="R30" i="40"/>
  <c r="O31" i="40"/>
  <c r="N31" i="40"/>
  <c r="Q31" i="40"/>
  <c r="I30" i="36"/>
  <c r="G28" i="53"/>
  <c r="H28" i="53"/>
  <c r="G32" i="49"/>
  <c r="G35" i="49" s="1"/>
  <c r="H32" i="49"/>
  <c r="I32" i="49"/>
  <c r="F35" i="49"/>
  <c r="G31" i="56"/>
  <c r="G34" i="56" s="1"/>
  <c r="G36" i="56" s="1"/>
  <c r="G37" i="56" s="1"/>
  <c r="P4" i="56" s="1"/>
  <c r="H31" i="56"/>
  <c r="I31" i="56"/>
  <c r="F34" i="56"/>
  <c r="G30" i="50"/>
  <c r="G33" i="50" s="1"/>
  <c r="H30" i="50"/>
  <c r="I30" i="50"/>
  <c r="F33" i="50"/>
  <c r="F34" i="40"/>
  <c r="H34" i="40" s="1"/>
  <c r="D45" i="56"/>
  <c r="E45" i="56" s="1"/>
  <c r="I28" i="56"/>
  <c r="G28" i="56"/>
  <c r="D68" i="56"/>
  <c r="O10" i="58"/>
  <c r="P10" i="58" s="1"/>
  <c r="H28" i="56"/>
  <c r="C45" i="56" s="1"/>
  <c r="G31" i="57"/>
  <c r="G34" i="57" s="1"/>
  <c r="H31" i="57"/>
  <c r="I31" i="57"/>
  <c r="F34" i="57"/>
  <c r="C2" i="61"/>
  <c r="C8" i="61"/>
  <c r="C9" i="61"/>
  <c r="C10" i="61"/>
  <c r="C11" i="61"/>
  <c r="C6" i="61"/>
  <c r="C5" i="61"/>
  <c r="C4" i="61"/>
  <c r="C3" i="61"/>
  <c r="C7" i="61"/>
  <c r="F36" i="52"/>
  <c r="H34" i="52"/>
  <c r="I34" i="52"/>
  <c r="H29" i="53"/>
  <c r="G29" i="53"/>
  <c r="M28" i="40"/>
  <c r="L28" i="40"/>
  <c r="L37" i="40" s="1"/>
  <c r="F29" i="49"/>
  <c r="I28" i="49"/>
  <c r="H28" i="49"/>
  <c r="G28" i="49"/>
  <c r="F28" i="48"/>
  <c r="H27" i="48"/>
  <c r="I27" i="48"/>
  <c r="G27" i="48"/>
  <c r="H28" i="40"/>
  <c r="G28" i="40"/>
  <c r="P17" i="40"/>
  <c r="N29" i="40"/>
  <c r="G36" i="52"/>
  <c r="G37" i="52" s="1"/>
  <c r="N30" i="47"/>
  <c r="F30" i="47" s="1"/>
  <c r="O30" i="47"/>
  <c r="K30" i="47" s="1"/>
  <c r="Q30" i="47"/>
  <c r="D66" i="47"/>
  <c r="I28" i="57"/>
  <c r="G28" i="57"/>
  <c r="O3" i="58"/>
  <c r="P3" i="58" s="1"/>
  <c r="D68" i="57"/>
  <c r="D45" i="57"/>
  <c r="E45" i="57" s="1"/>
  <c r="H28" i="57"/>
  <c r="C45" i="57" s="1"/>
  <c r="M29" i="40"/>
  <c r="L29" i="40"/>
  <c r="I27" i="52"/>
  <c r="H27" i="52"/>
  <c r="G27" i="52"/>
  <c r="O31" i="53"/>
  <c r="K31" i="53" s="1"/>
  <c r="N31" i="53"/>
  <c r="F31" i="53" s="1"/>
  <c r="Q31" i="53"/>
  <c r="G31" i="40"/>
  <c r="G31" i="48"/>
  <c r="G34" i="48" s="1"/>
  <c r="H31" i="48"/>
  <c r="I31" i="48"/>
  <c r="F34" i="48"/>
  <c r="P16" i="53"/>
  <c r="Q16" i="53" s="1"/>
  <c r="N29" i="53"/>
  <c r="H29" i="40"/>
  <c r="G29" i="40"/>
  <c r="H27" i="57"/>
  <c r="G27" i="57"/>
  <c r="I27" i="57"/>
  <c r="F27" i="50"/>
  <c r="H26" i="50"/>
  <c r="I26" i="50"/>
  <c r="G26" i="50"/>
  <c r="D68" i="52"/>
  <c r="I28" i="52"/>
  <c r="D45" i="52"/>
  <c r="E45" i="52" s="1"/>
  <c r="H28" i="52"/>
  <c r="C45" i="52" s="1"/>
  <c r="G28" i="52"/>
  <c r="O8" i="58"/>
  <c r="P8" i="58" s="1"/>
  <c r="I27" i="56"/>
  <c r="H27" i="56"/>
  <c r="G27" i="56"/>
  <c r="C3" i="59"/>
  <c r="C2" i="59"/>
  <c r="C6" i="59"/>
  <c r="C7" i="59"/>
  <c r="C8" i="59"/>
  <c r="C9" i="59"/>
  <c r="C10" i="59"/>
  <c r="C11" i="59"/>
  <c r="C5" i="59"/>
  <c r="C4" i="59"/>
  <c r="E62" i="36"/>
  <c r="G27" i="36"/>
  <c r="G35" i="36" s="1"/>
  <c r="G36" i="36" s="1"/>
  <c r="P4" i="36" s="1"/>
  <c r="D44" i="36"/>
  <c r="E44" i="36" s="1"/>
  <c r="O11" i="58"/>
  <c r="P11" i="58" s="1"/>
  <c r="H27" i="36"/>
  <c r="C44" i="36" s="1"/>
  <c r="I27" i="36"/>
  <c r="N34" i="40"/>
  <c r="G34" i="40"/>
  <c r="F35" i="40"/>
  <c r="G35" i="40" s="1"/>
  <c r="I33" i="36"/>
  <c r="F35" i="36"/>
  <c r="N35" i="40" l="1"/>
  <c r="C69" i="50"/>
  <c r="C72" i="56"/>
  <c r="C70" i="48"/>
  <c r="C71" i="36"/>
  <c r="C73" i="49"/>
  <c r="H34" i="56"/>
  <c r="I34" i="56"/>
  <c r="F36" i="56"/>
  <c r="H44" i="56"/>
  <c r="H30" i="47"/>
  <c r="G30" i="47"/>
  <c r="F33" i="47"/>
  <c r="R16" i="40"/>
  <c r="Q17" i="40"/>
  <c r="P28" i="40"/>
  <c r="P29" i="40" s="1"/>
  <c r="M31" i="53"/>
  <c r="L31" i="53"/>
  <c r="K34" i="53"/>
  <c r="C73" i="50"/>
  <c r="C76" i="56"/>
  <c r="C74" i="48"/>
  <c r="C75" i="36"/>
  <c r="C77" i="49"/>
  <c r="I34" i="57"/>
  <c r="H44" i="57"/>
  <c r="H34" i="57"/>
  <c r="F36" i="57"/>
  <c r="C77" i="56"/>
  <c r="C75" i="48"/>
  <c r="C76" i="36"/>
  <c r="C78" i="49"/>
  <c r="C74" i="50"/>
  <c r="I27" i="50"/>
  <c r="D44" i="50"/>
  <c r="E44" i="50" s="1"/>
  <c r="H27" i="50"/>
  <c r="C44" i="50" s="1"/>
  <c r="G27" i="50"/>
  <c r="G35" i="50" s="1"/>
  <c r="G36" i="50" s="1"/>
  <c r="P4" i="50" s="1"/>
  <c r="O12" i="58"/>
  <c r="P12" i="58" s="1"/>
  <c r="D65" i="50"/>
  <c r="I29" i="49"/>
  <c r="H29" i="49"/>
  <c r="C46" i="49" s="1"/>
  <c r="D46" i="49"/>
  <c r="E46" i="49" s="1"/>
  <c r="D69" i="49"/>
  <c r="G29" i="49"/>
  <c r="G37" i="49" s="1"/>
  <c r="G38" i="49" s="1"/>
  <c r="P4" i="49" s="1"/>
  <c r="O9" i="58"/>
  <c r="P9" i="58" s="1"/>
  <c r="C67" i="50"/>
  <c r="C70" i="56"/>
  <c r="C68" i="48"/>
  <c r="C71" i="49"/>
  <c r="C69" i="36"/>
  <c r="C71" i="57"/>
  <c r="C69" i="47"/>
  <c r="C71" i="52"/>
  <c r="C70" i="40"/>
  <c r="C72" i="53"/>
  <c r="G36" i="57"/>
  <c r="G37" i="57" s="1"/>
  <c r="P4" i="57" s="1"/>
  <c r="D69" i="57"/>
  <c r="C66" i="50"/>
  <c r="C69" i="56"/>
  <c r="C67" i="48"/>
  <c r="C70" i="49"/>
  <c r="C68" i="36"/>
  <c r="C68" i="50"/>
  <c r="C71" i="56"/>
  <c r="C69" i="48"/>
  <c r="C72" i="49"/>
  <c r="C70" i="36"/>
  <c r="D69" i="52"/>
  <c r="C65" i="50"/>
  <c r="C68" i="56"/>
  <c r="E68" i="56" s="1"/>
  <c r="C66" i="48"/>
  <c r="C67" i="36"/>
  <c r="C69" i="49"/>
  <c r="C70" i="57"/>
  <c r="C71" i="53"/>
  <c r="C68" i="47"/>
  <c r="C70" i="52"/>
  <c r="C69" i="40"/>
  <c r="C77" i="57"/>
  <c r="C77" i="52"/>
  <c r="C76" i="40"/>
  <c r="C78" i="53"/>
  <c r="C75" i="47"/>
  <c r="C75" i="57"/>
  <c r="C75" i="52"/>
  <c r="C74" i="40"/>
  <c r="C76" i="53"/>
  <c r="C73" i="47"/>
  <c r="D69" i="56"/>
  <c r="C72" i="50"/>
  <c r="C75" i="56"/>
  <c r="C73" i="48"/>
  <c r="C74" i="36"/>
  <c r="C76" i="49"/>
  <c r="I35" i="49"/>
  <c r="H45" i="49"/>
  <c r="H35" i="49"/>
  <c r="F37" i="49"/>
  <c r="C76" i="57"/>
  <c r="C76" i="52"/>
  <c r="C75" i="40"/>
  <c r="C77" i="53"/>
  <c r="C74" i="47"/>
  <c r="C74" i="57"/>
  <c r="C74" i="52"/>
  <c r="C73" i="40"/>
  <c r="C75" i="53"/>
  <c r="C72" i="47"/>
  <c r="C69" i="57"/>
  <c r="C70" i="53"/>
  <c r="C67" i="47"/>
  <c r="C69" i="52"/>
  <c r="C68" i="40"/>
  <c r="I33" i="50"/>
  <c r="F35" i="50"/>
  <c r="H33" i="50"/>
  <c r="C71" i="50"/>
  <c r="C74" i="56"/>
  <c r="C72" i="48"/>
  <c r="C73" i="36"/>
  <c r="C75" i="49"/>
  <c r="G28" i="48"/>
  <c r="G36" i="48" s="1"/>
  <c r="G37" i="48" s="1"/>
  <c r="P4" i="48" s="1"/>
  <c r="O21" i="58"/>
  <c r="P21" i="58" s="1"/>
  <c r="I28" i="48"/>
  <c r="D66" i="48"/>
  <c r="D45" i="48"/>
  <c r="E45" i="48" s="1"/>
  <c r="H28" i="48"/>
  <c r="C45" i="48" s="1"/>
  <c r="C73" i="57"/>
  <c r="C71" i="47"/>
  <c r="C73" i="52"/>
  <c r="C72" i="40"/>
  <c r="C74" i="53"/>
  <c r="D67" i="47"/>
  <c r="C70" i="50"/>
  <c r="C73" i="56"/>
  <c r="C71" i="48"/>
  <c r="C72" i="36"/>
  <c r="C74" i="49"/>
  <c r="H31" i="53"/>
  <c r="G31" i="53"/>
  <c r="F34" i="53"/>
  <c r="C72" i="57"/>
  <c r="C70" i="47"/>
  <c r="C72" i="52"/>
  <c r="C71" i="40"/>
  <c r="C73" i="53"/>
  <c r="C68" i="57"/>
  <c r="E68" i="57" s="1"/>
  <c r="C69" i="53"/>
  <c r="C66" i="47"/>
  <c r="E66" i="47" s="1"/>
  <c r="C68" i="52"/>
  <c r="E68" i="52" s="1"/>
  <c r="C67" i="40"/>
  <c r="F36" i="48"/>
  <c r="H34" i="48"/>
  <c r="I34" i="48"/>
  <c r="M30" i="47"/>
  <c r="K33" i="47"/>
  <c r="L30" i="47"/>
  <c r="H36" i="52"/>
  <c r="F37" i="52"/>
  <c r="I36" i="52"/>
  <c r="D46" i="52"/>
  <c r="E46" i="52" s="1"/>
  <c r="D68" i="36"/>
  <c r="D69" i="36"/>
  <c r="D71" i="36"/>
  <c r="D72" i="36"/>
  <c r="D73" i="36"/>
  <c r="D74" i="36"/>
  <c r="D75" i="36"/>
  <c r="D76" i="36"/>
  <c r="D70" i="36"/>
  <c r="D67" i="36"/>
  <c r="J32" i="36"/>
  <c r="J29" i="36"/>
  <c r="J30" i="36"/>
  <c r="J33" i="36"/>
  <c r="J31" i="36"/>
  <c r="J9" i="36"/>
  <c r="J10" i="36"/>
  <c r="J22" i="36"/>
  <c r="J23" i="36"/>
  <c r="J14" i="36"/>
  <c r="J11" i="36"/>
  <c r="J25" i="36"/>
  <c r="J16" i="36"/>
  <c r="J18" i="36"/>
  <c r="J12" i="36"/>
  <c r="J15" i="36"/>
  <c r="J17" i="36"/>
  <c r="J21" i="36"/>
  <c r="J20" i="36"/>
  <c r="J19" i="36"/>
  <c r="J13" i="36"/>
  <c r="J26" i="36"/>
  <c r="J27" i="36"/>
  <c r="H35" i="40"/>
  <c r="C46" i="40"/>
  <c r="F36" i="40"/>
  <c r="G36" i="40" s="1"/>
  <c r="H35" i="36"/>
  <c r="S4" i="36" s="1"/>
  <c r="D45" i="36"/>
  <c r="F36" i="36"/>
  <c r="I35" i="36"/>
  <c r="E68" i="36" l="1"/>
  <c r="E67" i="36"/>
  <c r="F66" i="36" s="1"/>
  <c r="E76" i="36"/>
  <c r="F68" i="52"/>
  <c r="D67" i="40"/>
  <c r="O16" i="58"/>
  <c r="P16" i="58" s="1"/>
  <c r="R28" i="40"/>
  <c r="Q29" i="40"/>
  <c r="F65" i="47"/>
  <c r="F67" i="56"/>
  <c r="E69" i="49"/>
  <c r="D70" i="49"/>
  <c r="E65" i="50"/>
  <c r="D66" i="50"/>
  <c r="H34" i="53"/>
  <c r="N34" i="53"/>
  <c r="G34" i="53"/>
  <c r="F35" i="53"/>
  <c r="R27" i="40"/>
  <c r="Q28" i="40"/>
  <c r="H33" i="47"/>
  <c r="F34" i="47"/>
  <c r="N33" i="47"/>
  <c r="G33" i="47"/>
  <c r="M33" i="47"/>
  <c r="K34" i="47"/>
  <c r="O33" i="47"/>
  <c r="O34" i="47" s="1"/>
  <c r="D43" i="47" s="1"/>
  <c r="L33" i="47"/>
  <c r="F38" i="49"/>
  <c r="D47" i="49"/>
  <c r="E47" i="49" s="1"/>
  <c r="I37" i="49"/>
  <c r="H37" i="49"/>
  <c r="H35" i="50"/>
  <c r="I35" i="50"/>
  <c r="F36" i="50"/>
  <c r="D45" i="50"/>
  <c r="E45" i="50" s="1"/>
  <c r="H36" i="56"/>
  <c r="F37" i="56"/>
  <c r="D46" i="56"/>
  <c r="E46" i="56" s="1"/>
  <c r="I36" i="56"/>
  <c r="I37" i="52"/>
  <c r="H37" i="52"/>
  <c r="I36" i="48"/>
  <c r="D46" i="48"/>
  <c r="E46" i="48" s="1"/>
  <c r="F37" i="48"/>
  <c r="H36" i="48"/>
  <c r="E67" i="47"/>
  <c r="D68" i="47"/>
  <c r="I36" i="57"/>
  <c r="D46" i="57"/>
  <c r="E46" i="57" s="1"/>
  <c r="H36" i="57"/>
  <c r="F37" i="57"/>
  <c r="E69" i="56"/>
  <c r="D70" i="56"/>
  <c r="D70" i="52"/>
  <c r="E69" i="52"/>
  <c r="O34" i="53"/>
  <c r="L34" i="53"/>
  <c r="M34" i="53"/>
  <c r="D67" i="48"/>
  <c r="E66" i="48"/>
  <c r="E69" i="57"/>
  <c r="D70" i="57"/>
  <c r="F67" i="57"/>
  <c r="P4" i="52"/>
  <c r="C46" i="52"/>
  <c r="J8" i="58" s="1"/>
  <c r="I8" i="58" s="1"/>
  <c r="E45" i="36"/>
  <c r="E69" i="36"/>
  <c r="J34" i="36"/>
  <c r="H36" i="36"/>
  <c r="AI24" i="40"/>
  <c r="H36" i="40"/>
  <c r="AC24" i="40"/>
  <c r="C45" i="40"/>
  <c r="I14" i="58" s="1"/>
  <c r="J14" i="58" s="1"/>
  <c r="C45" i="36"/>
  <c r="I36" i="36"/>
  <c r="F67" i="36" l="1"/>
  <c r="P34" i="53"/>
  <c r="Q34" i="53" s="1"/>
  <c r="F68" i="57"/>
  <c r="F66" i="47"/>
  <c r="F66" i="48"/>
  <c r="E67" i="48"/>
  <c r="D68" i="48"/>
  <c r="D71" i="49"/>
  <c r="E70" i="49"/>
  <c r="I37" i="56"/>
  <c r="H37" i="56"/>
  <c r="C46" i="56"/>
  <c r="I10" i="58" s="1"/>
  <c r="J10" i="58" s="1"/>
  <c r="S4" i="56"/>
  <c r="E66" i="50"/>
  <c r="D67" i="50"/>
  <c r="F68" i="49"/>
  <c r="S4" i="49"/>
  <c r="C47" i="49"/>
  <c r="I9" i="58" s="1"/>
  <c r="J9" i="58" s="1"/>
  <c r="H44" i="49"/>
  <c r="F68" i="56"/>
  <c r="E70" i="57"/>
  <c r="D71" i="57"/>
  <c r="H38" i="49"/>
  <c r="I38" i="49"/>
  <c r="F64" i="50"/>
  <c r="D71" i="52"/>
  <c r="E70" i="52"/>
  <c r="I37" i="48"/>
  <c r="H37" i="48"/>
  <c r="P33" i="47"/>
  <c r="N34" i="47"/>
  <c r="C43" i="47" s="1"/>
  <c r="E67" i="40"/>
  <c r="D68" i="40"/>
  <c r="C46" i="57"/>
  <c r="J3" i="58" s="1"/>
  <c r="I3" i="58" s="1"/>
  <c r="S4" i="57"/>
  <c r="E68" i="47"/>
  <c r="D69" i="47"/>
  <c r="H34" i="47"/>
  <c r="G34" i="47"/>
  <c r="F35" i="47"/>
  <c r="C45" i="47"/>
  <c r="F69" i="52"/>
  <c r="C46" i="53"/>
  <c r="G35" i="53"/>
  <c r="H35" i="53"/>
  <c r="F36" i="53"/>
  <c r="N35" i="53"/>
  <c r="C44" i="53" s="1"/>
  <c r="D71" i="56"/>
  <c r="E70" i="56"/>
  <c r="M34" i="47"/>
  <c r="L34" i="47"/>
  <c r="K35" i="47"/>
  <c r="D45" i="47"/>
  <c r="C46" i="48"/>
  <c r="I21" i="58" s="1"/>
  <c r="J21" i="58" s="1"/>
  <c r="S4" i="48"/>
  <c r="H36" i="50"/>
  <c r="I36" i="50"/>
  <c r="S4" i="50"/>
  <c r="C45" i="50"/>
  <c r="I12" i="58" s="1"/>
  <c r="J12" i="58" s="1"/>
  <c r="H37" i="57"/>
  <c r="I37" i="57"/>
  <c r="J11" i="58"/>
  <c r="I11" i="58" s="1"/>
  <c r="L31" i="40"/>
  <c r="K34" i="40"/>
  <c r="F67" i="47" l="1"/>
  <c r="F67" i="40"/>
  <c r="F69" i="57"/>
  <c r="D69" i="40"/>
  <c r="E68" i="40"/>
  <c r="L35" i="47"/>
  <c r="M35" i="47"/>
  <c r="E71" i="56"/>
  <c r="D72" i="56"/>
  <c r="Q33" i="47"/>
  <c r="P34" i="47"/>
  <c r="F69" i="56"/>
  <c r="D44" i="47"/>
  <c r="I19" i="58" s="1"/>
  <c r="J19" i="58" s="1"/>
  <c r="AE24" i="47"/>
  <c r="D69" i="48"/>
  <c r="E68" i="48"/>
  <c r="D72" i="52"/>
  <c r="E71" i="52"/>
  <c r="AG24" i="53"/>
  <c r="G36" i="53"/>
  <c r="H36" i="53"/>
  <c r="F70" i="52"/>
  <c r="F67" i="48"/>
  <c r="E69" i="47"/>
  <c r="D70" i="47"/>
  <c r="F69" i="49"/>
  <c r="F65" i="50"/>
  <c r="G35" i="47"/>
  <c r="H35" i="47"/>
  <c r="D72" i="57"/>
  <c r="E71" i="57"/>
  <c r="E67" i="50"/>
  <c r="D68" i="50"/>
  <c r="AA24" i="53"/>
  <c r="C45" i="53"/>
  <c r="I5" i="58" s="1"/>
  <c r="J5" i="58" s="1"/>
  <c r="D72" i="49"/>
  <c r="E71" i="49"/>
  <c r="C44" i="47"/>
  <c r="I18" i="58" s="1"/>
  <c r="J18" i="58" s="1"/>
  <c r="AB24" i="47"/>
  <c r="F68" i="36"/>
  <c r="E70" i="36"/>
  <c r="O34" i="40"/>
  <c r="M34" i="40"/>
  <c r="K35" i="40"/>
  <c r="L34" i="40"/>
  <c r="F68" i="40" l="1"/>
  <c r="F66" i="50"/>
  <c r="F68" i="48"/>
  <c r="E72" i="52"/>
  <c r="D73" i="52"/>
  <c r="E72" i="57"/>
  <c r="D73" i="57"/>
  <c r="F70" i="49"/>
  <c r="D69" i="50"/>
  <c r="E68" i="50"/>
  <c r="F70" i="57"/>
  <c r="E44" i="47"/>
  <c r="I20" i="58" s="1"/>
  <c r="J20" i="58" s="1"/>
  <c r="P35" i="47"/>
  <c r="E43" i="47"/>
  <c r="Q34" i="47"/>
  <c r="E45" i="47"/>
  <c r="E72" i="56"/>
  <c r="D73" i="56"/>
  <c r="F70" i="56"/>
  <c r="F68" i="47"/>
  <c r="F71" i="52"/>
  <c r="E69" i="40"/>
  <c r="D70" i="40"/>
  <c r="E72" i="49"/>
  <c r="D73" i="49"/>
  <c r="D71" i="47"/>
  <c r="E70" i="47"/>
  <c r="D70" i="48"/>
  <c r="E69" i="48"/>
  <c r="F69" i="36"/>
  <c r="E71" i="36"/>
  <c r="P34" i="40"/>
  <c r="P35" i="40" s="1"/>
  <c r="P36" i="40" s="1"/>
  <c r="O35" i="40"/>
  <c r="L35" i="40"/>
  <c r="AF24" i="40" s="1"/>
  <c r="M35" i="40"/>
  <c r="D46" i="40"/>
  <c r="K36" i="40"/>
  <c r="AQ24" i="40" s="1"/>
  <c r="F69" i="40" l="1"/>
  <c r="F69" i="48"/>
  <c r="F71" i="56"/>
  <c r="D74" i="56"/>
  <c r="E73" i="56"/>
  <c r="E71" i="47"/>
  <c r="D72" i="47"/>
  <c r="E73" i="57"/>
  <c r="D74" i="57"/>
  <c r="F69" i="47"/>
  <c r="F67" i="50"/>
  <c r="F71" i="49"/>
  <c r="F71" i="57"/>
  <c r="E73" i="52"/>
  <c r="D74" i="52"/>
  <c r="F72" i="52"/>
  <c r="Q35" i="47"/>
  <c r="P37" i="47"/>
  <c r="Q37" i="47"/>
  <c r="D71" i="48"/>
  <c r="E70" i="48"/>
  <c r="E70" i="40"/>
  <c r="D71" i="40"/>
  <c r="Q34" i="40"/>
  <c r="D74" i="49"/>
  <c r="E73" i="49"/>
  <c r="E69" i="50"/>
  <c r="D70" i="50"/>
  <c r="F70" i="36"/>
  <c r="E72" i="36"/>
  <c r="R33" i="40"/>
  <c r="R34" i="40"/>
  <c r="E45" i="40"/>
  <c r="M36" i="40"/>
  <c r="D45" i="40"/>
  <c r="Q35" i="40"/>
  <c r="E44" i="40"/>
  <c r="E46" i="40"/>
  <c r="L36" i="40"/>
  <c r="F70" i="40" l="1"/>
  <c r="F68" i="50"/>
  <c r="F72" i="49"/>
  <c r="F72" i="56"/>
  <c r="F70" i="47"/>
  <c r="D75" i="49"/>
  <c r="E74" i="49"/>
  <c r="F72" i="57"/>
  <c r="D73" i="47"/>
  <c r="E72" i="47"/>
  <c r="F71" i="47" s="1"/>
  <c r="F73" i="52"/>
  <c r="D75" i="57"/>
  <c r="E74" i="57"/>
  <c r="E71" i="48"/>
  <c r="D72" i="48"/>
  <c r="D75" i="56"/>
  <c r="E74" i="56"/>
  <c r="D75" i="52"/>
  <c r="E74" i="52"/>
  <c r="D71" i="50"/>
  <c r="E70" i="50"/>
  <c r="F69" i="50" s="1"/>
  <c r="E71" i="40"/>
  <c r="D72" i="40"/>
  <c r="F70" i="48"/>
  <c r="F71" i="36"/>
  <c r="I15" i="58"/>
  <c r="J15" i="58" s="1"/>
  <c r="E73" i="36"/>
  <c r="AL24" i="40"/>
  <c r="I16" i="58"/>
  <c r="J16" i="58" s="1"/>
  <c r="Q36" i="40"/>
  <c r="F71" i="40" l="1"/>
  <c r="F73" i="49"/>
  <c r="F73" i="57"/>
  <c r="F73" i="56"/>
  <c r="F74" i="52"/>
  <c r="F71" i="48"/>
  <c r="E71" i="50"/>
  <c r="F70" i="50" s="1"/>
  <c r="D72" i="50"/>
  <c r="D76" i="57"/>
  <c r="E75" i="57"/>
  <c r="E75" i="49"/>
  <c r="D76" i="49"/>
  <c r="E75" i="52"/>
  <c r="F75" i="52" s="1"/>
  <c r="D76" i="52"/>
  <c r="E72" i="48"/>
  <c r="D73" i="48"/>
  <c r="E73" i="47"/>
  <c r="F72" i="47" s="1"/>
  <c r="D74" i="47"/>
  <c r="D73" i="40"/>
  <c r="E72" i="40"/>
  <c r="E75" i="56"/>
  <c r="D76" i="56"/>
  <c r="F72" i="36"/>
  <c r="E74" i="36"/>
  <c r="K22" i="53"/>
  <c r="F74" i="49" l="1"/>
  <c r="F74" i="57"/>
  <c r="F74" i="56"/>
  <c r="F72" i="48"/>
  <c r="F72" i="40"/>
  <c r="D75" i="47"/>
  <c r="E75" i="47" s="1"/>
  <c r="E74" i="47"/>
  <c r="F73" i="47" s="1"/>
  <c r="D77" i="57"/>
  <c r="E77" i="57" s="1"/>
  <c r="E76" i="57"/>
  <c r="D73" i="50"/>
  <c r="E72" i="50"/>
  <c r="F71" i="50" s="1"/>
  <c r="D74" i="48"/>
  <c r="E73" i="48"/>
  <c r="E76" i="56"/>
  <c r="D77" i="56"/>
  <c r="E77" i="56" s="1"/>
  <c r="D74" i="40"/>
  <c r="E73" i="40"/>
  <c r="E76" i="52"/>
  <c r="F76" i="52" s="1"/>
  <c r="D77" i="52"/>
  <c r="E77" i="52" s="1"/>
  <c r="D77" i="49"/>
  <c r="E76" i="49"/>
  <c r="L22" i="53"/>
  <c r="K28" i="53"/>
  <c r="K29" i="53" s="1"/>
  <c r="F73" i="36"/>
  <c r="E75" i="36"/>
  <c r="O22" i="53"/>
  <c r="M22" i="53"/>
  <c r="F75" i="49" l="1"/>
  <c r="F75" i="57"/>
  <c r="F76" i="57" s="1"/>
  <c r="C39" i="57" s="1" a="1"/>
  <c r="C39" i="57" s="1"/>
  <c r="K3" i="58" s="1"/>
  <c r="F75" i="56"/>
  <c r="F76" i="56" s="1"/>
  <c r="C39" i="56" s="1" a="1"/>
  <c r="C39" i="56" s="1"/>
  <c r="K10" i="58" s="1"/>
  <c r="F73" i="48"/>
  <c r="F74" i="36"/>
  <c r="F75" i="36" s="1"/>
  <c r="C38" i="36" s="1" a="1"/>
  <c r="C38" i="36" s="1"/>
  <c r="K11" i="58" s="1"/>
  <c r="F74" i="47"/>
  <c r="C37" i="47" s="1" a="1"/>
  <c r="C37" i="47" s="1"/>
  <c r="K20" i="58" s="1"/>
  <c r="F77" i="52"/>
  <c r="C39" i="52" s="1" a="1"/>
  <c r="C39" i="52" s="1"/>
  <c r="K8" i="58" s="1"/>
  <c r="D78" i="49"/>
  <c r="E78" i="49" s="1"/>
  <c r="E77" i="49"/>
  <c r="C40" i="56"/>
  <c r="L10" i="58" s="1"/>
  <c r="C41" i="56"/>
  <c r="E74" i="48"/>
  <c r="D75" i="48"/>
  <c r="E75" i="48" s="1"/>
  <c r="E74" i="40"/>
  <c r="D75" i="40"/>
  <c r="F73" i="40"/>
  <c r="C40" i="52"/>
  <c r="L8" i="58" s="1"/>
  <c r="C41" i="52"/>
  <c r="D74" i="50"/>
  <c r="E74" i="50" s="1"/>
  <c r="E73" i="50"/>
  <c r="F72" i="50" s="1"/>
  <c r="C41" i="57"/>
  <c r="C40" i="57"/>
  <c r="L3" i="58" s="1"/>
  <c r="C39" i="47"/>
  <c r="C38" i="47"/>
  <c r="L20" i="58" s="1"/>
  <c r="C39" i="36"/>
  <c r="L11" i="58" s="1"/>
  <c r="C40" i="36"/>
  <c r="L28" i="53"/>
  <c r="M17" i="53"/>
  <c r="M28" i="53"/>
  <c r="L17" i="53"/>
  <c r="K35" i="53"/>
  <c r="L35" i="53" s="1"/>
  <c r="P22" i="53"/>
  <c r="P28" i="53" s="1"/>
  <c r="P29" i="53" s="1"/>
  <c r="F76" i="49" l="1"/>
  <c r="F77" i="49" s="1"/>
  <c r="C40" i="49" s="1" a="1"/>
  <c r="C40" i="49" s="1"/>
  <c r="K9" i="58" s="1"/>
  <c r="F74" i="48"/>
  <c r="F75" i="48" s="1"/>
  <c r="C39" i="48" s="1" a="1"/>
  <c r="C39" i="48" s="1"/>
  <c r="K21" i="58" s="1"/>
  <c r="F73" i="50"/>
  <c r="C38" i="50" s="1" a="1"/>
  <c r="C38" i="50" s="1"/>
  <c r="K12" i="58" s="1"/>
  <c r="C39" i="50"/>
  <c r="L12" i="58" s="1"/>
  <c r="C40" i="50"/>
  <c r="F74" i="40"/>
  <c r="D76" i="40"/>
  <c r="E76" i="40" s="1"/>
  <c r="E75" i="40"/>
  <c r="C40" i="48"/>
  <c r="L21" i="58" s="1"/>
  <c r="C41" i="48"/>
  <c r="C41" i="49"/>
  <c r="L9" i="58" s="1"/>
  <c r="C42" i="49"/>
  <c r="O29" i="53"/>
  <c r="L29" i="53"/>
  <c r="M29" i="53"/>
  <c r="O35" i="53"/>
  <c r="D44" i="53" s="1"/>
  <c r="D46" i="53"/>
  <c r="M35" i="53"/>
  <c r="K36" i="53"/>
  <c r="AJ24" i="53" s="1"/>
  <c r="AD24" i="53"/>
  <c r="D45" i="53"/>
  <c r="J6" i="58" s="1"/>
  <c r="I6" i="58" s="1"/>
  <c r="Q22" i="53"/>
  <c r="C40" i="40" l="1"/>
  <c r="F75" i="40"/>
  <c r="F76" i="40" s="1"/>
  <c r="C38" i="40" s="1" a="1"/>
  <c r="C38" i="40" s="1"/>
  <c r="K16" i="58" s="1"/>
  <c r="C39" i="40"/>
  <c r="L16" i="58" s="1"/>
  <c r="L36" i="53"/>
  <c r="Q28" i="53"/>
  <c r="M36" i="53"/>
  <c r="Q17" i="53"/>
  <c r="O7" i="58" l="1"/>
  <c r="P7" i="58" s="1"/>
  <c r="D69" i="53"/>
  <c r="Q29" i="53"/>
  <c r="P35" i="53"/>
  <c r="E69" i="53" l="1"/>
  <c r="D70" i="53"/>
  <c r="P36" i="53"/>
  <c r="E44" i="53"/>
  <c r="Q35" i="53"/>
  <c r="E45" i="53"/>
  <c r="E46" i="53"/>
  <c r="J7" i="58" l="1"/>
  <c r="I7" i="58" s="1"/>
  <c r="F65" i="53"/>
  <c r="D71" i="53"/>
  <c r="E70" i="53"/>
  <c r="Q36" i="53"/>
  <c r="F66" i="53" l="1"/>
  <c r="D72" i="53"/>
  <c r="E71" i="53"/>
  <c r="F67" i="53" l="1"/>
  <c r="E72" i="53"/>
  <c r="D73" i="53"/>
  <c r="F68" i="53" l="1"/>
  <c r="E73" i="53"/>
  <c r="D74" i="53"/>
  <c r="F69" i="53" l="1"/>
  <c r="D75" i="53"/>
  <c r="E74" i="53"/>
  <c r="F70" i="53" l="1"/>
  <c r="D76" i="53"/>
  <c r="E75" i="53"/>
  <c r="F71" i="53" l="1"/>
  <c r="E76" i="53"/>
  <c r="D77" i="53"/>
  <c r="F72" i="53" l="1"/>
  <c r="D78" i="53"/>
  <c r="E78" i="53" s="1"/>
  <c r="E77" i="53"/>
  <c r="F73" i="53" l="1"/>
  <c r="F74" i="53" s="1"/>
  <c r="C40" i="53"/>
  <c r="C39" i="53"/>
  <c r="L7" i="58" s="1"/>
  <c r="C38" i="53" l="1" a="1"/>
  <c r="C38" i="53" s="1"/>
  <c r="K7" i="5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<sst xmlns="http://schemas.openxmlformats.org/spreadsheetml/2006/main" count="1601" uniqueCount="432">
  <si>
    <t>Developed by:</t>
  </si>
  <si>
    <t>Operating Inputs</t>
  </si>
  <si>
    <t>Unit</t>
  </si>
  <si>
    <t>Labor</t>
  </si>
  <si>
    <t>$/hour</t>
  </si>
  <si>
    <t>Production</t>
  </si>
  <si>
    <t>Aquatic organism control</t>
  </si>
  <si>
    <t>$/acre</t>
  </si>
  <si>
    <t>Marketing</t>
  </si>
  <si>
    <t>% production</t>
  </si>
  <si>
    <t>Medication</t>
  </si>
  <si>
    <t>Water treatments</t>
  </si>
  <si>
    <t>Structural repair and maintenance</t>
  </si>
  <si>
    <t>Operating interest</t>
  </si>
  <si>
    <t>% APR</t>
  </si>
  <si>
    <t>Energy</t>
  </si>
  <si>
    <t>$/mile</t>
  </si>
  <si>
    <t>Aeration rate</t>
  </si>
  <si>
    <t>horsepower/acre</t>
  </si>
  <si>
    <t>Electricity service fee</t>
  </si>
  <si>
    <t>$/month</t>
  </si>
  <si>
    <t>Electricity</t>
  </si>
  <si>
    <t>$/kWh</t>
  </si>
  <si>
    <t>$/gallon</t>
  </si>
  <si>
    <t>kWh/month</t>
  </si>
  <si>
    <t>Farm insurance</t>
  </si>
  <si>
    <t>annual cost</t>
  </si>
  <si>
    <t>Professional fees</t>
  </si>
  <si>
    <t>Undeveloped land</t>
  </si>
  <si>
    <t>acres</t>
  </si>
  <si>
    <t>Water area</t>
  </si>
  <si>
    <t>Item</t>
  </si>
  <si>
    <t>Quantity</t>
  </si>
  <si>
    <t>Total</t>
  </si>
  <si>
    <t>Value</t>
  </si>
  <si>
    <t>Delivery to buyers/market</t>
  </si>
  <si>
    <t>Net Sales</t>
  </si>
  <si>
    <t>Variable costs</t>
  </si>
  <si>
    <t>Feed</t>
  </si>
  <si>
    <t>tons</t>
  </si>
  <si>
    <t>lbs</t>
  </si>
  <si>
    <t>fish</t>
  </si>
  <si>
    <t>Veterinary and medicine</t>
  </si>
  <si>
    <t>Repair and maintenance</t>
  </si>
  <si>
    <t>Fuel and electricity</t>
  </si>
  <si>
    <t>Other operating expenses</t>
  </si>
  <si>
    <t>Interest on operating capital</t>
  </si>
  <si>
    <t>Total variable costs</t>
  </si>
  <si>
    <t>Fixed costs</t>
  </si>
  <si>
    <t>Legal/accounting</t>
  </si>
  <si>
    <t>Total fixed costs</t>
  </si>
  <si>
    <t>Total cost</t>
  </si>
  <si>
    <t>To cover variable costs</t>
  </si>
  <si>
    <t>To cover total costs</t>
  </si>
  <si>
    <t>Operating costs</t>
  </si>
  <si>
    <t>Ownership Costs</t>
  </si>
  <si>
    <t>Pond construction</t>
  </si>
  <si>
    <t>Facilities and Equipment</t>
  </si>
  <si>
    <t>Shed (1/4 office space)</t>
  </si>
  <si>
    <t>Feed bin</t>
  </si>
  <si>
    <t>Storage container</t>
  </si>
  <si>
    <t>Water well &amp; line installation</t>
  </si>
  <si>
    <t>Pickup</t>
  </si>
  <si>
    <t>Fish transport trailer</t>
  </si>
  <si>
    <t>Flat deck trailer</t>
  </si>
  <si>
    <t>Jon boat</t>
  </si>
  <si>
    <t>Emergency PTO aerator</t>
  </si>
  <si>
    <t>Fuel tank</t>
  </si>
  <si>
    <t>3" pump</t>
  </si>
  <si>
    <t>Office equipment</t>
  </si>
  <si>
    <t>Handheld power tools</t>
  </si>
  <si>
    <t>Hand tools</t>
  </si>
  <si>
    <t>Shop tools &amp; equipment</t>
  </si>
  <si>
    <t>kWh</t>
  </si>
  <si>
    <t>Supplies</t>
  </si>
  <si>
    <t>Average operating debt outstanding</t>
  </si>
  <si>
    <t>% of operating debt</t>
  </si>
  <si>
    <t>Farm and Ponds</t>
  </si>
  <si>
    <t>acre</t>
  </si>
  <si>
    <t>Total capital investment</t>
  </si>
  <si>
    <t>each</t>
  </si>
  <si>
    <t>total</t>
  </si>
  <si>
    <t>Fish feeder</t>
  </si>
  <si>
    <t>Trolling motor</t>
  </si>
  <si>
    <t>Finish mower</t>
  </si>
  <si>
    <t>Electric aerators</t>
  </si>
  <si>
    <t>Electrical installation &amp; equipment</t>
  </si>
  <si>
    <t>Months to stocker harvest</t>
  </si>
  <si>
    <t>Revenue</t>
  </si>
  <si>
    <t>Net revenue</t>
  </si>
  <si>
    <t>Hired labor</t>
  </si>
  <si>
    <t>Weighted average cost of capital</t>
  </si>
  <si>
    <t>percent of pond area containing water</t>
  </si>
  <si>
    <t>$/lb</t>
  </si>
  <si>
    <t>Fish sales</t>
  </si>
  <si>
    <t>lb</t>
  </si>
  <si>
    <t xml:space="preserve">1 kg = </t>
  </si>
  <si>
    <t xml:space="preserve">1 ha = </t>
  </si>
  <si>
    <t>Total lb feed/lb fish produced</t>
  </si>
  <si>
    <t>Survival (fry-commercial)</t>
  </si>
  <si>
    <t xml:space="preserve">1 acre at 1 m depth = </t>
  </si>
  <si>
    <t>1,000 gallons</t>
  </si>
  <si>
    <t xml:space="preserve"> feet</t>
  </si>
  <si>
    <t>Unit conversion</t>
  </si>
  <si>
    <t xml:space="preserve">1 acre at 1 foot depth = </t>
  </si>
  <si>
    <t xml:space="preserve">1 meter = </t>
  </si>
  <si>
    <t>PRE-ORDER GOLDEN SHINER FRY - Anderson Minnows</t>
  </si>
  <si>
    <t>Fry</t>
  </si>
  <si>
    <t>Capital recovery on real estate and equipment</t>
  </si>
  <si>
    <t>122 Production Enterprise Budget for Golden Shiners.pdf</t>
  </si>
  <si>
    <t>Amazon.com: New 125 cu ft Steel Industrial Oxygen Cylinder with CGA540 Valve : Health &amp; Household</t>
  </si>
  <si>
    <t>cylinder refill (125 cu ft)</t>
  </si>
  <si>
    <t>Oxygen refill</t>
  </si>
  <si>
    <t>Aeration (electric consumption)</t>
  </si>
  <si>
    <t>Non aeration and fee (electricity consumption)</t>
  </si>
  <si>
    <t>Baitfish sale price ($/lb)</t>
  </si>
  <si>
    <t>Oxygen (No refills/acre)</t>
  </si>
  <si>
    <t>Fish/lb at sale size</t>
  </si>
  <si>
    <t>No source. It varies a lot depending on management.</t>
  </si>
  <si>
    <t>Total lb fertilizer/acre</t>
  </si>
  <si>
    <t>Survival</t>
  </si>
  <si>
    <t>Return to operator labor and management</t>
  </si>
  <si>
    <t>Fingerling prices ($/fish)</t>
  </si>
  <si>
    <t>2"+ Hybrid Striped Bass | Keo Fish Farms, Inc.</t>
  </si>
  <si>
    <t>Stocking rate (fish/acre)</t>
  </si>
  <si>
    <t>Stocked fish (fingerlings, juveniles)</t>
  </si>
  <si>
    <t>Nursery</t>
  </si>
  <si>
    <t>Grow-out</t>
  </si>
  <si>
    <t>Final weight (lbs)</t>
  </si>
  <si>
    <t>6"+ Hybrid Striped Bass | Keo Fish Farms, Inc.</t>
  </si>
  <si>
    <t>Feed conversion rate (lb feed/lb fish)</t>
  </si>
  <si>
    <t>Sale price ($/fish)</t>
  </si>
  <si>
    <t>wole market food</t>
  </si>
  <si>
    <t>Fresh Hybrid Bass (Whole) • Harbor Fish Market</t>
  </si>
  <si>
    <t>Hybrid Striped Bass (Wiper) – Sunfish Fish Farms</t>
  </si>
  <si>
    <t>for stocking</t>
  </si>
  <si>
    <t>$/acre/year</t>
  </si>
  <si>
    <t>Total hours electric aeration/ac/cycle</t>
  </si>
  <si>
    <t>Hybrid Striped Bass Production in Ponds - Enterprise Budget</t>
  </si>
  <si>
    <t>Grow-up</t>
  </si>
  <si>
    <t>Months stocked</t>
  </si>
  <si>
    <t>Total operation</t>
  </si>
  <si>
    <t>Water surface (acres)</t>
  </si>
  <si>
    <t>Price per unit</t>
  </si>
  <si>
    <t>$/fish</t>
  </si>
  <si>
    <t>Breakeven yield (fish/acre)</t>
  </si>
  <si>
    <t>Breakeven price ($/fish)</t>
  </si>
  <si>
    <t>Annual Returns and Costs of Hybrid Striped Bass</t>
  </si>
  <si>
    <t>Break-even price ($/fish)</t>
  </si>
  <si>
    <t>Break-even price: grow-out ($/lb)</t>
  </si>
  <si>
    <t>Survival over the phase (nursery or grow-out)</t>
  </si>
  <si>
    <t>Integrated operation</t>
  </si>
  <si>
    <t>Costs for Pond Production of Yellow Perch in the North Central Region, 1994–95 Fact Sheet Series #111</t>
  </si>
  <si>
    <t>Guess</t>
  </si>
  <si>
    <t>Engle. Same as for baitfish</t>
  </si>
  <si>
    <t>Stocking budgets</t>
  </si>
  <si>
    <t>Fish baskets</t>
  </si>
  <si>
    <t>Food budgets</t>
  </si>
  <si>
    <t>Amazon.com: Large, Super Heavy Duty Fish Baskets. Red with White Handles. Made in USA. 5-Pack. : Home &amp; Kitchen</t>
  </si>
  <si>
    <t>5 units pack</t>
  </si>
  <si>
    <t>Oxygen</t>
  </si>
  <si>
    <t>Oxygen cylinder (125 cu ft)</t>
  </si>
  <si>
    <t>Truck and machinery fuel</t>
  </si>
  <si>
    <t>Gallons</t>
  </si>
  <si>
    <t>Pond depth (feet)</t>
  </si>
  <si>
    <t>Anderson Minnows</t>
  </si>
  <si>
    <t>horsepower per kW</t>
  </si>
  <si>
    <t>Oxygen cylinders(No. refills/acre)</t>
  </si>
  <si>
    <t>Nursery, per acre</t>
  </si>
  <si>
    <t>Grow-out, per acre</t>
  </si>
  <si>
    <t>Hired labor (hours per year)</t>
  </si>
  <si>
    <t xml:space="preserve">Aeration </t>
  </si>
  <si>
    <t>Fuel price</t>
  </si>
  <si>
    <t>18" low head PTO pump</t>
  </si>
  <si>
    <t>Used 75 hp tractor</t>
  </si>
  <si>
    <t>https://www.conexwest.com/cold-storage-and-freezers-sale/single-phase-40ft-temperature-controlled-storage-low-temp?v=1265&amp;region_id=reg_stl</t>
  </si>
  <si>
    <t>Conex Reefer</t>
  </si>
  <si>
    <t>Non-aeration and pumping electric use</t>
  </si>
  <si>
    <t>Site selection close to a major source of surface water is imperitive. If water from a river, existing reservior, or shallow groundwater is unavailable. The cost of pumping groundwater from deep wells will add significant energy and capital expense.</t>
  </si>
  <si>
    <t>Pumping water head</t>
  </si>
  <si>
    <t>Intake pump efficiency</t>
  </si>
  <si>
    <t>feet</t>
  </si>
  <si>
    <t>relift pump head</t>
  </si>
  <si>
    <t>relift pump efficiency</t>
  </si>
  <si>
    <t>Water pumping</t>
  </si>
  <si>
    <t>6" pump, 20 kW electric</t>
  </si>
  <si>
    <t xml:space="preserve">Fertilizer </t>
  </si>
  <si>
    <t>Inorganic fertilizer (DAP)</t>
  </si>
  <si>
    <t>https://overtonfisheries.com/bulk-gypsum#:~:text=Base%20price%20for%20gypsum%20is,applications%20based%20on%20laboratory%20simulation.</t>
  </si>
  <si>
    <t>gypsum applied for water treatment</t>
  </si>
  <si>
    <t>lime applied for water treatment</t>
  </si>
  <si>
    <t>tons per acre per year</t>
  </si>
  <si>
    <t>pounds per acre per year</t>
  </si>
  <si>
    <t>Lime application cost</t>
  </si>
  <si>
    <t>dollars per acre</t>
  </si>
  <si>
    <t>Gypsum</t>
  </si>
  <si>
    <t>https://srac.msstate.edu/pdfs/Fact%20Sheets/4100%20Lining%20Ponds%20for%20Aquaculture.pdf</t>
  </si>
  <si>
    <t>estimate due to time consuming operation</t>
  </si>
  <si>
    <t>$/ton</t>
  </si>
  <si>
    <t>Lime</t>
  </si>
  <si>
    <t>Fertilizer</t>
  </si>
  <si>
    <t>Truck and machinery fuel use</t>
  </si>
  <si>
    <t>gallons per month</t>
  </si>
  <si>
    <t>Aeration kit (regulator, hose, nozzle)</t>
  </si>
  <si>
    <t>Other electricity consumption</t>
  </si>
  <si>
    <t>Added water required</t>
  </si>
  <si>
    <t>feet per acre</t>
  </si>
  <si>
    <t>https://shop.joneslakemanagement.com/products/hybrid-striped-bass?variant=5538920562730</t>
  </si>
  <si>
    <t>Seine nets</t>
  </si>
  <si>
    <t>Hired labor (hours/year)</t>
  </si>
  <si>
    <t>Quantity sold per load (pounds)</t>
  </si>
  <si>
    <t>Average distance driven for sales (miles)</t>
  </si>
  <si>
    <t>Fish delivery cost</t>
  </si>
  <si>
    <t>Feed cost ($/ton)</t>
  </si>
  <si>
    <t>% of sales</t>
  </si>
  <si>
    <t>Marketing expenses (% of sales)</t>
  </si>
  <si>
    <t>https://freshwater-aquaculture.extension.org/largemouth-bass/</t>
  </si>
  <si>
    <t>Fish delivered per load (pounds)</t>
  </si>
  <si>
    <t>Average miles driven per delivery</t>
  </si>
  <si>
    <t>Annual Returns and Costs of Yellow Perch Production (12 surface acres)</t>
  </si>
  <si>
    <t>Oxygen cylinders(No. refills/year)</t>
  </si>
  <si>
    <t>Food fish delivery cost</t>
  </si>
  <si>
    <t>Annual Returns and Costs of Bluegill Production (12 surface acres)</t>
  </si>
  <si>
    <t>Total tons organic fertilizer/acre</t>
  </si>
  <si>
    <t>Organic pond fertilizer</t>
  </si>
  <si>
    <t>Returns and Costs of Golden Shiner Grow-out (12 surface acres)</t>
  </si>
  <si>
    <t>gallons</t>
  </si>
  <si>
    <t>Months to food fish harvest</t>
  </si>
  <si>
    <t>Refrigeration operating cost per year</t>
  </si>
  <si>
    <t>fish-pounds</t>
  </si>
  <si>
    <t>Refrigeration operating costs</t>
  </si>
  <si>
    <t>Price ($/fish)</t>
  </si>
  <si>
    <t>Return to operator labor and management ($/acre)</t>
  </si>
  <si>
    <t>$ per acre</t>
  </si>
  <si>
    <t>Annual Returns and Costs of Grass Carp Production (12 surface acres)</t>
  </si>
  <si>
    <t>Advanced fingerlings (4-5") price per fish</t>
  </si>
  <si>
    <t>Advanced fingerlings (4-5") weight per fish (lbs)</t>
  </si>
  <si>
    <t>Market fish (7.5-8.5") weight per fish (lbs)</t>
  </si>
  <si>
    <t>Market fish (7.5-8.5") price per fish ($/fish)</t>
  </si>
  <si>
    <t>Fish/lb at sale size (5")</t>
  </si>
  <si>
    <t>Fry (1-3") price per fish</t>
  </si>
  <si>
    <t>Fry (1-3") weight per fish (lbs)</t>
  </si>
  <si>
    <t>Market fish (4-5") price per fish ($/fish)</t>
  </si>
  <si>
    <t>Market fish (4-5") weight per fish (lbs/fish)</t>
  </si>
  <si>
    <t>Osage Catfisheries Inc : Pond Stockin</t>
  </si>
  <si>
    <t>g09473.pdf</t>
  </si>
  <si>
    <t>Length/Weight Conversion</t>
  </si>
  <si>
    <t>Fry price per fish ($/fish)</t>
  </si>
  <si>
    <t>Fry weight per fish (lb/fish)</t>
  </si>
  <si>
    <t>Grass Carp - Owen &amp; Williams Fish Farm</t>
  </si>
  <si>
    <t>Market fish (8-11") price per fish ($/fish)</t>
  </si>
  <si>
    <t>Market fish (8-11") weight per fish (lb/fish)</t>
  </si>
  <si>
    <t>Hybrid Striped Bass | Jones Lake Management</t>
  </si>
  <si>
    <t>FISH PRICES</t>
  </si>
  <si>
    <t>Purchasing-Channel-Catfish-Fingerlings.pdf</t>
  </si>
  <si>
    <t xml:space="preserve">Sale price nursery ($/fish), grow-out ($/lb) </t>
  </si>
  <si>
    <t>Pumping electric use</t>
  </si>
  <si>
    <t>Pumped water depht</t>
  </si>
  <si>
    <t>ft</t>
  </si>
  <si>
    <t>kWh/lift one acre-foot by one foot</t>
  </si>
  <si>
    <t>Purina AquaMax Pond Fish 4000 50 lb - Feeders Pet Supply</t>
  </si>
  <si>
    <t>Purina Catfish 32 50 lb - Pleasant Hill Pet &amp; Livestock</t>
  </si>
  <si>
    <t>Aeration rate (hp/acre)</t>
  </si>
  <si>
    <t>It is a guess. If proportional to Engle, would require 198 hours. But they model 160 acres ooperation, and even tough our is smaller, labor requirement has a fixed portion</t>
  </si>
  <si>
    <t>NORTH CENTRAL REGIONAL AQUACULTURE CENTER BAITFISH PROJECT</t>
  </si>
  <si>
    <t>Fingerling prices ($/250,000 units)</t>
  </si>
  <si>
    <t>Stocking rate (fry/acre)</t>
  </si>
  <si>
    <t>Fingerlings</t>
  </si>
  <si>
    <t>Stocking density (fingerlings per acre)</t>
  </si>
  <si>
    <t>Organic fertilizer price ($/ton)</t>
  </si>
  <si>
    <t>hours/year/acre</t>
  </si>
  <si>
    <t>Hired labor (hours/year for whole operation)</t>
  </si>
  <si>
    <t>Grow-out srvival</t>
  </si>
  <si>
    <t>Whole operation</t>
  </si>
  <si>
    <t>Fish Pricing – Fenders Fish Hatchery</t>
  </si>
  <si>
    <t>Break-even price: nursery ($/fish)</t>
  </si>
  <si>
    <t>Pricing - Owen &amp; Williams Fish Farm</t>
  </si>
  <si>
    <t>Stocking density (fish per acre)</t>
  </si>
  <si>
    <t>Weight (lb/fish) at sale size</t>
  </si>
  <si>
    <t>Price of fish at sale ($/lb, whole fish)</t>
  </si>
  <si>
    <t>SPECIES &amp; INFORMATION - NEMO BAIT &amp; FISHERIES </t>
  </si>
  <si>
    <t>Refrigeration</t>
  </si>
  <si>
    <t>Whole Perch - Whole - Flash Frozen - 5 pounds</t>
  </si>
  <si>
    <t>Fingerlings (2-4") weight per fish (lbs)</t>
  </si>
  <si>
    <t>Fingerling price ($/fish)</t>
  </si>
  <si>
    <t>Fish value</t>
  </si>
  <si>
    <t>Advanced fingerlings (3-5") price per fish</t>
  </si>
  <si>
    <t>Market fish price ($/lb)</t>
  </si>
  <si>
    <t>Fingerlings (3-5") price per fish</t>
  </si>
  <si>
    <t>Fingerlings (3-5") weight per fish (lbs)</t>
  </si>
  <si>
    <t>Sale weight (lb/fish)</t>
  </si>
  <si>
    <t>Food- Catfish</t>
  </si>
  <si>
    <t>Grow out</t>
  </si>
  <si>
    <t>Integrated (nursery + growout)</t>
  </si>
  <si>
    <t>*Breakeven price to cover total costs. Does not include delivery cost.</t>
  </si>
  <si>
    <t>Annual Returns and Costs of Catfish Production (12 surface acres)</t>
  </si>
  <si>
    <t>Food- Hybrid striped bass</t>
  </si>
  <si>
    <t>Food- Yellow perch</t>
  </si>
  <si>
    <t>Stocking- Blue gill</t>
  </si>
  <si>
    <t>Stocking- Catfish</t>
  </si>
  <si>
    <t>Stocking- Golden shiner (bait/stocking)</t>
  </si>
  <si>
    <t>Stocking- Grass carp</t>
  </si>
  <si>
    <t>Stocking- Hybrid striped bass</t>
  </si>
  <si>
    <t>Stocking- Large mouth bass</t>
  </si>
  <si>
    <t>Stocking- Yellow perch</t>
  </si>
  <si>
    <t>-</t>
  </si>
  <si>
    <t>Unit of sale</t>
  </si>
  <si>
    <t>lb (1.8 lb/fish, whole fish)</t>
  </si>
  <si>
    <t>fish (6"/0.22lb)</t>
  </si>
  <si>
    <t>lb (2.5 lb/fish, whole fish)</t>
  </si>
  <si>
    <t>fish (12"+/0.8lb)</t>
  </si>
  <si>
    <t>Stocking size</t>
  </si>
  <si>
    <t>Golden shiner fry</t>
  </si>
  <si>
    <t xml:space="preserve">Every X years: </t>
  </si>
  <si>
    <t>reinvestment</t>
  </si>
  <si>
    <t>Salvage value</t>
  </si>
  <si>
    <t>Net flow of reinvestment</t>
  </si>
  <si>
    <t>Year</t>
  </si>
  <si>
    <t>Net investments flow</t>
  </si>
  <si>
    <t>Investment</t>
  </si>
  <si>
    <t>Revenue - Cash Costs</t>
  </si>
  <si>
    <t>Net cash flow</t>
  </si>
  <si>
    <t>Cumulated cash flow</t>
  </si>
  <si>
    <t>Residual value at year 10</t>
  </si>
  <si>
    <t>Residual value at year 25</t>
  </si>
  <si>
    <t>salvage value at end of lifespan</t>
  </si>
  <si>
    <t>Payback period (years)</t>
  </si>
  <si>
    <t>IRR (25 years)</t>
  </si>
  <si>
    <t>% remaining value of asset at year 25</t>
  </si>
  <si>
    <t>Depreciated value ($)</t>
  </si>
  <si>
    <t>Residual value includes full value of assets replaced at age 25, cancelling out the value of reinvestment made at year 25</t>
  </si>
  <si>
    <t>IRR (10 years)</t>
  </si>
  <si>
    <t>2.2/32%</t>
  </si>
  <si>
    <t>2.4/32%</t>
  </si>
  <si>
    <t>1.85/32%</t>
  </si>
  <si>
    <t>Fingerlings (3-5", 45g)</t>
  </si>
  <si>
    <t>Fingerlings (2", 3g)</t>
  </si>
  <si>
    <t>fish (6"/100g)</t>
  </si>
  <si>
    <t>Fingerlings (6", 100g)</t>
  </si>
  <si>
    <t>2.4/36%</t>
  </si>
  <si>
    <t>2/40%</t>
  </si>
  <si>
    <t>2.5/32%</t>
  </si>
  <si>
    <t>2.75/32%</t>
  </si>
  <si>
    <t>Fingerlings (4-5", 14g)</t>
  </si>
  <si>
    <t>lb ( 0.33lb/fish, whole fish)</t>
  </si>
  <si>
    <t>Fingerlings (2-4", 3g)</t>
  </si>
  <si>
    <t>fish (11"/0.5lb)</t>
  </si>
  <si>
    <t>Fingerlings (1-3", 2g)</t>
  </si>
  <si>
    <t>fish (4-5", 90g)</t>
  </si>
  <si>
    <t>lb (live fish, 85 fish/lb )</t>
  </si>
  <si>
    <t>fish (8-11", 226g)</t>
  </si>
  <si>
    <t>Fingerlings (3-5", 25g)</t>
  </si>
  <si>
    <t>fish (7.5-8.5", 90g)</t>
  </si>
  <si>
    <t xml:space="preserve">Feed (40/10g, 3mm floating pellet) </t>
  </si>
  <si>
    <t>Minnow Importation Risk Report</t>
  </si>
  <si>
    <t>18 months assumption</t>
  </si>
  <si>
    <t>Updated: 7/2025</t>
  </si>
  <si>
    <t xml:space="preserve">        Adauto Rocha Jr., Drew Kientzy, Ryan Milhollin, and David Brune</t>
  </si>
  <si>
    <t xml:space="preserve">Farmers can develop custom enterprise budget for a pond-based aquaculture operation by using this workbook. To utilize this tool, insert any costs, prices or values known in the gray filled cells. If you are beginning operations, there are estimates provided for you. These budgets are indicative of an operation that serves as a full-time occupation for the owner, and hired labor does not include 2,000 hours of owner labor. </t>
  </si>
  <si>
    <t>This workbook is for educational purposes only and the user assumes all risks associated with its use.</t>
  </si>
  <si>
    <r>
      <t xml:space="preserve">Capital investment </t>
    </r>
    <r>
      <rPr>
        <sz val="11"/>
        <color theme="1"/>
        <rFont val="Aptos"/>
        <family val="2"/>
        <scheme val="minor"/>
      </rPr>
      <t>(dollars)</t>
    </r>
  </si>
  <si>
    <r>
      <t xml:space="preserve">Cycle 
</t>
    </r>
    <r>
      <rPr>
        <sz val="11"/>
        <color theme="1"/>
        <rFont val="Aptos"/>
        <family val="2"/>
        <scheme val="minor"/>
      </rPr>
      <t>(months)</t>
    </r>
  </si>
  <si>
    <r>
      <t xml:space="preserve">Stocking density </t>
    </r>
    <r>
      <rPr>
        <sz val="11"/>
        <color theme="1"/>
        <rFont val="Aptos"/>
        <family val="2"/>
        <scheme val="minor"/>
      </rPr>
      <t>(fingerlings/acre)</t>
    </r>
  </si>
  <si>
    <r>
      <t xml:space="preserve">Feed 
</t>
    </r>
    <r>
      <rPr>
        <sz val="11"/>
        <rFont val="Aptos"/>
        <family val="2"/>
        <scheme val="minor"/>
      </rPr>
      <t>(FCR/protein)</t>
    </r>
  </si>
  <si>
    <r>
      <t xml:space="preserve">Payback
 </t>
    </r>
    <r>
      <rPr>
        <sz val="11"/>
        <color theme="1"/>
        <rFont val="Aptos"/>
        <family val="2"/>
        <scheme val="minor"/>
      </rPr>
      <t>(years)</t>
    </r>
  </si>
  <si>
    <t>Internal rate of return</t>
  </si>
  <si>
    <r>
      <t xml:space="preserve">Annual production </t>
    </r>
    <r>
      <rPr>
        <sz val="10"/>
        <color theme="1"/>
        <rFont val="Aptos"/>
        <family val="2"/>
        <scheme val="minor"/>
      </rPr>
      <t>(lbs of unprocessed fish for operation)</t>
    </r>
  </si>
  <si>
    <t>Pond model</t>
  </si>
  <si>
    <r>
      <t xml:space="preserve">Annual sales </t>
    </r>
    <r>
      <rPr>
        <sz val="10"/>
        <color theme="1"/>
        <rFont val="Aptos"/>
        <family val="2"/>
        <scheme val="minor"/>
      </rPr>
      <t>(dollars)</t>
    </r>
  </si>
  <si>
    <r>
      <t xml:space="preserve">Annual variable costs </t>
    </r>
    <r>
      <rPr>
        <sz val="10"/>
        <color theme="1"/>
        <rFont val="Aptos"/>
        <family val="2"/>
        <scheme val="minor"/>
      </rPr>
      <t>(dollars)</t>
    </r>
  </si>
  <si>
    <r>
      <t>Operating profit margin</t>
    </r>
    <r>
      <rPr>
        <sz val="10"/>
        <color theme="1"/>
        <rFont val="Aptos"/>
        <family val="2"/>
        <scheme val="minor"/>
      </rPr>
      <t xml:space="preserve"> (percent)</t>
    </r>
  </si>
  <si>
    <r>
      <t xml:space="preserve">Annual net sales </t>
    </r>
    <r>
      <rPr>
        <sz val="10"/>
        <color theme="1"/>
        <rFont val="Aptos"/>
        <family val="2"/>
        <scheme val="minor"/>
      </rPr>
      <t>(dollars)</t>
    </r>
  </si>
  <si>
    <r>
      <t xml:space="preserve">Annual production  </t>
    </r>
    <r>
      <rPr>
        <sz val="10"/>
        <rFont val="Aptos"/>
        <family val="2"/>
        <scheme val="minor"/>
      </rPr>
      <t>(lbs/acre-yr unprocessed fish)</t>
    </r>
  </si>
  <si>
    <r>
      <t xml:space="preserve">Breakeven price* </t>
    </r>
    <r>
      <rPr>
        <sz val="11"/>
        <color theme="1"/>
        <rFont val="Aptos"/>
        <family val="2"/>
        <scheme val="minor"/>
      </rPr>
      <t>($/fish)</t>
    </r>
  </si>
  <si>
    <r>
      <t xml:space="preserve">Breakeven price* </t>
    </r>
    <r>
      <rPr>
        <sz val="11"/>
        <color theme="1"/>
        <rFont val="Aptos"/>
        <family val="2"/>
        <scheme val="minor"/>
      </rPr>
      <t>($/lb)</t>
    </r>
  </si>
  <si>
    <t>Land and equipment</t>
  </si>
  <si>
    <t>annual cost (% of avg. value of assets)</t>
  </si>
  <si>
    <t>Average cost</t>
  </si>
  <si>
    <t xml:space="preserve">Capital recovery </t>
  </si>
  <si>
    <t>(annual interest+depreciation)</t>
  </si>
  <si>
    <t>(dollars)</t>
  </si>
  <si>
    <t>(years)</t>
  </si>
  <si>
    <t xml:space="preserve">Useful life </t>
  </si>
  <si>
    <t>(percent)</t>
  </si>
  <si>
    <t>Annual cost</t>
  </si>
  <si>
    <t xml:space="preserve">Repair cost </t>
  </si>
  <si>
    <t>(% of value)</t>
  </si>
  <si>
    <t>Price/unit</t>
  </si>
  <si>
    <t>($/lb.)</t>
  </si>
  <si>
    <t xml:space="preserve">Breakeven yield </t>
  </si>
  <si>
    <t>(lbs/acre)</t>
  </si>
  <si>
    <t xml:space="preserve">Breakeven stocking density </t>
  </si>
  <si>
    <t>(fry/acre)</t>
  </si>
  <si>
    <t xml:space="preserve">Breakeven price </t>
  </si>
  <si>
    <t>($/acre)</t>
  </si>
  <si>
    <t>($/fish)</t>
  </si>
  <si>
    <t xml:space="preserve">Net return </t>
  </si>
  <si>
    <t xml:space="preserve">Price </t>
  </si>
  <si>
    <t>Inputs for catfish production</t>
  </si>
  <si>
    <t>Oxygen cylinders(no. refills/acre)</t>
  </si>
  <si>
    <t>Food (catfish)</t>
  </si>
  <si>
    <t xml:space="preserve">Feed (catfish 32 floating, 5/32" pellet) </t>
  </si>
  <si>
    <t>Inputs for yellow perch production</t>
  </si>
  <si>
    <t xml:space="preserve">Feed (catfish 32 floating, 5/32" peelet) </t>
  </si>
  <si>
    <t>Inputs for bluegill production</t>
  </si>
  <si>
    <t>($/lb)</t>
  </si>
  <si>
    <t>Inputs for golden shiner production</t>
  </si>
  <si>
    <t>Oxygen cylinders(no. refills/cycle)</t>
  </si>
  <si>
    <t>Oxygen cylinders(no. refills/year)</t>
  </si>
  <si>
    <t>Inputs for large mouth bass production</t>
  </si>
  <si>
    <t>Nursery
 (value)</t>
  </si>
  <si>
    <t>Grow-out 
(value)</t>
  </si>
  <si>
    <t xml:space="preserve">Breakeven price: nursery </t>
  </si>
  <si>
    <t xml:space="preserve">Breakeven price: grow-out </t>
  </si>
  <si>
    <t>Inputs for grass carp production</t>
  </si>
  <si>
    <t>(fish/acre)</t>
  </si>
  <si>
    <r>
      <t xml:space="preserve">The </t>
    </r>
    <r>
      <rPr>
        <b/>
        <sz val="12"/>
        <color theme="1"/>
        <rFont val="Aptos"/>
        <family val="2"/>
        <scheme val="minor"/>
      </rPr>
      <t>"Operating Inputs"</t>
    </r>
    <r>
      <rPr>
        <sz val="12"/>
        <color theme="1"/>
        <rFont val="Aptos"/>
        <family val="2"/>
        <scheme val="minor"/>
      </rPr>
      <t xml:space="preserve"> spreadsheet contains values that are tied to the requirements for successful operation. The </t>
    </r>
    <r>
      <rPr>
        <b/>
        <sz val="12"/>
        <color theme="1"/>
        <rFont val="Aptos"/>
        <family val="2"/>
        <scheme val="minor"/>
      </rPr>
      <t>"Capital Inputs"</t>
    </r>
    <r>
      <rPr>
        <sz val="12"/>
        <color theme="1"/>
        <rFont val="Aptos"/>
        <family val="2"/>
        <scheme val="minor"/>
      </rPr>
      <t xml:space="preserve"> spreadsheet outlines the assumptions used for the model operation. Only limited customization is allowed here in order to preserve the functionality of this model. The spreadsheets numbered 1–10 contain outputs for different enterprise models and are named in the format market – species. Select one or more of these sheets based on the species relevant to your operation, customize the species-specific inputs on the right side of the sheet, and view the estimated costs and returns for your modeled operation. The "Summary" tab provides a side-by-side comparison of all operations from spreadsheets 1–10.</t>
    </r>
  </si>
  <si>
    <t xml:space="preserve"> (lbs of unprocessed fish/acre)</t>
  </si>
  <si>
    <t>Break-even price</t>
  </si>
  <si>
    <t>Breakeven stocking density</t>
  </si>
  <si>
    <t>Breakeven yield</t>
  </si>
  <si>
    <t xml:space="preserve">Break-even price </t>
  </si>
  <si>
    <t>Benefit-cost ratio</t>
  </si>
  <si>
    <t>Annual Returns and Costs of Largemouth Bass</t>
  </si>
  <si>
    <t>Combined</t>
  </si>
  <si>
    <t>Inputs for hybrid striped bass production</t>
  </si>
  <si>
    <t xml:space="preserve">Break-even price: nursery </t>
  </si>
  <si>
    <t xml:space="preserve">Break-even price: grow-out </t>
  </si>
  <si>
    <t>Pond-Raised Recreational Stocking and Food Fish Aquaculture Budgets</t>
  </si>
  <si>
    <t>Item/description</t>
  </si>
  <si>
    <t>Read more about the assumptions modeled in this budget in MU Extension publication MX466:</t>
  </si>
  <si>
    <t>North Central Regional Aquaculture Industry: Business Models (extension.missouri.edu/publications/mx466)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</si>
</sst>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0_)"/>
    <numFmt numFmtId="165" formatCode="_(* #,##0_);_(* \(#,##0\);_(* &quot;-&quot;??_);_(@_)"/>
    <numFmt numFmtId="166" formatCode="_(&quot;$&quot;* #,##0_);_(&quot;$&quot;* \(#,##0\);_(&quot;$&quot;* &quot;-&quot;??_);_(@_)"/>
    <numFmt numFmtId="167" formatCode="0.0%"/>
    <numFmt numFmtId="168" formatCode="_(* #,##0.0_);_(* \(#,##0.0\);_(* &quot;-&quot;??_);_(@_)"/>
    <numFmt numFmtId="169" formatCode="_(* #,##0.0000_);_(* \(#,##0.0000\);_(* &quot;-&quot;??_);_(@_)"/>
    <numFmt numFmtId="170" formatCode="0.000"/>
    <numFmt numFmtId="171" formatCode="#,##0.0_);\(#,##0.0\)"/>
    <numFmt numFmtId="172" formatCode="0.0"/>
    <numFmt numFmtId="173" formatCode="0.0000000000"/>
    <numFmt numFmtId="174" formatCode="#,##0.0"/>
    <numFmt numFmtId="175" formatCode="&quot;$&quot;#,##0"/>
    <numFmt numFmtId="176" formatCode="&quot;$&quot;#,##0.00"/>
  </numFmts>
  <fonts count="59">
    <font>
      <sz val="12"/>
      <name val="Arial"/>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0"/>
      <name val="Arial MT"/>
    </font>
    <font>
      <b/>
      <sz val="11"/>
      <color rgb="FF3F3F3F"/>
      <name val="Aptos"/>
      <family val="2"/>
      <scheme val="minor"/>
    </font>
    <font>
      <sz val="11"/>
      <color theme="1"/>
      <name val="Segoe UI"/>
      <family val="2"/>
    </font>
    <font>
      <b/>
      <sz val="14"/>
      <color rgb="FFF1B82D"/>
      <name val="Segoe UI"/>
      <family val="2"/>
    </font>
    <font>
      <b/>
      <sz val="11"/>
      <color theme="1"/>
      <name val="Segoe UI"/>
      <family val="2"/>
    </font>
    <font>
      <sz val="10"/>
      <name val="Segoe UI"/>
      <family val="2"/>
    </font>
    <font>
      <sz val="12"/>
      <name val="Arial"/>
      <family val="2"/>
    </font>
    <font>
      <b/>
      <sz val="13"/>
      <color theme="1"/>
      <name val="Segoe UI"/>
      <family val="2"/>
    </font>
    <font>
      <b/>
      <sz val="12"/>
      <color rgb="FFF1B82D"/>
      <name val="Segoe UI"/>
      <family val="2"/>
    </font>
    <font>
      <b/>
      <sz val="12"/>
      <name val="Segoe UI"/>
      <family val="2"/>
    </font>
    <font>
      <sz val="12"/>
      <name val="Segoe UI"/>
      <family val="2"/>
    </font>
    <font>
      <sz val="12"/>
      <color theme="0"/>
      <name val="Segoe UI"/>
      <family val="2"/>
    </font>
    <font>
      <sz val="11"/>
      <color theme="0"/>
      <name val="Segoe UI"/>
      <family val="2"/>
    </font>
    <font>
      <sz val="10"/>
      <color theme="1"/>
      <name val="Segoe UI"/>
      <family val="2"/>
    </font>
    <font>
      <u/>
      <sz val="12"/>
      <color theme="10"/>
      <name val="Arial"/>
      <family val="2"/>
    </font>
    <font>
      <sz val="11"/>
      <name val="Segoe UI"/>
      <family val="2"/>
    </font>
    <font>
      <b/>
      <sz val="12"/>
      <color theme="1"/>
      <name val="Segoe UI"/>
      <family val="2"/>
    </font>
    <font>
      <sz val="12"/>
      <color theme="1"/>
      <name val="Segoe UI"/>
      <family val="2"/>
    </font>
    <font>
      <b/>
      <sz val="11"/>
      <color theme="1"/>
      <name val="Arial"/>
      <family val="2"/>
    </font>
    <font>
      <sz val="11"/>
      <name val="Arial"/>
      <family val="2"/>
    </font>
    <font>
      <u/>
      <sz val="12"/>
      <color theme="0"/>
      <name val="Arial"/>
      <family val="2"/>
    </font>
    <font>
      <sz val="12"/>
      <color theme="0"/>
      <name val="Arial"/>
      <family val="2"/>
    </font>
    <font>
      <b/>
      <sz val="12"/>
      <color theme="0"/>
      <name val="Segoe UI"/>
      <family val="2"/>
    </font>
    <font>
      <sz val="10"/>
      <color theme="0"/>
      <name val="Segoe UI"/>
      <family val="2"/>
    </font>
    <font>
      <b/>
      <sz val="11"/>
      <color theme="0"/>
      <name val="Segoe UI"/>
      <family val="2"/>
    </font>
    <font>
      <b/>
      <sz val="13"/>
      <color theme="0"/>
      <name val="Segoe UI"/>
      <family val="2"/>
    </font>
    <font>
      <b/>
      <sz val="11"/>
      <color theme="1"/>
      <name val="Aptos"/>
      <family val="2"/>
      <scheme val="minor"/>
    </font>
    <font>
      <sz val="11"/>
      <color theme="0"/>
      <name val="Aptos"/>
      <family val="2"/>
      <scheme val="minor"/>
    </font>
    <font>
      <b/>
      <sz val="16"/>
      <color rgb="FFF1B82D"/>
      <name val="Aptos Black"/>
      <family val="2"/>
      <scheme val="major"/>
    </font>
    <font>
      <sz val="12"/>
      <color theme="1"/>
      <name val="Aptos"/>
      <family val="2"/>
      <scheme val="minor"/>
    </font>
    <font>
      <sz val="10"/>
      <color theme="1"/>
      <name val="Aptos"/>
      <family val="2"/>
      <scheme val="minor"/>
    </font>
    <font>
      <b/>
      <sz val="10"/>
      <color theme="1"/>
      <name val="Aptos"/>
      <family val="2"/>
      <scheme val="minor"/>
    </font>
    <font>
      <b/>
      <sz val="12"/>
      <color theme="1"/>
      <name val="Aptos"/>
      <family val="2"/>
      <scheme val="minor"/>
    </font>
    <font>
      <b/>
      <sz val="12"/>
      <color rgb="FF3F3F3F"/>
      <name val="Aptos"/>
      <family val="2"/>
      <scheme val="minor"/>
    </font>
    <font>
      <b/>
      <sz val="11"/>
      <name val="Aptos"/>
      <family val="2"/>
      <scheme val="minor"/>
    </font>
    <font>
      <b/>
      <sz val="10"/>
      <name val="Aptos"/>
      <family val="2"/>
      <scheme val="minor"/>
    </font>
    <font>
      <sz val="11"/>
      <name val="Aptos"/>
      <family val="2"/>
      <scheme val="minor"/>
    </font>
    <font>
      <sz val="10"/>
      <name val="Aptos"/>
      <family val="2"/>
      <scheme val="minor"/>
    </font>
    <font>
      <b/>
      <sz val="12"/>
      <name val="Aptos"/>
      <family val="2"/>
      <scheme val="minor"/>
    </font>
    <font>
      <sz val="12"/>
      <name val="Aptos"/>
      <family val="2"/>
      <scheme val="minor"/>
    </font>
    <font>
      <u/>
      <sz val="12"/>
      <name val="Aptos"/>
      <family val="2"/>
      <scheme val="minor"/>
    </font>
    <font>
      <b/>
      <sz val="12"/>
      <color rgb="FFF1B82D"/>
      <name val="Aptos Black"/>
      <family val="2"/>
      <scheme val="major"/>
    </font>
    <font>
      <b/>
      <sz val="12"/>
      <color rgb="FFF1B82D"/>
      <name val="Aptos"/>
      <family val="2"/>
      <scheme val="minor"/>
    </font>
    <font>
      <b/>
      <sz val="11.5"/>
      <color theme="1"/>
      <name val="Segoe UI"/>
      <family val="2"/>
    </font>
    <font>
      <b/>
      <sz val="12"/>
      <color theme="0"/>
      <name val="Aptos"/>
      <family val="2"/>
      <scheme val="minor"/>
    </font>
    <font>
      <u/>
      <sz val="12"/>
      <color theme="0"/>
      <name val="Aptos"/>
      <family val="2"/>
      <scheme val="minor"/>
    </font>
    <font>
      <sz val="12"/>
      <color theme="0"/>
      <name val="Aptos"/>
      <family val="2"/>
      <scheme val="minor"/>
    </font>
    <font>
      <u/>
      <sz val="12"/>
      <color theme="10"/>
      <name val="Aptos"/>
      <family val="2"/>
      <scheme val="minor"/>
    </font>
    <font>
      <sz val="12"/>
      <color rgb="FFF1B82D"/>
      <name val="Segoe UI"/>
      <family val="2"/>
    </font>
    <font>
      <b/>
      <sz val="13"/>
      <color theme="1"/>
      <name val="Aptos"/>
      <family val="2"/>
      <scheme val="minor"/>
    </font>
    <font>
      <sz val="10"/>
      <color theme="0"/>
      <name val="Aptos"/>
      <family val="2"/>
      <scheme val="minor"/>
    </font>
    <font>
      <b/>
      <sz val="13"/>
      <name val="Aptos"/>
      <family val="2"/>
      <scheme val="minor"/>
    </font>
    <font>
      <u/>
      <sz val="12"/>
      <color theme="10"/>
      <name val="Aptos  "/>
    </font>
  </fonts>
  <fills count="6">
    <fill>
      <patternFill patternType="none"/>
    </fill>
    <fill>
      <patternFill patternType="gray125"/>
    </fill>
    <fill>
      <patternFill patternType="solid">
        <fgColor rgb="FFF2F2F2"/>
      </patternFill>
    </fill>
    <fill>
      <patternFill patternType="solid">
        <fgColor theme="1"/>
        <bgColor indexed="64"/>
      </patternFill>
    </fill>
    <fill>
      <patternFill patternType="solid">
        <fgColor theme="2"/>
        <bgColor indexed="64"/>
      </patternFill>
    </fill>
    <fill>
      <patternFill patternType="solid">
        <fgColor rgb="FFF1B82D"/>
        <bgColor indexed="64"/>
      </patternFill>
    </fill>
  </fills>
  <borders count="27">
    <border>
      <left/>
      <right/>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1">
    <xf numFmtId="0" fontId="0" fillId="0" borderId="0"/>
    <xf numFmtId="164" fontId="6" fillId="0" borderId="0"/>
    <xf numFmtId="0" fontId="7" fillId="2" borderId="2" applyNumberFormat="0" applyAlignment="0" applyProtection="0"/>
    <xf numFmtId="0" fontId="5" fillId="0" borderId="0"/>
    <xf numFmtId="0" fontId="4" fillId="0" borderId="0"/>
    <xf numFmtId="43" fontId="4"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3" fillId="0" borderId="0"/>
    <xf numFmtId="0" fontId="20" fillId="0" borderId="0" applyNumberFormat="0" applyFill="0" applyBorder="0" applyAlignment="0" applyProtection="0"/>
  </cellStyleXfs>
  <cellXfs count="732">
    <xf numFmtId="0" fontId="0" fillId="0" borderId="0" xfId="0"/>
    <xf numFmtId="165" fontId="16" fillId="0" borderId="0" xfId="5" applyNumberFormat="1" applyFont="1" applyFill="1" applyBorder="1"/>
    <xf numFmtId="0" fontId="8" fillId="0" borderId="0" xfId="4" applyFont="1"/>
    <xf numFmtId="9" fontId="16" fillId="0" borderId="0" xfId="7" applyFont="1" applyFill="1" applyBorder="1"/>
    <xf numFmtId="0" fontId="18" fillId="0" borderId="0" xfId="4" applyFont="1"/>
    <xf numFmtId="0" fontId="16" fillId="0" borderId="0" xfId="0" applyFont="1"/>
    <xf numFmtId="0" fontId="16" fillId="0" borderId="5" xfId="0" applyFont="1" applyBorder="1"/>
    <xf numFmtId="0" fontId="8" fillId="0" borderId="0" xfId="9" applyFont="1"/>
    <xf numFmtId="0" fontId="9" fillId="0" borderId="0" xfId="9" applyFont="1" applyAlignment="1">
      <alignment horizontal="center"/>
    </xf>
    <xf numFmtId="0" fontId="10" fillId="0" borderId="0" xfId="9" applyFont="1"/>
    <xf numFmtId="0" fontId="8" fillId="0" borderId="0" xfId="9" applyFont="1" applyAlignment="1">
      <alignment horizontal="left"/>
    </xf>
    <xf numFmtId="0" fontId="10" fillId="0" borderId="0" xfId="9" applyFont="1" applyAlignment="1">
      <alignment horizontal="left" indent="4"/>
    </xf>
    <xf numFmtId="0" fontId="19" fillId="0" borderId="0" xfId="9" applyFont="1" applyAlignment="1">
      <alignment wrapText="1"/>
    </xf>
    <xf numFmtId="0" fontId="21" fillId="0" borderId="0" xfId="4" applyFont="1"/>
    <xf numFmtId="168" fontId="17" fillId="0" borderId="0" xfId="5" applyNumberFormat="1" applyFont="1" applyBorder="1"/>
    <xf numFmtId="44" fontId="18" fillId="0" borderId="0" xfId="8" applyFont="1" applyBorder="1"/>
    <xf numFmtId="165" fontId="16" fillId="0" borderId="0" xfId="0" applyNumberFormat="1" applyFont="1"/>
    <xf numFmtId="0" fontId="15" fillId="0" borderId="0" xfId="0" applyFont="1"/>
    <xf numFmtId="43" fontId="16" fillId="0" borderId="0" xfId="5" applyFont="1" applyFill="1" applyBorder="1" applyAlignment="1"/>
    <xf numFmtId="165" fontId="16" fillId="0" borderId="6" xfId="0" applyNumberFormat="1" applyFont="1" applyBorder="1"/>
    <xf numFmtId="9" fontId="15" fillId="0" borderId="0" xfId="7" applyFont="1" applyFill="1" applyBorder="1"/>
    <xf numFmtId="165" fontId="13" fillId="0" borderId="0" xfId="5" applyNumberFormat="1" applyFont="1" applyFill="1" applyBorder="1" applyAlignment="1">
      <alignment horizontal="center"/>
    </xf>
    <xf numFmtId="165" fontId="14" fillId="0" borderId="0" xfId="5" applyNumberFormat="1" applyFont="1" applyFill="1" applyBorder="1" applyAlignment="1">
      <alignment horizontal="right"/>
    </xf>
    <xf numFmtId="165" fontId="11" fillId="0" borderId="0" xfId="5" applyNumberFormat="1" applyFont="1" applyFill="1" applyBorder="1" applyAlignment="1">
      <alignment horizontal="right"/>
    </xf>
    <xf numFmtId="2" fontId="16" fillId="0" borderId="0" xfId="0" applyNumberFormat="1" applyFont="1"/>
    <xf numFmtId="0" fontId="0" fillId="0" borderId="0" xfId="0" quotePrefix="1"/>
    <xf numFmtId="16" fontId="0" fillId="0" borderId="0" xfId="0" quotePrefix="1" applyNumberFormat="1"/>
    <xf numFmtId="165" fontId="13" fillId="0" borderId="0" xfId="5" applyNumberFormat="1" applyFont="1" applyFill="1" applyBorder="1" applyAlignment="1"/>
    <xf numFmtId="0" fontId="15" fillId="5" borderId="3" xfId="0" applyFont="1" applyFill="1" applyBorder="1"/>
    <xf numFmtId="43" fontId="16" fillId="0" borderId="0" xfId="5" applyFont="1" applyFill="1" applyBorder="1" applyAlignment="1">
      <alignment horizontal="right" indent="2"/>
    </xf>
    <xf numFmtId="165" fontId="23" fillId="0" borderId="0" xfId="6" applyNumberFormat="1" applyFont="1" applyBorder="1" applyAlignment="1">
      <alignment horizontal="right" indent="2"/>
    </xf>
    <xf numFmtId="9" fontId="16" fillId="0" borderId="10" xfId="7" applyFont="1" applyFill="1" applyBorder="1"/>
    <xf numFmtId="2" fontId="16" fillId="0" borderId="6" xfId="0" applyNumberFormat="1" applyFont="1" applyBorder="1"/>
    <xf numFmtId="2" fontId="16" fillId="0" borderId="9" xfId="0" applyNumberFormat="1" applyFont="1" applyBorder="1"/>
    <xf numFmtId="165" fontId="16" fillId="0" borderId="0" xfId="5" applyNumberFormat="1" applyFont="1" applyFill="1" applyBorder="1" applyAlignment="1">
      <alignment horizontal="left"/>
    </xf>
    <xf numFmtId="165" fontId="16" fillId="0" borderId="0" xfId="0" applyNumberFormat="1" applyFont="1" applyAlignment="1">
      <alignment horizontal="right" indent="2"/>
    </xf>
    <xf numFmtId="165" fontId="16" fillId="0" borderId="1" xfId="5" applyNumberFormat="1" applyFont="1" applyFill="1" applyBorder="1" applyAlignment="1">
      <alignment horizontal="left"/>
    </xf>
    <xf numFmtId="0" fontId="15" fillId="5" borderId="13" xfId="0" applyFont="1" applyFill="1" applyBorder="1"/>
    <xf numFmtId="2" fontId="16" fillId="0" borderId="0" xfId="0" applyNumberFormat="1" applyFont="1" applyAlignment="1">
      <alignment horizontal="center"/>
    </xf>
    <xf numFmtId="4" fontId="16" fillId="0" borderId="5" xfId="7" applyNumberFormat="1" applyFont="1" applyFill="1" applyBorder="1"/>
    <xf numFmtId="165" fontId="10" fillId="0" borderId="12" xfId="5" applyNumberFormat="1" applyFont="1" applyFill="1" applyBorder="1" applyAlignment="1"/>
    <xf numFmtId="165" fontId="10" fillId="0" borderId="0" xfId="5" applyNumberFormat="1" applyFont="1" applyFill="1" applyBorder="1" applyAlignment="1"/>
    <xf numFmtId="0" fontId="20" fillId="0" borderId="0" xfId="10" applyFill="1" applyBorder="1"/>
    <xf numFmtId="0" fontId="24" fillId="0" borderId="0" xfId="0" applyFont="1" applyAlignment="1">
      <alignment horizontal="left" indent="1"/>
    </xf>
    <xf numFmtId="0" fontId="25" fillId="0" borderId="0" xfId="0" applyFont="1"/>
    <xf numFmtId="0" fontId="12" fillId="0" borderId="0" xfId="0" applyFont="1"/>
    <xf numFmtId="3" fontId="0" fillId="0" borderId="0" xfId="0" applyNumberFormat="1"/>
    <xf numFmtId="165" fontId="17" fillId="0" borderId="0" xfId="0" applyNumberFormat="1" applyFont="1"/>
    <xf numFmtId="0" fontId="17" fillId="0" borderId="0" xfId="0" applyFont="1"/>
    <xf numFmtId="41" fontId="0" fillId="0" borderId="0" xfId="0" applyNumberFormat="1"/>
    <xf numFmtId="167" fontId="16" fillId="0" borderId="0" xfId="0" applyNumberFormat="1" applyFont="1" applyAlignment="1">
      <alignment horizontal="center"/>
    </xf>
    <xf numFmtId="3" fontId="8" fillId="0" borderId="0" xfId="4" applyNumberFormat="1" applyFont="1"/>
    <xf numFmtId="0" fontId="26" fillId="0" borderId="0" xfId="10" applyFont="1"/>
    <xf numFmtId="0" fontId="17" fillId="0" borderId="0" xfId="0" applyFont="1" applyAlignment="1">
      <alignment wrapText="1"/>
    </xf>
    <xf numFmtId="41" fontId="17" fillId="0" borderId="0" xfId="0" applyNumberFormat="1" applyFont="1"/>
    <xf numFmtId="0" fontId="27" fillId="0" borderId="0" xfId="0" applyFont="1"/>
    <xf numFmtId="173" fontId="17" fillId="0" borderId="0" xfId="0" applyNumberFormat="1" applyFont="1"/>
    <xf numFmtId="0" fontId="28" fillId="0" borderId="0" xfId="0" applyFont="1"/>
    <xf numFmtId="0" fontId="28" fillId="0" borderId="0" xfId="0" applyFont="1" applyAlignment="1">
      <alignment horizontal="center"/>
    </xf>
    <xf numFmtId="43" fontId="17" fillId="0" borderId="0" xfId="6" applyFont="1" applyFill="1" applyBorder="1"/>
    <xf numFmtId="9" fontId="28" fillId="0" borderId="0" xfId="0" applyNumberFormat="1" applyFont="1"/>
    <xf numFmtId="167" fontId="17" fillId="0" borderId="0" xfId="0" applyNumberFormat="1" applyFont="1"/>
    <xf numFmtId="2" fontId="17" fillId="0" borderId="0" xfId="0" applyNumberFormat="1" applyFont="1"/>
    <xf numFmtId="165" fontId="17" fillId="0" borderId="0" xfId="5" applyNumberFormat="1" applyFont="1" applyFill="1" applyBorder="1" applyAlignment="1">
      <alignment horizontal="left"/>
    </xf>
    <xf numFmtId="169" fontId="17" fillId="0" borderId="0" xfId="5" applyNumberFormat="1" applyFont="1" applyFill="1" applyBorder="1" applyAlignment="1">
      <alignment horizontal="center"/>
    </xf>
    <xf numFmtId="39" fontId="17" fillId="0" borderId="0" xfId="8" applyNumberFormat="1" applyFont="1" applyFill="1" applyBorder="1"/>
    <xf numFmtId="165" fontId="29" fillId="0" borderId="0" xfId="5" applyNumberFormat="1" applyFont="1" applyFill="1" applyBorder="1" applyAlignment="1">
      <alignment horizontal="left"/>
    </xf>
    <xf numFmtId="43" fontId="17" fillId="0" borderId="0" xfId="5" applyFont="1" applyFill="1" applyBorder="1" applyAlignment="1"/>
    <xf numFmtId="165" fontId="18" fillId="0" borderId="0" xfId="6" applyNumberFormat="1" applyFont="1" applyBorder="1" applyAlignment="1"/>
    <xf numFmtId="0" fontId="26" fillId="0" borderId="0" xfId="10" applyFont="1" applyBorder="1"/>
    <xf numFmtId="4" fontId="17" fillId="0" borderId="0" xfId="0" applyNumberFormat="1" applyFont="1"/>
    <xf numFmtId="0" fontId="28" fillId="0" borderId="0" xfId="4" applyFont="1"/>
    <xf numFmtId="39" fontId="28" fillId="0" borderId="0" xfId="8" applyNumberFormat="1" applyFont="1" applyFill="1" applyBorder="1"/>
    <xf numFmtId="0" fontId="17" fillId="0" borderId="0" xfId="4" applyFont="1" applyAlignment="1">
      <alignment horizontal="left"/>
    </xf>
    <xf numFmtId="39" fontId="17" fillId="0" borderId="0" xfId="4" applyNumberFormat="1" applyFont="1"/>
    <xf numFmtId="9" fontId="28" fillId="0" borderId="0" xfId="7" applyFont="1" applyFill="1" applyBorder="1"/>
    <xf numFmtId="9" fontId="17" fillId="0" borderId="0" xfId="7" applyFont="1" applyFill="1" applyBorder="1"/>
    <xf numFmtId="165" fontId="17" fillId="0" borderId="0" xfId="5" applyNumberFormat="1" applyFont="1" applyFill="1" applyBorder="1"/>
    <xf numFmtId="165" fontId="28" fillId="0" borderId="0" xfId="5" applyNumberFormat="1" applyFont="1" applyFill="1" applyBorder="1" applyAlignment="1"/>
    <xf numFmtId="165" fontId="30" fillId="0" borderId="0" xfId="5" applyNumberFormat="1" applyFont="1" applyFill="1" applyBorder="1" applyAlignment="1"/>
    <xf numFmtId="167" fontId="17" fillId="0" borderId="0" xfId="7" applyNumberFormat="1" applyFont="1" applyFill="1" applyBorder="1"/>
    <xf numFmtId="2" fontId="17" fillId="0" borderId="0" xfId="7" applyNumberFormat="1" applyFont="1" applyFill="1" applyBorder="1"/>
    <xf numFmtId="16" fontId="27" fillId="0" borderId="0" xfId="0" quotePrefix="1" applyNumberFormat="1" applyFont="1"/>
    <xf numFmtId="0" fontId="27" fillId="0" borderId="0" xfId="0" quotePrefix="1" applyFont="1"/>
    <xf numFmtId="0" fontId="26" fillId="0" borderId="0" xfId="10" applyFont="1" applyFill="1" applyBorder="1"/>
    <xf numFmtId="165" fontId="18" fillId="0" borderId="0" xfId="6" applyNumberFormat="1" applyFont="1" applyFill="1" applyBorder="1" applyAlignment="1"/>
    <xf numFmtId="165" fontId="23" fillId="0" borderId="1" xfId="6" applyNumberFormat="1" applyFont="1" applyBorder="1" applyAlignment="1">
      <alignment horizontal="right" indent="2"/>
    </xf>
    <xf numFmtId="165" fontId="16" fillId="0" borderId="1" xfId="0" applyNumberFormat="1" applyFont="1" applyBorder="1" applyAlignment="1">
      <alignment horizontal="right" indent="2"/>
    </xf>
    <xf numFmtId="165" fontId="28" fillId="0" borderId="0" xfId="5" applyNumberFormat="1" applyFont="1" applyFill="1" applyBorder="1" applyAlignment="1">
      <alignment horizontal="right"/>
    </xf>
    <xf numFmtId="165" fontId="31" fillId="0" borderId="0" xfId="5" applyNumberFormat="1" applyFont="1" applyFill="1" applyBorder="1" applyAlignment="1">
      <alignment horizontal="center"/>
    </xf>
    <xf numFmtId="4" fontId="17" fillId="0" borderId="0" xfId="7" applyNumberFormat="1" applyFont="1" applyFill="1" applyBorder="1"/>
    <xf numFmtId="4" fontId="16" fillId="0" borderId="0" xfId="7" applyNumberFormat="1" applyFont="1" applyFill="1" applyBorder="1"/>
    <xf numFmtId="0" fontId="35" fillId="0" borderId="0" xfId="9" applyFont="1" applyAlignment="1">
      <alignment horizontal="right"/>
    </xf>
    <xf numFmtId="0" fontId="35" fillId="0" borderId="0" xfId="9" applyFont="1" applyAlignment="1">
      <alignment horizontal="left" vertical="top" wrapText="1"/>
    </xf>
    <xf numFmtId="0" fontId="35" fillId="0" borderId="0" xfId="9" applyFont="1"/>
    <xf numFmtId="0" fontId="35" fillId="0" borderId="0" xfId="9" applyFont="1" applyAlignment="1">
      <alignment wrapText="1"/>
    </xf>
    <xf numFmtId="0" fontId="42" fillId="0" borderId="0" xfId="0" applyFont="1"/>
    <xf numFmtId="167" fontId="42" fillId="0" borderId="0" xfId="7" applyNumberFormat="1" applyFont="1" applyBorder="1"/>
    <xf numFmtId="0" fontId="42" fillId="0" borderId="0" xfId="0" applyFont="1" applyAlignment="1">
      <alignment horizontal="center"/>
    </xf>
    <xf numFmtId="37" fontId="42" fillId="0" borderId="0" xfId="0" applyNumberFormat="1" applyFont="1" applyAlignment="1">
      <alignment horizontal="right"/>
    </xf>
    <xf numFmtId="1" fontId="42" fillId="0" borderId="0" xfId="0" applyNumberFormat="1" applyFont="1" applyAlignment="1">
      <alignment horizontal="right"/>
    </xf>
    <xf numFmtId="3" fontId="42" fillId="0" borderId="0" xfId="0" applyNumberFormat="1" applyFont="1" applyAlignment="1">
      <alignment horizontal="right"/>
    </xf>
    <xf numFmtId="0" fontId="42" fillId="0" borderId="0" xfId="0" applyFont="1" applyAlignment="1">
      <alignment horizontal="right"/>
    </xf>
    <xf numFmtId="43" fontId="42" fillId="0" borderId="0" xfId="0" applyNumberFormat="1" applyFont="1" applyAlignment="1">
      <alignment horizontal="right"/>
    </xf>
    <xf numFmtId="10" fontId="42" fillId="0" borderId="0" xfId="0" applyNumberFormat="1" applyFont="1" applyAlignment="1">
      <alignment horizontal="right"/>
    </xf>
    <xf numFmtId="0" fontId="42" fillId="0" borderId="0" xfId="0" applyFont="1" applyAlignment="1">
      <alignment horizontal="left" indent="1"/>
    </xf>
    <xf numFmtId="16" fontId="42" fillId="0" borderId="0" xfId="0" applyNumberFormat="1" applyFont="1" applyAlignment="1">
      <alignment horizontal="right"/>
    </xf>
    <xf numFmtId="0" fontId="32" fillId="0" borderId="24" xfId="0" applyFont="1" applyBorder="1" applyAlignment="1">
      <alignment horizontal="center" vertical="center" wrapText="1"/>
    </xf>
    <xf numFmtId="0" fontId="37" fillId="0" borderId="24" xfId="0" applyFont="1" applyBorder="1" applyAlignment="1">
      <alignment horizontal="center" vertical="center" wrapText="1"/>
    </xf>
    <xf numFmtId="0" fontId="40" fillId="0" borderId="24" xfId="0" applyFont="1" applyBorder="1" applyAlignment="1">
      <alignment horizontal="center" vertical="center" wrapText="1"/>
    </xf>
    <xf numFmtId="0" fontId="41" fillId="0" borderId="24" xfId="0" applyFont="1" applyBorder="1" applyAlignment="1">
      <alignment horizontal="center" vertical="center" wrapText="1"/>
    </xf>
    <xf numFmtId="0" fontId="42" fillId="0" borderId="1" xfId="0" applyFont="1" applyBorder="1"/>
    <xf numFmtId="37" fontId="42" fillId="0" borderId="1" xfId="0" applyNumberFormat="1" applyFont="1" applyBorder="1" applyAlignment="1">
      <alignment horizontal="right"/>
    </xf>
    <xf numFmtId="1" fontId="42" fillId="0" borderId="1" xfId="0" applyNumberFormat="1" applyFont="1" applyBorder="1" applyAlignment="1">
      <alignment horizontal="right"/>
    </xf>
    <xf numFmtId="3" fontId="42" fillId="0" borderId="1" xfId="0" applyNumberFormat="1" applyFont="1" applyBorder="1" applyAlignment="1">
      <alignment horizontal="right"/>
    </xf>
    <xf numFmtId="0" fontId="42" fillId="0" borderId="1" xfId="0" applyFont="1" applyBorder="1" applyAlignment="1">
      <alignment horizontal="right"/>
    </xf>
    <xf numFmtId="10" fontId="42" fillId="0" borderId="1" xfId="0" applyNumberFormat="1" applyFont="1" applyBorder="1" applyAlignment="1">
      <alignment horizontal="right"/>
    </xf>
    <xf numFmtId="167" fontId="42" fillId="0" borderId="1" xfId="7" applyNumberFormat="1" applyFont="1" applyBorder="1"/>
    <xf numFmtId="175" fontId="42" fillId="0" borderId="0" xfId="0" applyNumberFormat="1" applyFont="1" applyAlignment="1">
      <alignment horizontal="right"/>
    </xf>
    <xf numFmtId="175" fontId="42" fillId="0" borderId="1" xfId="0" applyNumberFormat="1" applyFont="1" applyBorder="1" applyAlignment="1">
      <alignment horizontal="right"/>
    </xf>
    <xf numFmtId="168" fontId="42" fillId="0" borderId="0" xfId="0" applyNumberFormat="1" applyFont="1" applyAlignment="1">
      <alignment horizontal="right"/>
    </xf>
    <xf numFmtId="168" fontId="42" fillId="0" borderId="1" xfId="0" applyNumberFormat="1" applyFont="1" applyBorder="1" applyAlignment="1">
      <alignment horizontal="right"/>
    </xf>
    <xf numFmtId="176" fontId="42" fillId="0" borderId="0" xfId="0" applyNumberFormat="1" applyFont="1" applyAlignment="1">
      <alignment horizontal="right"/>
    </xf>
    <xf numFmtId="176" fontId="42" fillId="0" borderId="1" xfId="0" applyNumberFormat="1" applyFont="1" applyBorder="1" applyAlignment="1">
      <alignment horizontal="right"/>
    </xf>
    <xf numFmtId="0" fontId="36" fillId="0" borderId="0" xfId="0" applyFont="1" applyAlignment="1">
      <alignment horizontal="left" indent="1"/>
    </xf>
    <xf numFmtId="0" fontId="45" fillId="0" borderId="0" xfId="0" applyFont="1"/>
    <xf numFmtId="0" fontId="43" fillId="0" borderId="0" xfId="0" applyFont="1"/>
    <xf numFmtId="0" fontId="44" fillId="0" borderId="0" xfId="0" applyFont="1"/>
    <xf numFmtId="165" fontId="44" fillId="0" borderId="24" xfId="5" applyNumberFormat="1" applyFont="1" applyFill="1" applyBorder="1" applyAlignment="1">
      <alignment horizontal="left"/>
    </xf>
    <xf numFmtId="0" fontId="45" fillId="0" borderId="1" xfId="0" applyFont="1" applyBorder="1"/>
    <xf numFmtId="0" fontId="44" fillId="0" borderId="1" xfId="0" applyFont="1" applyBorder="1"/>
    <xf numFmtId="0" fontId="45" fillId="0" borderId="1" xfId="0" applyFont="1" applyBorder="1" applyAlignment="1">
      <alignment horizontal="right"/>
    </xf>
    <xf numFmtId="165" fontId="45" fillId="0" borderId="0" xfId="0" applyNumberFormat="1" applyFont="1"/>
    <xf numFmtId="175" fontId="45" fillId="0" borderId="0" xfId="0" applyNumberFormat="1" applyFont="1"/>
    <xf numFmtId="0" fontId="45" fillId="0" borderId="14" xfId="0" applyFont="1" applyBorder="1"/>
    <xf numFmtId="165" fontId="45" fillId="0" borderId="0" xfId="5" applyNumberFormat="1" applyFont="1" applyFill="1" applyBorder="1" applyAlignment="1">
      <alignment horizontal="left"/>
    </xf>
    <xf numFmtId="2" fontId="45" fillId="0" borderId="0" xfId="0" applyNumberFormat="1" applyFont="1"/>
    <xf numFmtId="165" fontId="45" fillId="0" borderId="0" xfId="5" applyNumberFormat="1" applyFont="1" applyFill="1" applyBorder="1" applyAlignment="1"/>
    <xf numFmtId="165" fontId="45" fillId="0" borderId="0" xfId="5" applyNumberFormat="1" applyFont="1" applyFill="1" applyBorder="1"/>
    <xf numFmtId="43" fontId="45" fillId="0" borderId="0" xfId="5" applyFont="1" applyFill="1" applyBorder="1"/>
    <xf numFmtId="165" fontId="45" fillId="0" borderId="1" xfId="5" applyNumberFormat="1" applyFont="1" applyFill="1" applyBorder="1" applyAlignment="1">
      <alignment horizontal="left"/>
    </xf>
    <xf numFmtId="3" fontId="45" fillId="0" borderId="0" xfId="0" applyNumberFormat="1" applyFont="1"/>
    <xf numFmtId="43" fontId="45" fillId="0" borderId="0" xfId="0" applyNumberFormat="1" applyFont="1"/>
    <xf numFmtId="9" fontId="45" fillId="0" borderId="0" xfId="0" applyNumberFormat="1" applyFont="1"/>
    <xf numFmtId="167" fontId="45" fillId="0" borderId="0" xfId="7" applyNumberFormat="1" applyFont="1" applyFill="1" applyBorder="1" applyAlignment="1">
      <alignment horizontal="right"/>
    </xf>
    <xf numFmtId="165" fontId="38" fillId="0" borderId="1" xfId="5" applyNumberFormat="1" applyFont="1" applyFill="1" applyBorder="1" applyAlignment="1"/>
    <xf numFmtId="10" fontId="45" fillId="0" borderId="0" xfId="7" applyNumberFormat="1" applyFont="1" applyFill="1" applyBorder="1"/>
    <xf numFmtId="165" fontId="38" fillId="0" borderId="14" xfId="5" applyNumberFormat="1" applyFont="1" applyFill="1" applyBorder="1" applyAlignment="1"/>
    <xf numFmtId="165" fontId="44" fillId="0" borderId="14" xfId="5" applyNumberFormat="1" applyFont="1" applyFill="1" applyBorder="1"/>
    <xf numFmtId="165" fontId="44" fillId="0" borderId="1" xfId="5" applyNumberFormat="1" applyFont="1" applyFill="1" applyBorder="1"/>
    <xf numFmtId="165" fontId="44" fillId="0" borderId="24" xfId="5" applyNumberFormat="1" applyFont="1" applyFill="1" applyBorder="1" applyAlignment="1">
      <alignment horizontal="right" wrapText="1"/>
    </xf>
    <xf numFmtId="165" fontId="45" fillId="0" borderId="0" xfId="5" applyNumberFormat="1" applyFont="1" applyFill="1" applyBorder="1" applyAlignment="1">
      <alignment horizontal="center"/>
    </xf>
    <xf numFmtId="9" fontId="45" fillId="0" borderId="0" xfId="7" applyFont="1" applyFill="1" applyBorder="1"/>
    <xf numFmtId="165" fontId="44" fillId="0" borderId="0" xfId="5" applyNumberFormat="1" applyFont="1" applyFill="1" applyBorder="1" applyAlignment="1"/>
    <xf numFmtId="43" fontId="44" fillId="0" borderId="0" xfId="5" applyFont="1" applyFill="1" applyBorder="1"/>
    <xf numFmtId="9" fontId="44" fillId="0" borderId="0" xfId="7" applyFont="1" applyFill="1" applyBorder="1"/>
    <xf numFmtId="165" fontId="38" fillId="0" borderId="0" xfId="5" applyNumberFormat="1" applyFont="1" applyFill="1" applyBorder="1"/>
    <xf numFmtId="0" fontId="45" fillId="0" borderId="0" xfId="0" applyFont="1" applyAlignment="1">
      <alignment horizontal="left" indent="2"/>
    </xf>
    <xf numFmtId="165" fontId="38" fillId="0" borderId="0" xfId="5" applyNumberFormat="1" applyFont="1" applyFill="1" applyBorder="1" applyAlignment="1"/>
    <xf numFmtId="165" fontId="38" fillId="0" borderId="0" xfId="6" applyNumberFormat="1" applyFont="1" applyBorder="1" applyAlignment="1">
      <alignment horizontal="left"/>
    </xf>
    <xf numFmtId="43" fontId="44" fillId="0" borderId="0" xfId="5" applyFont="1" applyFill="1" applyBorder="1" applyAlignment="1">
      <alignment horizontal="right"/>
    </xf>
    <xf numFmtId="165" fontId="43" fillId="0" borderId="0" xfId="5" applyNumberFormat="1" applyFont="1" applyFill="1" applyBorder="1" applyAlignment="1">
      <alignment horizontal="left"/>
    </xf>
    <xf numFmtId="165" fontId="38" fillId="0" borderId="0" xfId="5" applyNumberFormat="1" applyFont="1" applyFill="1" applyBorder="1" applyAlignment="1">
      <alignment horizontal="right"/>
    </xf>
    <xf numFmtId="165" fontId="38" fillId="0" borderId="24" xfId="5" applyNumberFormat="1" applyFont="1" applyFill="1" applyBorder="1"/>
    <xf numFmtId="165" fontId="38" fillId="0" borderId="1" xfId="6" applyNumberFormat="1" applyFont="1" applyBorder="1" applyAlignment="1">
      <alignment horizontal="left"/>
    </xf>
    <xf numFmtId="165" fontId="38" fillId="0" borderId="24" xfId="5" applyNumberFormat="1" applyFont="1" applyFill="1" applyBorder="1" applyAlignment="1"/>
    <xf numFmtId="176" fontId="45" fillId="0" borderId="0" xfId="0" applyNumberFormat="1" applyFont="1"/>
    <xf numFmtId="7" fontId="45" fillId="0" borderId="0" xfId="0" applyNumberFormat="1" applyFont="1"/>
    <xf numFmtId="5" fontId="45" fillId="0" borderId="0" xfId="5" applyNumberFormat="1" applyFont="1" applyFill="1" applyBorder="1"/>
    <xf numFmtId="5" fontId="45" fillId="0" borderId="1" xfId="5" applyNumberFormat="1" applyFont="1" applyFill="1" applyBorder="1"/>
    <xf numFmtId="175" fontId="45" fillId="0" borderId="0" xfId="5" applyNumberFormat="1" applyFont="1" applyFill="1" applyBorder="1"/>
    <xf numFmtId="175" fontId="45" fillId="0" borderId="1" xfId="5" applyNumberFormat="1" applyFont="1" applyFill="1" applyBorder="1"/>
    <xf numFmtId="175" fontId="38" fillId="0" borderId="0" xfId="5" applyNumberFormat="1" applyFont="1" applyFill="1" applyBorder="1"/>
    <xf numFmtId="175" fontId="44" fillId="0" borderId="0" xfId="5" applyNumberFormat="1" applyFont="1" applyFill="1" applyBorder="1"/>
    <xf numFmtId="0" fontId="50" fillId="0" borderId="0" xfId="0" applyFont="1"/>
    <xf numFmtId="0" fontId="48" fillId="0" borderId="0" xfId="0" applyFont="1" applyAlignment="1">
      <alignment horizontal="center"/>
    </xf>
    <xf numFmtId="0" fontId="50" fillId="0" borderId="0" xfId="0" applyFont="1" applyAlignment="1">
      <alignment horizontal="center"/>
    </xf>
    <xf numFmtId="0" fontId="51" fillId="0" borderId="0" xfId="10" applyFont="1"/>
    <xf numFmtId="43" fontId="52" fillId="0" borderId="0" xfId="6" applyFont="1" applyFill="1" applyBorder="1"/>
    <xf numFmtId="0" fontId="52" fillId="0" borderId="0" xfId="10" applyFont="1"/>
    <xf numFmtId="0" fontId="53" fillId="0" borderId="0" xfId="10" applyFont="1"/>
    <xf numFmtId="0" fontId="52" fillId="0" borderId="0" xfId="0" applyFont="1"/>
    <xf numFmtId="16" fontId="45" fillId="0" borderId="0" xfId="0" quotePrefix="1" applyNumberFormat="1" applyFont="1"/>
    <xf numFmtId="0" fontId="45" fillId="0" borderId="0" xfId="0" quotePrefix="1" applyFont="1"/>
    <xf numFmtId="0" fontId="42" fillId="0" borderId="0" xfId="4" applyFont="1"/>
    <xf numFmtId="167" fontId="45" fillId="0" borderId="0" xfId="7" applyNumberFormat="1" applyFont="1" applyFill="1" applyBorder="1"/>
    <xf numFmtId="4" fontId="45" fillId="0" borderId="0" xfId="0" applyNumberFormat="1" applyFont="1"/>
    <xf numFmtId="2" fontId="42" fillId="0" borderId="0" xfId="4" applyNumberFormat="1" applyFont="1"/>
    <xf numFmtId="2" fontId="45" fillId="0" borderId="0" xfId="7" applyNumberFormat="1" applyFont="1" applyFill="1" applyBorder="1"/>
    <xf numFmtId="0" fontId="16" fillId="0" borderId="1" xfId="0" applyFont="1" applyBorder="1" applyAlignment="1">
      <alignment horizontal="right"/>
    </xf>
    <xf numFmtId="167" fontId="45" fillId="0" borderId="1" xfId="7" applyNumberFormat="1" applyFont="1" applyFill="1" applyBorder="1"/>
    <xf numFmtId="2" fontId="45" fillId="0" borderId="1" xfId="7" applyNumberFormat="1" applyFont="1" applyFill="1" applyBorder="1"/>
    <xf numFmtId="176" fontId="45" fillId="0" borderId="1" xfId="0" applyNumberFormat="1" applyFont="1" applyBorder="1"/>
    <xf numFmtId="0" fontId="45" fillId="0" borderId="0" xfId="0" applyFont="1" applyAlignment="1">
      <alignment horizontal="left"/>
    </xf>
    <xf numFmtId="0" fontId="45" fillId="0" borderId="0" xfId="4" applyFont="1" applyAlignment="1">
      <alignment horizontal="left"/>
    </xf>
    <xf numFmtId="0" fontId="45" fillId="0" borderId="24" xfId="0" applyFont="1" applyBorder="1" applyAlignment="1">
      <alignment horizontal="left"/>
    </xf>
    <xf numFmtId="0" fontId="45" fillId="0" borderId="24" xfId="0" applyFont="1" applyBorder="1" applyAlignment="1">
      <alignment horizontal="center"/>
    </xf>
    <xf numFmtId="9" fontId="45" fillId="0" borderId="14" xfId="7" applyFont="1" applyFill="1" applyBorder="1" applyAlignment="1">
      <alignment horizontal="right"/>
    </xf>
    <xf numFmtId="0" fontId="45" fillId="0" borderId="14" xfId="0" applyFont="1" applyBorder="1" applyAlignment="1">
      <alignment horizontal="right"/>
    </xf>
    <xf numFmtId="165" fontId="35" fillId="0" borderId="14" xfId="5" applyNumberFormat="1" applyFont="1" applyFill="1" applyBorder="1" applyAlignment="1"/>
    <xf numFmtId="3" fontId="45" fillId="4" borderId="0" xfId="0" applyNumberFormat="1" applyFont="1" applyFill="1" applyAlignment="1">
      <alignment horizontal="right" indent="3"/>
    </xf>
    <xf numFmtId="2" fontId="45" fillId="4" borderId="0" xfId="0" applyNumberFormat="1" applyFont="1" applyFill="1" applyAlignment="1">
      <alignment horizontal="right" indent="3"/>
    </xf>
    <xf numFmtId="9" fontId="45" fillId="4" borderId="0" xfId="4" applyNumberFormat="1" applyFont="1" applyFill="1" applyAlignment="1">
      <alignment horizontal="right" indent="3"/>
    </xf>
    <xf numFmtId="2" fontId="45" fillId="4" borderId="0" xfId="4" applyNumberFormat="1" applyFont="1" applyFill="1" applyAlignment="1">
      <alignment horizontal="right" indent="3"/>
    </xf>
    <xf numFmtId="0" fontId="45" fillId="4" borderId="0" xfId="0" applyFont="1" applyFill="1" applyAlignment="1">
      <alignment horizontal="right" indent="3"/>
    </xf>
    <xf numFmtId="9" fontId="45" fillId="4" borderId="0" xfId="7" applyFont="1" applyFill="1" applyBorder="1" applyAlignment="1">
      <alignment horizontal="right" indent="3"/>
    </xf>
    <xf numFmtId="165" fontId="55" fillId="0" borderId="0" xfId="5" applyNumberFormat="1" applyFont="1" applyFill="1" applyBorder="1" applyAlignment="1"/>
    <xf numFmtId="9" fontId="50" fillId="0" borderId="0" xfId="0" applyNumberFormat="1" applyFont="1"/>
    <xf numFmtId="167" fontId="52" fillId="0" borderId="0" xfId="0" applyNumberFormat="1" applyFont="1"/>
    <xf numFmtId="2" fontId="52" fillId="0" borderId="0" xfId="0" applyNumberFormat="1" applyFont="1"/>
    <xf numFmtId="165" fontId="32" fillId="0" borderId="1" xfId="5" applyNumberFormat="1" applyFont="1" applyFill="1" applyBorder="1" applyAlignment="1"/>
    <xf numFmtId="165" fontId="32" fillId="0" borderId="14" xfId="5" applyNumberFormat="1" applyFont="1" applyFill="1" applyBorder="1" applyAlignment="1"/>
    <xf numFmtId="168" fontId="52" fillId="0" borderId="0" xfId="5" applyNumberFormat="1" applyFont="1" applyBorder="1"/>
    <xf numFmtId="0" fontId="33" fillId="0" borderId="0" xfId="4" applyFont="1"/>
    <xf numFmtId="44" fontId="33" fillId="0" borderId="0" xfId="8" applyFont="1" applyBorder="1"/>
    <xf numFmtId="43" fontId="45" fillId="0" borderId="0" xfId="5" applyFont="1" applyFill="1" applyBorder="1" applyAlignment="1">
      <alignment horizontal="right" indent="2"/>
    </xf>
    <xf numFmtId="165" fontId="35" fillId="0" borderId="0" xfId="6" applyNumberFormat="1" applyFont="1" applyBorder="1" applyAlignment="1">
      <alignment horizontal="right" indent="2"/>
    </xf>
    <xf numFmtId="165" fontId="45" fillId="0" borderId="0" xfId="0" applyNumberFormat="1" applyFont="1" applyAlignment="1">
      <alignment horizontal="right" indent="2"/>
    </xf>
    <xf numFmtId="165" fontId="43" fillId="0" borderId="0" xfId="5" applyNumberFormat="1" applyFont="1" applyFill="1" applyBorder="1" applyAlignment="1">
      <alignment horizontal="right"/>
    </xf>
    <xf numFmtId="43" fontId="45" fillId="0" borderId="0" xfId="5" applyFont="1" applyFill="1" applyBorder="1" applyAlignment="1"/>
    <xf numFmtId="165" fontId="52" fillId="0" borderId="0" xfId="5" applyNumberFormat="1" applyFont="1" applyFill="1" applyBorder="1" applyAlignment="1">
      <alignment horizontal="left"/>
    </xf>
    <xf numFmtId="43" fontId="52" fillId="0" borderId="0" xfId="5" applyFont="1" applyFill="1" applyBorder="1" applyAlignment="1">
      <alignment horizontal="right" indent="2"/>
    </xf>
    <xf numFmtId="165" fontId="52" fillId="0" borderId="0" xfId="6" applyNumberFormat="1" applyFont="1" applyBorder="1" applyAlignment="1">
      <alignment horizontal="right" indent="2"/>
    </xf>
    <xf numFmtId="165" fontId="56" fillId="0" borderId="0" xfId="5" applyNumberFormat="1" applyFont="1" applyFill="1" applyBorder="1" applyAlignment="1">
      <alignment horizontal="right"/>
    </xf>
    <xf numFmtId="0" fontId="51" fillId="0" borderId="0" xfId="10" applyFont="1" applyBorder="1"/>
    <xf numFmtId="4" fontId="52" fillId="0" borderId="0" xfId="0" applyNumberFormat="1" applyFont="1"/>
    <xf numFmtId="169" fontId="52" fillId="0" borderId="0" xfId="5" applyNumberFormat="1" applyFont="1" applyFill="1" applyBorder="1" applyAlignment="1">
      <alignment horizontal="center"/>
    </xf>
    <xf numFmtId="0" fontId="50" fillId="0" borderId="0" xfId="4" applyFont="1"/>
    <xf numFmtId="39" fontId="50" fillId="0" borderId="0" xfId="8" applyNumberFormat="1" applyFont="1" applyFill="1" applyBorder="1"/>
    <xf numFmtId="0" fontId="52" fillId="0" borderId="0" xfId="4" applyFont="1" applyAlignment="1">
      <alignment horizontal="left"/>
    </xf>
    <xf numFmtId="39" fontId="52" fillId="0" borderId="0" xfId="8" applyNumberFormat="1" applyFont="1" applyFill="1" applyBorder="1"/>
    <xf numFmtId="39" fontId="52" fillId="0" borderId="0" xfId="4" applyNumberFormat="1" applyFont="1"/>
    <xf numFmtId="43" fontId="52" fillId="0" borderId="0" xfId="5" applyFont="1" applyFill="1" applyBorder="1" applyAlignment="1"/>
    <xf numFmtId="165" fontId="32" fillId="0" borderId="0" xfId="5" applyNumberFormat="1" applyFont="1" applyFill="1" applyBorder="1" applyAlignment="1"/>
    <xf numFmtId="1" fontId="45" fillId="4" borderId="0" xfId="0" applyNumberFormat="1" applyFont="1" applyFill="1" applyAlignment="1">
      <alignment horizontal="right" indent="3"/>
    </xf>
    <xf numFmtId="7" fontId="45" fillId="0" borderId="0" xfId="5" applyNumberFormat="1" applyFont="1" applyFill="1" applyBorder="1"/>
    <xf numFmtId="7" fontId="45" fillId="0" borderId="1" xfId="5" applyNumberFormat="1" applyFont="1" applyFill="1" applyBorder="1"/>
    <xf numFmtId="7" fontId="44" fillId="0" borderId="0" xfId="5" applyNumberFormat="1" applyFont="1" applyFill="1" applyBorder="1"/>
    <xf numFmtId="7" fontId="44" fillId="0" borderId="1" xfId="5" applyNumberFormat="1" applyFont="1" applyFill="1" applyBorder="1"/>
    <xf numFmtId="176" fontId="45" fillId="0" borderId="0" xfId="5" applyNumberFormat="1" applyFont="1" applyFill="1" applyBorder="1"/>
    <xf numFmtId="176" fontId="45" fillId="0" borderId="1" xfId="5" applyNumberFormat="1" applyFont="1" applyFill="1" applyBorder="1"/>
    <xf numFmtId="176" fontId="44" fillId="0" borderId="0" xfId="5" applyNumberFormat="1" applyFont="1" applyFill="1" applyBorder="1"/>
    <xf numFmtId="9" fontId="45" fillId="0" borderId="0" xfId="7" applyFont="1" applyFill="1" applyBorder="1" applyAlignment="1">
      <alignment horizontal="right"/>
    </xf>
    <xf numFmtId="0" fontId="45" fillId="0" borderId="0" xfId="0" applyFont="1" applyAlignment="1">
      <alignment horizontal="right"/>
    </xf>
    <xf numFmtId="9" fontId="45" fillId="4" borderId="1" xfId="7" applyFont="1" applyFill="1" applyBorder="1" applyAlignment="1">
      <alignment horizontal="right" indent="3"/>
    </xf>
    <xf numFmtId="165" fontId="35" fillId="0" borderId="14" xfId="5" applyNumberFormat="1" applyFont="1" applyFill="1" applyBorder="1" applyAlignment="1">
      <alignment horizontal="right"/>
    </xf>
    <xf numFmtId="0" fontId="45" fillId="0" borderId="1" xfId="0" applyFont="1" applyBorder="1" applyAlignment="1">
      <alignment horizontal="left"/>
    </xf>
    <xf numFmtId="43" fontId="45" fillId="0" borderId="0" xfId="6" applyFont="1" applyFill="1" applyBorder="1"/>
    <xf numFmtId="0" fontId="45" fillId="0" borderId="0" xfId="10" applyFont="1"/>
    <xf numFmtId="167" fontId="45" fillId="0" borderId="0" xfId="0" applyNumberFormat="1" applyFont="1" applyAlignment="1">
      <alignment horizontal="center"/>
    </xf>
    <xf numFmtId="2" fontId="45" fillId="0" borderId="0" xfId="0" applyNumberFormat="1" applyFont="1" applyAlignment="1">
      <alignment horizontal="center"/>
    </xf>
    <xf numFmtId="0" fontId="45" fillId="0" borderId="24" xfId="0" applyFont="1" applyBorder="1" applyAlignment="1">
      <alignment horizontal="center" wrapText="1"/>
    </xf>
    <xf numFmtId="16" fontId="12" fillId="0" borderId="0" xfId="0" quotePrefix="1" applyNumberFormat="1" applyFont="1"/>
    <xf numFmtId="0" fontId="12" fillId="0" borderId="0" xfId="0" quotePrefix="1" applyFont="1"/>
    <xf numFmtId="0" fontId="45" fillId="0" borderId="1" xfId="0" applyFont="1" applyBorder="1" applyAlignment="1">
      <alignment horizontal="center"/>
    </xf>
    <xf numFmtId="167" fontId="45" fillId="0" borderId="1" xfId="0" applyNumberFormat="1" applyFont="1" applyBorder="1" applyAlignment="1">
      <alignment horizontal="center"/>
    </xf>
    <xf numFmtId="2" fontId="45" fillId="0" borderId="1" xfId="0" applyNumberFormat="1" applyFont="1" applyBorder="1" applyAlignment="1">
      <alignment horizontal="center"/>
    </xf>
    <xf numFmtId="165" fontId="32" fillId="0" borderId="0" xfId="5" applyNumberFormat="1" applyFont="1" applyFill="1" applyBorder="1" applyAlignment="1">
      <alignment horizontal="right"/>
    </xf>
    <xf numFmtId="165" fontId="35" fillId="0" borderId="1" xfId="6" applyNumberFormat="1" applyFont="1" applyBorder="1" applyAlignment="1">
      <alignment horizontal="right" indent="2"/>
    </xf>
    <xf numFmtId="1" fontId="45" fillId="0" borderId="0" xfId="0" applyNumberFormat="1" applyFont="1"/>
    <xf numFmtId="0" fontId="52" fillId="0" borderId="0" xfId="4" applyFont="1"/>
    <xf numFmtId="0" fontId="45" fillId="0" borderId="0" xfId="4" applyFont="1"/>
    <xf numFmtId="44" fontId="45" fillId="0" borderId="0" xfId="8" applyFont="1" applyBorder="1"/>
    <xf numFmtId="44" fontId="52" fillId="0" borderId="0" xfId="8" applyFont="1" applyBorder="1"/>
    <xf numFmtId="165" fontId="45" fillId="0" borderId="0" xfId="5" applyNumberFormat="1" applyFont="1" applyFill="1" applyBorder="1" applyAlignment="1">
      <alignment horizontal="right"/>
    </xf>
    <xf numFmtId="165" fontId="50" fillId="0" borderId="0" xfId="5" applyNumberFormat="1" applyFont="1" applyFill="1" applyBorder="1" applyAlignment="1"/>
    <xf numFmtId="43" fontId="52" fillId="0" borderId="0" xfId="0" applyNumberFormat="1" applyFont="1"/>
    <xf numFmtId="3" fontId="45" fillId="0" borderId="1" xfId="0" applyNumberFormat="1" applyFont="1" applyBorder="1" applyAlignment="1">
      <alignment horizontal="right" vertical="center"/>
    </xf>
    <xf numFmtId="0" fontId="38" fillId="0" borderId="10" xfId="4" applyFont="1" applyBorder="1"/>
    <xf numFmtId="0" fontId="38" fillId="0" borderId="11" xfId="4" applyFont="1" applyBorder="1"/>
    <xf numFmtId="39" fontId="38" fillId="0" borderId="11" xfId="8" applyNumberFormat="1" applyFont="1" applyFill="1" applyBorder="1"/>
    <xf numFmtId="0" fontId="38" fillId="0" borderId="12" xfId="4" applyFont="1" applyBorder="1"/>
    <xf numFmtId="0" fontId="35" fillId="0" borderId="5" xfId="4" applyFont="1" applyBorder="1" applyAlignment="1">
      <alignment horizontal="left"/>
    </xf>
    <xf numFmtId="39" fontId="35" fillId="0" borderId="0" xfId="8" applyNumberFormat="1" applyFont="1" applyFill="1" applyBorder="1"/>
    <xf numFmtId="39" fontId="35" fillId="0" borderId="6" xfId="4" applyNumberFormat="1" applyFont="1" applyBorder="1"/>
    <xf numFmtId="0" fontId="35" fillId="0" borderId="7" xfId="4" applyFont="1" applyBorder="1" applyAlignment="1">
      <alignment horizontal="left"/>
    </xf>
    <xf numFmtId="39" fontId="35" fillId="0" borderId="8" xfId="8" applyNumberFormat="1" applyFont="1" applyFill="1" applyBorder="1"/>
    <xf numFmtId="39" fontId="35" fillId="0" borderId="9" xfId="4" applyNumberFormat="1" applyFont="1" applyBorder="1"/>
    <xf numFmtId="165" fontId="45" fillId="0" borderId="1" xfId="0" applyNumberFormat="1" applyFont="1" applyBorder="1" applyAlignment="1">
      <alignment horizontal="right" indent="2"/>
    </xf>
    <xf numFmtId="170" fontId="45" fillId="0" borderId="0" xfId="0" applyNumberFormat="1" applyFont="1"/>
    <xf numFmtId="165" fontId="44" fillId="0" borderId="24" xfId="5" applyNumberFormat="1" applyFont="1" applyFill="1" applyBorder="1" applyAlignment="1">
      <alignment horizontal="center" wrapText="1"/>
    </xf>
    <xf numFmtId="165" fontId="57" fillId="0" borderId="0" xfId="5" applyNumberFormat="1" applyFont="1" applyFill="1" applyBorder="1" applyAlignment="1">
      <alignment horizontal="center"/>
    </xf>
    <xf numFmtId="165" fontId="44" fillId="0" borderId="24" xfId="5" applyNumberFormat="1" applyFont="1" applyFill="1" applyBorder="1"/>
    <xf numFmtId="5" fontId="44" fillId="0" borderId="0" xfId="5" applyNumberFormat="1" applyFont="1" applyFill="1" applyBorder="1" applyAlignment="1"/>
    <xf numFmtId="175" fontId="44" fillId="0" borderId="14" xfId="5" applyNumberFormat="1" applyFont="1" applyFill="1" applyBorder="1"/>
    <xf numFmtId="175" fontId="44" fillId="0" borderId="1" xfId="5" applyNumberFormat="1" applyFont="1" applyFill="1" applyBorder="1"/>
    <xf numFmtId="176" fontId="44" fillId="0" borderId="14" xfId="5" applyNumberFormat="1" applyFont="1" applyFill="1" applyBorder="1"/>
    <xf numFmtId="176" fontId="44" fillId="0" borderId="1" xfId="5" applyNumberFormat="1" applyFont="1" applyFill="1" applyBorder="1"/>
    <xf numFmtId="10" fontId="35" fillId="0" borderId="0" xfId="7" applyNumberFormat="1" applyFont="1" applyBorder="1"/>
    <xf numFmtId="6" fontId="45" fillId="0" borderId="1" xfId="5" applyNumberFormat="1" applyFont="1" applyFill="1" applyBorder="1"/>
    <xf numFmtId="165" fontId="38" fillId="0" borderId="14" xfId="5" applyNumberFormat="1" applyFont="1" applyFill="1" applyBorder="1" applyAlignment="1">
      <alignment horizontal="left"/>
    </xf>
    <xf numFmtId="43" fontId="35" fillId="0" borderId="14" xfId="5" applyFont="1" applyFill="1" applyBorder="1" applyAlignment="1">
      <alignment horizontal="right"/>
    </xf>
    <xf numFmtId="165" fontId="22" fillId="0" borderId="0" xfId="5" applyNumberFormat="1" applyFont="1" applyFill="1" applyBorder="1" applyAlignment="1">
      <alignment horizontal="right" wrapText="1"/>
    </xf>
    <xf numFmtId="165" fontId="49" fillId="0" borderId="0" xfId="5" applyNumberFormat="1" applyFont="1" applyFill="1" applyBorder="1" applyAlignment="1">
      <alignment horizontal="right" wrapText="1"/>
    </xf>
    <xf numFmtId="165" fontId="23" fillId="0" borderId="0" xfId="5" applyNumberFormat="1" applyFont="1" applyFill="1" applyBorder="1" applyAlignment="1">
      <alignment horizontal="right" wrapText="1"/>
    </xf>
    <xf numFmtId="165" fontId="38" fillId="0" borderId="0" xfId="5" applyNumberFormat="1" applyFont="1" applyFill="1" applyBorder="1" applyAlignment="1">
      <alignment horizontal="center"/>
    </xf>
    <xf numFmtId="0" fontId="34" fillId="0" borderId="0" xfId="3" applyFont="1" applyAlignment="1">
      <alignment horizontal="center"/>
    </xf>
    <xf numFmtId="165" fontId="45" fillId="0" borderId="24" xfId="5" applyNumberFormat="1" applyFont="1" applyFill="1" applyBorder="1" applyAlignment="1">
      <alignment horizontal="left"/>
    </xf>
    <xf numFmtId="165" fontId="22" fillId="0" borderId="24" xfId="5" applyNumberFormat="1" applyFont="1" applyFill="1" applyBorder="1" applyAlignment="1">
      <alignment horizontal="right" wrapText="1"/>
    </xf>
    <xf numFmtId="165" fontId="49" fillId="0" borderId="24" xfId="5" applyNumberFormat="1" applyFont="1" applyFill="1" applyBorder="1" applyAlignment="1">
      <alignment horizontal="right" wrapText="1"/>
    </xf>
    <xf numFmtId="165" fontId="16" fillId="0" borderId="24" xfId="5" applyNumberFormat="1" applyFont="1" applyFill="1" applyBorder="1" applyAlignment="1">
      <alignment horizontal="left"/>
    </xf>
    <xf numFmtId="165" fontId="19" fillId="0" borderId="0" xfId="5" applyNumberFormat="1" applyFont="1" applyFill="1" applyBorder="1" applyAlignment="1">
      <alignment horizontal="right" wrapText="1"/>
    </xf>
    <xf numFmtId="174" fontId="45" fillId="0" borderId="0" xfId="0" applyNumberFormat="1" applyFont="1"/>
    <xf numFmtId="0" fontId="45" fillId="0" borderId="24" xfId="0" applyFont="1" applyBorder="1"/>
    <xf numFmtId="7" fontId="44" fillId="0" borderId="14" xfId="5" applyNumberFormat="1" applyFont="1" applyFill="1" applyBorder="1"/>
    <xf numFmtId="175" fontId="44" fillId="0" borderId="0" xfId="5" applyNumberFormat="1" applyFont="1" applyFill="1" applyBorder="1" applyAlignment="1"/>
    <xf numFmtId="165" fontId="38" fillId="0" borderId="0" xfId="6" applyNumberFormat="1" applyFont="1" applyBorder="1" applyAlignment="1">
      <alignment vertical="center"/>
    </xf>
    <xf numFmtId="10" fontId="35" fillId="0" borderId="0" xfId="7" applyNumberFormat="1" applyFont="1" applyBorder="1" applyAlignment="1">
      <alignment vertical="center"/>
    </xf>
    <xf numFmtId="165" fontId="38" fillId="0" borderId="14" xfId="5" applyNumberFormat="1" applyFont="1" applyFill="1" applyBorder="1" applyAlignment="1">
      <alignment vertical="center"/>
    </xf>
    <xf numFmtId="43" fontId="35" fillId="0" borderId="14" xfId="5" applyFont="1" applyFill="1" applyBorder="1" applyAlignment="1">
      <alignment vertical="center"/>
    </xf>
    <xf numFmtId="165" fontId="38" fillId="0" borderId="1" xfId="6" applyNumberFormat="1" applyFont="1" applyBorder="1" applyAlignment="1">
      <alignment vertical="center"/>
    </xf>
    <xf numFmtId="6" fontId="45" fillId="0" borderId="1" xfId="5" applyNumberFormat="1" applyFont="1" applyFill="1" applyBorder="1" applyAlignment="1">
      <alignment vertical="center"/>
    </xf>
    <xf numFmtId="0" fontId="16" fillId="0" borderId="1" xfId="0" applyFont="1" applyBorder="1"/>
    <xf numFmtId="0" fontId="42" fillId="0" borderId="24" xfId="4" applyFont="1" applyBorder="1"/>
    <xf numFmtId="165" fontId="38" fillId="0" borderId="24" xfId="5" applyNumberFormat="1" applyFont="1" applyFill="1" applyBorder="1" applyAlignment="1">
      <alignment horizontal="right" wrapText="1"/>
    </xf>
    <xf numFmtId="3" fontId="45" fillId="0" borderId="0" xfId="5" applyNumberFormat="1" applyFont="1" applyFill="1" applyBorder="1" applyAlignment="1"/>
    <xf numFmtId="165" fontId="38" fillId="0" borderId="0" xfId="5" applyNumberFormat="1" applyFont="1" applyFill="1" applyBorder="1" applyAlignment="1">
      <alignment horizontal="right" wrapText="1"/>
    </xf>
    <xf numFmtId="8" fontId="44" fillId="0" borderId="0" xfId="5" applyNumberFormat="1" applyFont="1" applyFill="1" applyBorder="1"/>
    <xf numFmtId="0" fontId="44" fillId="0" borderId="0" xfId="0" applyFont="1" applyAlignment="1">
      <alignment horizontal="right"/>
    </xf>
    <xf numFmtId="0" fontId="44" fillId="0" borderId="0" xfId="0" applyFont="1" applyAlignment="1">
      <alignment horizontal="center"/>
    </xf>
    <xf numFmtId="165" fontId="38" fillId="0" borderId="24" xfId="5" applyNumberFormat="1" applyFont="1" applyFill="1" applyBorder="1" applyAlignment="1">
      <alignment horizontal="center" vertical="center" wrapText="1"/>
    </xf>
    <xf numFmtId="3" fontId="45" fillId="0" borderId="1" xfId="0" applyNumberFormat="1" applyFont="1" applyBorder="1"/>
    <xf numFmtId="165" fontId="38" fillId="0" borderId="14" xfId="5" applyNumberFormat="1" applyFont="1" applyFill="1" applyBorder="1" applyAlignment="1">
      <alignment horizontal="left" vertical="center"/>
    </xf>
    <xf numFmtId="43" fontId="35" fillId="0" borderId="14" xfId="5" applyFont="1" applyFill="1" applyBorder="1" applyAlignment="1">
      <alignment horizontal="left" vertical="center"/>
    </xf>
    <xf numFmtId="165" fontId="44" fillId="0" borderId="25" xfId="5" applyNumberFormat="1" applyFont="1" applyFill="1" applyBorder="1" applyAlignment="1">
      <alignment horizontal="center" wrapText="1"/>
    </xf>
    <xf numFmtId="165" fontId="45" fillId="0" borderId="18" xfId="5" applyNumberFormat="1" applyFont="1" applyFill="1" applyBorder="1"/>
    <xf numFmtId="9" fontId="45" fillId="0" borderId="18" xfId="7" applyFont="1" applyFill="1" applyBorder="1"/>
    <xf numFmtId="165" fontId="45" fillId="0" borderId="18" xfId="5" applyNumberFormat="1" applyFont="1" applyFill="1" applyBorder="1" applyAlignment="1">
      <alignment horizontal="center"/>
    </xf>
    <xf numFmtId="165" fontId="45" fillId="0" borderId="18" xfId="5" applyNumberFormat="1" applyFont="1" applyFill="1" applyBorder="1" applyAlignment="1">
      <alignment horizontal="left"/>
    </xf>
    <xf numFmtId="0" fontId="45" fillId="0" borderId="18" xfId="0" applyFont="1" applyBorder="1"/>
    <xf numFmtId="165" fontId="38" fillId="0" borderId="18" xfId="5" applyNumberFormat="1" applyFont="1" applyFill="1" applyBorder="1" applyAlignment="1"/>
    <xf numFmtId="165" fontId="44" fillId="0" borderId="26" xfId="5" applyNumberFormat="1" applyFont="1" applyFill="1" applyBorder="1" applyAlignment="1">
      <alignment horizontal="center" wrapText="1"/>
    </xf>
    <xf numFmtId="165" fontId="45" fillId="0" borderId="15" xfId="5" applyNumberFormat="1" applyFont="1" applyFill="1" applyBorder="1"/>
    <xf numFmtId="39" fontId="45" fillId="0" borderId="15" xfId="0" applyNumberFormat="1" applyFont="1" applyBorder="1"/>
    <xf numFmtId="165" fontId="44" fillId="0" borderId="15" xfId="5" applyNumberFormat="1" applyFont="1" applyFill="1" applyBorder="1" applyAlignment="1"/>
    <xf numFmtId="43" fontId="45" fillId="0" borderId="15" xfId="5" applyFont="1" applyFill="1" applyBorder="1"/>
    <xf numFmtId="43" fontId="45" fillId="0" borderId="15" xfId="0" applyNumberFormat="1" applyFont="1" applyBorder="1"/>
    <xf numFmtId="2" fontId="45" fillId="0" borderId="15" xfId="0" applyNumberFormat="1" applyFont="1" applyBorder="1"/>
    <xf numFmtId="167" fontId="45" fillId="0" borderId="15" xfId="7" applyNumberFormat="1" applyFont="1" applyFill="1" applyBorder="1"/>
    <xf numFmtId="165" fontId="38" fillId="0" borderId="15" xfId="5" applyNumberFormat="1" applyFont="1" applyFill="1" applyBorder="1"/>
    <xf numFmtId="10" fontId="45" fillId="0" borderId="15" xfId="7" applyNumberFormat="1" applyFont="1" applyFill="1" applyBorder="1"/>
    <xf numFmtId="167" fontId="45" fillId="0" borderId="15" xfId="7" applyNumberFormat="1" applyFont="1" applyFill="1" applyBorder="1" applyAlignment="1">
      <alignment horizontal="right"/>
    </xf>
    <xf numFmtId="0" fontId="45" fillId="0" borderId="15" xfId="0" applyFont="1" applyBorder="1"/>
    <xf numFmtId="165" fontId="44" fillId="0" borderId="15" xfId="5" applyNumberFormat="1" applyFont="1" applyFill="1" applyBorder="1"/>
    <xf numFmtId="0" fontId="44" fillId="0" borderId="15" xfId="0" applyFont="1" applyBorder="1" applyAlignment="1">
      <alignment horizontal="right"/>
    </xf>
    <xf numFmtId="165" fontId="38" fillId="0" borderId="20" xfId="5" applyNumberFormat="1" applyFont="1" applyFill="1" applyBorder="1" applyAlignment="1"/>
    <xf numFmtId="165" fontId="44" fillId="0" borderId="19" xfId="5" applyNumberFormat="1" applyFont="1" applyFill="1" applyBorder="1"/>
    <xf numFmtId="165" fontId="38" fillId="0" borderId="17" xfId="5" applyNumberFormat="1" applyFont="1" applyFill="1" applyBorder="1" applyAlignment="1"/>
    <xf numFmtId="165" fontId="44" fillId="0" borderId="16" xfId="5" applyNumberFormat="1" applyFont="1" applyFill="1" applyBorder="1"/>
    <xf numFmtId="165" fontId="43" fillId="0" borderId="18" xfId="5" applyNumberFormat="1" applyFont="1" applyFill="1" applyBorder="1" applyAlignment="1">
      <alignment horizontal="left"/>
    </xf>
    <xf numFmtId="0" fontId="43" fillId="0" borderId="18" xfId="0" applyFont="1" applyBorder="1"/>
    <xf numFmtId="165" fontId="37" fillId="0" borderId="18" xfId="5" applyNumberFormat="1" applyFont="1" applyFill="1" applyBorder="1" applyAlignment="1"/>
    <xf numFmtId="176" fontId="44" fillId="0" borderId="0" xfId="0" applyNumberFormat="1" applyFont="1"/>
    <xf numFmtId="9" fontId="45" fillId="0" borderId="15" xfId="7" applyFont="1" applyBorder="1"/>
    <xf numFmtId="0" fontId="45" fillId="0" borderId="16" xfId="0" applyFont="1" applyBorder="1"/>
    <xf numFmtId="0" fontId="16" fillId="0" borderId="19" xfId="0" applyFont="1" applyBorder="1"/>
    <xf numFmtId="165" fontId="44" fillId="0" borderId="25" xfId="5" applyNumberFormat="1" applyFont="1" applyFill="1" applyBorder="1" applyAlignment="1"/>
    <xf numFmtId="165" fontId="44" fillId="0" borderId="26" xfId="5" applyNumberFormat="1" applyFont="1" applyFill="1" applyBorder="1" applyAlignment="1">
      <alignment horizontal="left" wrapText="1"/>
    </xf>
    <xf numFmtId="43" fontId="44" fillId="0" borderId="15" xfId="5" applyFont="1" applyFill="1" applyBorder="1" applyAlignment="1">
      <alignment horizontal="right"/>
    </xf>
    <xf numFmtId="0" fontId="45" fillId="0" borderId="15" xfId="0" applyFont="1" applyBorder="1" applyAlignment="1">
      <alignment horizontal="left" indent="2"/>
    </xf>
    <xf numFmtId="165" fontId="38" fillId="0" borderId="15" xfId="5" applyNumberFormat="1" applyFont="1" applyFill="1" applyBorder="1" applyAlignment="1">
      <alignment horizontal="right"/>
    </xf>
    <xf numFmtId="165" fontId="38" fillId="0" borderId="19" xfId="5" applyNumberFormat="1" applyFont="1" applyFill="1" applyBorder="1" applyAlignment="1"/>
    <xf numFmtId="165" fontId="38" fillId="0" borderId="16" xfId="5" applyNumberFormat="1" applyFont="1" applyFill="1" applyBorder="1" applyAlignment="1"/>
    <xf numFmtId="0" fontId="45" fillId="0" borderId="19" xfId="0" applyFont="1" applyBorder="1"/>
    <xf numFmtId="176" fontId="45" fillId="0" borderId="15" xfId="0" applyNumberFormat="1" applyFont="1" applyBorder="1"/>
    <xf numFmtId="175" fontId="45" fillId="0" borderId="0" xfId="6" applyNumberFormat="1" applyFont="1" applyFill="1" applyBorder="1"/>
    <xf numFmtId="175" fontId="45" fillId="0" borderId="0" xfId="6" applyNumberFormat="1" applyFont="1" applyBorder="1"/>
    <xf numFmtId="176" fontId="45" fillId="0" borderId="15" xfId="5" applyNumberFormat="1" applyFont="1" applyFill="1" applyBorder="1"/>
    <xf numFmtId="175" fontId="45" fillId="0" borderId="15" xfId="5" applyNumberFormat="1" applyFont="1" applyFill="1" applyBorder="1"/>
    <xf numFmtId="175" fontId="45" fillId="0" borderId="0" xfId="7" applyNumberFormat="1" applyFont="1" applyFill="1" applyBorder="1"/>
    <xf numFmtId="175" fontId="45" fillId="0" borderId="16" xfId="5" applyNumberFormat="1" applyFont="1" applyFill="1" applyBorder="1"/>
    <xf numFmtId="175" fontId="45" fillId="0" borderId="1" xfId="7" applyNumberFormat="1" applyFont="1" applyFill="1" applyBorder="1"/>
    <xf numFmtId="175" fontId="44" fillId="0" borderId="0" xfId="7" applyNumberFormat="1" applyFont="1" applyFill="1" applyBorder="1"/>
    <xf numFmtId="175" fontId="38" fillId="0" borderId="15" xfId="5" applyNumberFormat="1" applyFont="1" applyFill="1" applyBorder="1"/>
    <xf numFmtId="175" fontId="44" fillId="0" borderId="15" xfId="5" applyNumberFormat="1" applyFont="1" applyFill="1" applyBorder="1"/>
    <xf numFmtId="175" fontId="44" fillId="0" borderId="19" xfId="5" applyNumberFormat="1" applyFont="1" applyFill="1" applyBorder="1"/>
    <xf numFmtId="175" fontId="44" fillId="0" borderId="16" xfId="5" applyNumberFormat="1" applyFont="1" applyFill="1" applyBorder="1"/>
    <xf numFmtId="0" fontId="16" fillId="0" borderId="14" xfId="0" applyFont="1" applyBorder="1"/>
    <xf numFmtId="165" fontId="38" fillId="0" borderId="0" xfId="5" applyNumberFormat="1" applyFont="1" applyFill="1" applyBorder="1" applyAlignment="1">
      <alignment horizontal="left" vertical="center" wrapText="1"/>
    </xf>
    <xf numFmtId="3" fontId="45" fillId="0" borderId="0" xfId="0" applyNumberFormat="1" applyFont="1" applyAlignment="1">
      <alignment horizontal="right" indent="3"/>
    </xf>
    <xf numFmtId="1" fontId="45" fillId="0" borderId="0" xfId="0" applyNumberFormat="1" applyFont="1" applyAlignment="1">
      <alignment horizontal="right" indent="3"/>
    </xf>
    <xf numFmtId="2" fontId="45" fillId="0" borderId="0" xfId="0" applyNumberFormat="1" applyFont="1" applyAlignment="1">
      <alignment horizontal="right" indent="3"/>
    </xf>
    <xf numFmtId="9" fontId="45" fillId="0" borderId="0" xfId="7" applyFont="1" applyFill="1" applyBorder="1" applyAlignment="1">
      <alignment horizontal="right" indent="3"/>
    </xf>
    <xf numFmtId="176" fontId="45" fillId="0" borderId="0" xfId="0" applyNumberFormat="1" applyFont="1" applyAlignment="1">
      <alignment horizontal="center"/>
    </xf>
    <xf numFmtId="176" fontId="45" fillId="0" borderId="1" xfId="0" applyNumberFormat="1" applyFont="1" applyBorder="1" applyAlignment="1">
      <alignment horizontal="center"/>
    </xf>
    <xf numFmtId="2" fontId="45" fillId="0" borderId="0" xfId="0" applyNumberFormat="1" applyFont="1" applyAlignment="1">
      <alignment horizontal="right" vertical="center"/>
    </xf>
    <xf numFmtId="170" fontId="45" fillId="0" borderId="0" xfId="0" applyNumberFormat="1" applyFont="1" applyAlignment="1">
      <alignment horizontal="right" vertical="center"/>
    </xf>
    <xf numFmtId="165" fontId="38" fillId="0" borderId="24" xfId="5" applyNumberFormat="1" applyFont="1" applyFill="1" applyBorder="1" applyAlignment="1">
      <alignment horizontal="center" vertical="center"/>
    </xf>
    <xf numFmtId="165" fontId="44" fillId="0" borderId="20" xfId="5" applyNumberFormat="1" applyFont="1" applyFill="1" applyBorder="1" applyAlignment="1"/>
    <xf numFmtId="165" fontId="45" fillId="0" borderId="15" xfId="5" applyNumberFormat="1" applyFont="1" applyFill="1" applyBorder="1" applyAlignment="1">
      <alignment horizontal="left" vertical="center"/>
    </xf>
    <xf numFmtId="176" fontId="44" fillId="0" borderId="15" xfId="5" applyNumberFormat="1" applyFont="1" applyFill="1" applyBorder="1" applyAlignment="1"/>
    <xf numFmtId="165" fontId="44" fillId="0" borderId="26" xfId="5" applyNumberFormat="1" applyFont="1" applyFill="1" applyBorder="1" applyAlignment="1">
      <alignment horizontal="right" wrapText="1"/>
    </xf>
    <xf numFmtId="165" fontId="44" fillId="0" borderId="25" xfId="5" applyNumberFormat="1" applyFont="1" applyFill="1" applyBorder="1" applyAlignment="1">
      <alignment horizontal="right" wrapText="1"/>
    </xf>
    <xf numFmtId="165" fontId="2" fillId="0" borderId="0" xfId="5" applyNumberFormat="1" applyFont="1" applyFill="1" applyBorder="1" applyAlignment="1">
      <alignment horizontal="center" vertical="center" wrapText="1"/>
    </xf>
    <xf numFmtId="0" fontId="42" fillId="0" borderId="1" xfId="0" applyFont="1" applyBorder="1" applyAlignment="1">
      <alignment horizontal="center"/>
    </xf>
    <xf numFmtId="167" fontId="44" fillId="0" borderId="0" xfId="7" applyNumberFormat="1" applyFont="1" applyFill="1" applyBorder="1"/>
    <xf numFmtId="167" fontId="45" fillId="0" borderId="0" xfId="0" applyNumberFormat="1" applyFont="1"/>
    <xf numFmtId="167" fontId="44" fillId="0" borderId="1" xfId="7" applyNumberFormat="1" applyFont="1" applyFill="1" applyBorder="1"/>
    <xf numFmtId="167" fontId="45" fillId="0" borderId="18" xfId="7" applyNumberFormat="1" applyFont="1" applyFill="1" applyBorder="1"/>
    <xf numFmtId="167" fontId="45" fillId="0" borderId="17" xfId="7" applyNumberFormat="1" applyFont="1" applyFill="1" applyBorder="1"/>
    <xf numFmtId="167" fontId="44" fillId="0" borderId="18" xfId="7" applyNumberFormat="1" applyFont="1" applyFill="1" applyBorder="1"/>
    <xf numFmtId="167" fontId="45" fillId="0" borderId="18" xfId="7" applyNumberFormat="1" applyFont="1" applyBorder="1"/>
    <xf numFmtId="167" fontId="44" fillId="0" borderId="20" xfId="7" applyNumberFormat="1" applyFont="1" applyFill="1" applyBorder="1"/>
    <xf numFmtId="167" fontId="44" fillId="0" borderId="17" xfId="7" applyNumberFormat="1" applyFont="1" applyFill="1" applyBorder="1"/>
    <xf numFmtId="167" fontId="44" fillId="0" borderId="14" xfId="7" applyNumberFormat="1" applyFont="1" applyFill="1" applyBorder="1"/>
    <xf numFmtId="0" fontId="34" fillId="0" borderId="0" xfId="3" applyFont="1" applyAlignment="1">
      <alignment horizontal="left"/>
    </xf>
    <xf numFmtId="165" fontId="44" fillId="0" borderId="24" xfId="5" applyNumberFormat="1" applyFont="1" applyFill="1" applyBorder="1" applyAlignment="1" applyProtection="1">
      <alignment horizontal="left"/>
    </xf>
    <xf numFmtId="165" fontId="44" fillId="0" borderId="24" xfId="5" applyNumberFormat="1" applyFont="1" applyFill="1" applyBorder="1" applyAlignment="1" applyProtection="1">
      <alignment horizontal="right"/>
    </xf>
    <xf numFmtId="0" fontId="43" fillId="0" borderId="0" xfId="0" applyFont="1" applyAlignment="1">
      <alignment wrapText="1"/>
    </xf>
    <xf numFmtId="0" fontId="46" fillId="0" borderId="0" xfId="0" applyFont="1"/>
    <xf numFmtId="0" fontId="43" fillId="0" borderId="1" xfId="0" applyFont="1" applyBorder="1"/>
    <xf numFmtId="0" fontId="11" fillId="0" borderId="0" xfId="0" applyFont="1"/>
    <xf numFmtId="4" fontId="27" fillId="0" borderId="0" xfId="0" applyNumberFormat="1" applyFont="1"/>
    <xf numFmtId="9" fontId="17" fillId="0" borderId="0" xfId="7" applyFont="1" applyProtection="1"/>
    <xf numFmtId="7" fontId="45" fillId="4" borderId="0" xfId="8" applyNumberFormat="1" applyFont="1" applyFill="1" applyBorder="1" applyProtection="1">
      <protection locked="0"/>
    </xf>
    <xf numFmtId="9" fontId="45" fillId="4" borderId="0" xfId="7" applyFont="1" applyFill="1" applyBorder="1" applyProtection="1">
      <protection locked="0"/>
    </xf>
    <xf numFmtId="5" fontId="45" fillId="4" borderId="0" xfId="8" applyNumberFormat="1" applyFont="1" applyFill="1" applyBorder="1" applyProtection="1">
      <protection locked="0"/>
    </xf>
    <xf numFmtId="10" fontId="45" fillId="4" borderId="0" xfId="8" applyNumberFormat="1" applyFont="1" applyFill="1" applyBorder="1" applyProtection="1">
      <protection locked="0"/>
    </xf>
    <xf numFmtId="9" fontId="45" fillId="4" borderId="0" xfId="8" applyNumberFormat="1" applyFont="1" applyFill="1" applyBorder="1" applyProtection="1">
      <protection locked="0"/>
    </xf>
    <xf numFmtId="176" fontId="45" fillId="4" borderId="0" xfId="8" applyNumberFormat="1" applyFont="1" applyFill="1" applyBorder="1" applyProtection="1">
      <protection locked="0"/>
    </xf>
    <xf numFmtId="39" fontId="45" fillId="4" borderId="0" xfId="8" applyNumberFormat="1" applyFont="1" applyFill="1" applyBorder="1" applyProtection="1">
      <protection locked="0"/>
    </xf>
    <xf numFmtId="37" fontId="45" fillId="4" borderId="0" xfId="8" applyNumberFormat="1" applyFont="1" applyFill="1" applyBorder="1" applyProtection="1">
      <protection locked="0"/>
    </xf>
    <xf numFmtId="171" fontId="45" fillId="4" borderId="0" xfId="8" applyNumberFormat="1" applyFont="1" applyFill="1" applyBorder="1" applyProtection="1">
      <protection locked="0"/>
    </xf>
    <xf numFmtId="10" fontId="45" fillId="4" borderId="0" xfId="7" applyNumberFormat="1" applyFont="1" applyFill="1" applyBorder="1" applyProtection="1">
      <protection locked="0"/>
    </xf>
    <xf numFmtId="167" fontId="45" fillId="4" borderId="1" xfId="7" applyNumberFormat="1" applyFont="1" applyFill="1" applyBorder="1" applyProtection="1">
      <protection locked="0"/>
    </xf>
    <xf numFmtId="0" fontId="16" fillId="3" borderId="4" xfId="0" applyFont="1" applyFill="1" applyBorder="1"/>
    <xf numFmtId="0" fontId="15" fillId="3" borderId="4" xfId="0" applyFont="1" applyFill="1" applyBorder="1"/>
    <xf numFmtId="0" fontId="15" fillId="3" borderId="13" xfId="0" applyFont="1" applyFill="1" applyBorder="1"/>
    <xf numFmtId="0" fontId="47" fillId="0" borderId="0" xfId="3" applyFont="1" applyAlignment="1">
      <alignment horizontal="left"/>
    </xf>
    <xf numFmtId="0" fontId="44" fillId="0" borderId="14" xfId="0" applyFont="1" applyBorder="1" applyAlignment="1">
      <alignment horizontal="left"/>
    </xf>
    <xf numFmtId="0" fontId="44" fillId="0" borderId="14" xfId="0" applyFont="1" applyBorder="1"/>
    <xf numFmtId="0" fontId="44" fillId="0" borderId="14" xfId="0" applyFont="1" applyBorder="1" applyAlignment="1">
      <alignment horizontal="right"/>
    </xf>
    <xf numFmtId="0" fontId="44" fillId="0" borderId="1" xfId="0" applyFont="1" applyBorder="1" applyAlignment="1">
      <alignment horizontal="left"/>
    </xf>
    <xf numFmtId="0" fontId="44" fillId="0" borderId="1" xfId="0" applyFont="1" applyBorder="1" applyAlignment="1">
      <alignment horizontal="right"/>
    </xf>
    <xf numFmtId="5" fontId="45" fillId="0" borderId="0" xfId="0" applyNumberFormat="1" applyFont="1"/>
    <xf numFmtId="9" fontId="45" fillId="0" borderId="0" xfId="7" applyFont="1" applyBorder="1" applyProtection="1"/>
    <xf numFmtId="175" fontId="45" fillId="0" borderId="1" xfId="0" applyNumberFormat="1" applyFont="1" applyBorder="1"/>
    <xf numFmtId="9" fontId="44" fillId="0" borderId="0" xfId="7" applyFont="1" applyBorder="1" applyProtection="1"/>
    <xf numFmtId="166" fontId="44" fillId="0" borderId="0" xfId="8" applyNumberFormat="1" applyFont="1" applyBorder="1" applyProtection="1"/>
    <xf numFmtId="166" fontId="38" fillId="0" borderId="0" xfId="8" applyNumberFormat="1" applyFont="1" applyBorder="1" applyProtection="1"/>
    <xf numFmtId="175" fontId="44" fillId="0" borderId="0" xfId="0" applyNumberFormat="1" applyFont="1"/>
    <xf numFmtId="41" fontId="44" fillId="0" borderId="0" xfId="0" applyNumberFormat="1" applyFont="1"/>
    <xf numFmtId="0" fontId="15" fillId="3" borderId="4" xfId="0" applyFont="1" applyFill="1" applyBorder="1" applyAlignment="1">
      <alignment horizontal="center"/>
    </xf>
    <xf numFmtId="0" fontId="15" fillId="0" borderId="0" xfId="0" applyFont="1" applyAlignment="1">
      <alignment horizontal="center"/>
    </xf>
    <xf numFmtId="0" fontId="44" fillId="0" borderId="14" xfId="0" applyFont="1" applyBorder="1" applyAlignment="1">
      <alignment horizontal="right" wrapText="1"/>
    </xf>
    <xf numFmtId="0" fontId="45" fillId="0" borderId="1" xfId="0" applyFont="1" applyBorder="1" applyAlignment="1">
      <alignment horizontal="right" wrapText="1"/>
    </xf>
    <xf numFmtId="175" fontId="45" fillId="0" borderId="0" xfId="8" applyNumberFormat="1" applyFont="1" applyBorder="1" applyProtection="1"/>
    <xf numFmtId="175" fontId="45" fillId="0" borderId="1" xfId="8" applyNumberFormat="1" applyFont="1" applyBorder="1" applyProtection="1"/>
    <xf numFmtId="37" fontId="44" fillId="0" borderId="0" xfId="8" applyNumberFormat="1" applyFont="1" applyBorder="1" applyProtection="1"/>
    <xf numFmtId="0" fontId="45" fillId="4" borderId="0" xfId="0" applyFont="1" applyFill="1" applyProtection="1">
      <protection locked="0"/>
    </xf>
    <xf numFmtId="5" fontId="45" fillId="4" borderId="0" xfId="0" applyNumberFormat="1" applyFont="1" applyFill="1" applyProtection="1">
      <protection locked="0"/>
    </xf>
    <xf numFmtId="9" fontId="45" fillId="4" borderId="0" xfId="0" applyNumberFormat="1" applyFont="1" applyFill="1" applyProtection="1">
      <protection locked="0"/>
    </xf>
    <xf numFmtId="175" fontId="45" fillId="4" borderId="0" xfId="6" applyNumberFormat="1" applyFont="1" applyFill="1" applyBorder="1" applyProtection="1">
      <protection locked="0"/>
    </xf>
    <xf numFmtId="175" fontId="44" fillId="0" borderId="0" xfId="8" applyNumberFormat="1" applyFont="1" applyBorder="1" applyProtection="1"/>
    <xf numFmtId="175" fontId="16" fillId="0" borderId="0" xfId="0" applyNumberFormat="1" applyFont="1"/>
    <xf numFmtId="175" fontId="0" fillId="0" borderId="0" xfId="0" applyNumberFormat="1"/>
    <xf numFmtId="165" fontId="13" fillId="0" borderId="0" xfId="5" applyNumberFormat="1" applyFont="1" applyFill="1" applyBorder="1" applyAlignment="1" applyProtection="1"/>
    <xf numFmtId="9" fontId="45" fillId="0" borderId="14" xfId="7" applyFont="1" applyFill="1" applyBorder="1" applyAlignment="1" applyProtection="1">
      <alignment horizontal="right"/>
    </xf>
    <xf numFmtId="0" fontId="54" fillId="0" borderId="0" xfId="0" applyFont="1" applyAlignment="1">
      <alignment horizontal="center"/>
    </xf>
    <xf numFmtId="165" fontId="35" fillId="0" borderId="14" xfId="5" applyNumberFormat="1" applyFont="1" applyFill="1" applyBorder="1" applyAlignment="1" applyProtection="1"/>
    <xf numFmtId="165" fontId="16" fillId="0" borderId="0" xfId="5" applyNumberFormat="1" applyFont="1" applyFill="1" applyBorder="1" applyProtection="1"/>
    <xf numFmtId="0" fontId="48" fillId="0" borderId="0" xfId="3" applyFont="1" applyAlignment="1">
      <alignment horizontal="center"/>
    </xf>
    <xf numFmtId="165" fontId="44" fillId="0" borderId="24" xfId="5" applyNumberFormat="1" applyFont="1" applyFill="1" applyBorder="1" applyProtection="1"/>
    <xf numFmtId="165" fontId="44" fillId="0" borderId="24" xfId="5" applyNumberFormat="1" applyFont="1" applyFill="1" applyBorder="1" applyAlignment="1" applyProtection="1">
      <alignment horizontal="right" wrapText="1"/>
    </xf>
    <xf numFmtId="165" fontId="51" fillId="0" borderId="0" xfId="10" applyNumberFormat="1" applyFont="1" applyProtection="1"/>
    <xf numFmtId="0" fontId="14" fillId="0" borderId="0" xfId="0" applyFont="1" applyAlignment="1">
      <alignment horizontal="center"/>
    </xf>
    <xf numFmtId="9" fontId="16" fillId="0" borderId="0" xfId="7" applyFont="1" applyFill="1" applyBorder="1" applyProtection="1"/>
    <xf numFmtId="165" fontId="45" fillId="0" borderId="0" xfId="5" applyNumberFormat="1" applyFont="1" applyFill="1" applyBorder="1" applyProtection="1"/>
    <xf numFmtId="175" fontId="45" fillId="0" borderId="0" xfId="5" applyNumberFormat="1" applyFont="1" applyFill="1" applyBorder="1" applyProtection="1"/>
    <xf numFmtId="7" fontId="45" fillId="0" borderId="0" xfId="5" applyNumberFormat="1" applyFont="1" applyFill="1" applyBorder="1" applyProtection="1"/>
    <xf numFmtId="167" fontId="45" fillId="0" borderId="0" xfId="7" applyNumberFormat="1" applyFont="1" applyFill="1" applyBorder="1" applyProtection="1"/>
    <xf numFmtId="0" fontId="51" fillId="0" borderId="0" xfId="10" applyFont="1" applyProtection="1"/>
    <xf numFmtId="2" fontId="45" fillId="0" borderId="0" xfId="7" applyNumberFormat="1" applyFont="1" applyFill="1" applyBorder="1" applyProtection="1"/>
    <xf numFmtId="3" fontId="16" fillId="0" borderId="0" xfId="0" applyNumberFormat="1" applyFont="1" applyAlignment="1">
      <alignment horizontal="right" indent="3"/>
    </xf>
    <xf numFmtId="9" fontId="15" fillId="0" borderId="0" xfId="7" applyFont="1" applyFill="1" applyBorder="1" applyProtection="1"/>
    <xf numFmtId="175" fontId="45" fillId="0" borderId="1" xfId="5" applyNumberFormat="1" applyFont="1" applyFill="1" applyBorder="1" applyProtection="1"/>
    <xf numFmtId="7" fontId="45" fillId="0" borderId="1" xfId="5" applyNumberFormat="1" applyFont="1" applyFill="1" applyBorder="1" applyProtection="1"/>
    <xf numFmtId="167" fontId="45" fillId="0" borderId="1" xfId="7" applyNumberFormat="1" applyFont="1" applyFill="1" applyBorder="1" applyProtection="1"/>
    <xf numFmtId="1" fontId="16" fillId="0" borderId="0" xfId="0" applyNumberFormat="1" applyFont="1" applyAlignment="1">
      <alignment horizontal="right" indent="3"/>
    </xf>
    <xf numFmtId="43" fontId="44" fillId="0" borderId="0" xfId="5" applyFont="1" applyFill="1" applyBorder="1" applyAlignment="1" applyProtection="1">
      <alignment horizontal="right"/>
    </xf>
    <xf numFmtId="165" fontId="43" fillId="0" borderId="0" xfId="5" applyNumberFormat="1" applyFont="1" applyFill="1" applyBorder="1" applyAlignment="1" applyProtection="1">
      <alignment horizontal="left"/>
    </xf>
    <xf numFmtId="175" fontId="44" fillId="0" borderId="0" xfId="5" applyNumberFormat="1" applyFont="1" applyFill="1" applyBorder="1" applyProtection="1"/>
    <xf numFmtId="7" fontId="44" fillId="0" borderId="0" xfId="5" applyNumberFormat="1" applyFont="1" applyFill="1" applyBorder="1" applyProtection="1"/>
    <xf numFmtId="167" fontId="44" fillId="0" borderId="0" xfId="7" applyNumberFormat="1" applyFont="1" applyFill="1" applyBorder="1" applyProtection="1"/>
    <xf numFmtId="2" fontId="16" fillId="0" borderId="0" xfId="0" applyNumberFormat="1" applyFont="1" applyAlignment="1">
      <alignment horizontal="right" indent="3"/>
    </xf>
    <xf numFmtId="0" fontId="20" fillId="0" borderId="0" xfId="10" applyFill="1" applyBorder="1" applyProtection="1"/>
    <xf numFmtId="165" fontId="44" fillId="0" borderId="0" xfId="5" applyNumberFormat="1" applyFont="1" applyFill="1" applyBorder="1" applyAlignment="1" applyProtection="1"/>
    <xf numFmtId="43" fontId="44" fillId="0" borderId="0" xfId="5" applyFont="1" applyFill="1" applyBorder="1" applyProtection="1"/>
    <xf numFmtId="9" fontId="44" fillId="0" borderId="0" xfId="7" applyFont="1" applyFill="1" applyBorder="1" applyProtection="1"/>
    <xf numFmtId="43" fontId="52" fillId="0" borderId="0" xfId="6" applyFont="1" applyFill="1" applyBorder="1" applyProtection="1"/>
    <xf numFmtId="165" fontId="38" fillId="0" borderId="24" xfId="5" applyNumberFormat="1" applyFont="1" applyFill="1" applyBorder="1" applyProtection="1"/>
    <xf numFmtId="176" fontId="45" fillId="0" borderId="0" xfId="5" applyNumberFormat="1" applyFont="1" applyFill="1" applyBorder="1" applyProtection="1"/>
    <xf numFmtId="0" fontId="52" fillId="0" borderId="0" xfId="10" applyFont="1" applyProtection="1"/>
    <xf numFmtId="9" fontId="16" fillId="0" borderId="0" xfId="4" applyNumberFormat="1" applyFont="1" applyAlignment="1">
      <alignment horizontal="right" indent="3"/>
    </xf>
    <xf numFmtId="2" fontId="16" fillId="0" borderId="0" xfId="4" applyNumberFormat="1" applyFont="1" applyAlignment="1">
      <alignment horizontal="right" indent="3"/>
    </xf>
    <xf numFmtId="0" fontId="16" fillId="0" borderId="0" xfId="0" applyFont="1" applyAlignment="1">
      <alignment horizontal="right" indent="3"/>
    </xf>
    <xf numFmtId="9" fontId="16" fillId="0" borderId="0" xfId="7" applyFont="1" applyFill="1" applyBorder="1" applyAlignment="1" applyProtection="1">
      <alignment horizontal="right" indent="3"/>
    </xf>
    <xf numFmtId="167" fontId="45" fillId="0" borderId="0" xfId="7" applyNumberFormat="1" applyFont="1" applyFill="1" applyBorder="1" applyAlignment="1" applyProtection="1">
      <alignment horizontal="right"/>
    </xf>
    <xf numFmtId="176" fontId="45" fillId="0" borderId="1" xfId="5" applyNumberFormat="1" applyFont="1" applyFill="1" applyBorder="1" applyProtection="1"/>
    <xf numFmtId="165" fontId="38" fillId="0" borderId="0" xfId="5" applyNumberFormat="1" applyFont="1" applyFill="1" applyBorder="1" applyAlignment="1" applyProtection="1">
      <alignment horizontal="right"/>
    </xf>
    <xf numFmtId="165" fontId="37" fillId="0" borderId="0" xfId="5" applyNumberFormat="1" applyFont="1" applyFill="1" applyBorder="1" applyAlignment="1" applyProtection="1"/>
    <xf numFmtId="175" fontId="38" fillId="0" borderId="0" xfId="5" applyNumberFormat="1" applyFont="1" applyFill="1" applyBorder="1" applyProtection="1"/>
    <xf numFmtId="176" fontId="44" fillId="0" borderId="0" xfId="5" applyNumberFormat="1" applyFont="1" applyFill="1" applyBorder="1" applyProtection="1"/>
    <xf numFmtId="165" fontId="38" fillId="0" borderId="0" xfId="5" applyNumberFormat="1" applyFont="1" applyFill="1" applyBorder="1" applyProtection="1"/>
    <xf numFmtId="43" fontId="45" fillId="0" borderId="0" xfId="5" applyFont="1" applyFill="1" applyBorder="1" applyProtection="1"/>
    <xf numFmtId="10" fontId="45" fillId="0" borderId="0" xfId="7" applyNumberFormat="1" applyFont="1" applyFill="1" applyBorder="1" applyProtection="1"/>
    <xf numFmtId="5" fontId="45" fillId="0" borderId="0" xfId="5" applyNumberFormat="1" applyFont="1" applyFill="1" applyBorder="1" applyProtection="1"/>
    <xf numFmtId="5" fontId="45" fillId="0" borderId="1" xfId="5" applyNumberFormat="1" applyFont="1" applyFill="1" applyBorder="1" applyProtection="1"/>
    <xf numFmtId="5" fontId="38" fillId="0" borderId="0" xfId="5" applyNumberFormat="1" applyFont="1" applyFill="1" applyBorder="1" applyProtection="1"/>
    <xf numFmtId="165" fontId="38" fillId="0" borderId="1" xfId="5" applyNumberFormat="1" applyFont="1" applyFill="1" applyBorder="1" applyAlignment="1" applyProtection="1">
      <alignment horizontal="right"/>
    </xf>
    <xf numFmtId="165" fontId="37" fillId="0" borderId="1" xfId="5" applyNumberFormat="1" applyFont="1" applyFill="1" applyBorder="1" applyAlignment="1" applyProtection="1"/>
    <xf numFmtId="5" fontId="38" fillId="0" borderId="1" xfId="5" applyNumberFormat="1" applyFont="1" applyFill="1" applyBorder="1" applyProtection="1"/>
    <xf numFmtId="167" fontId="44" fillId="0" borderId="1" xfId="7" applyNumberFormat="1" applyFont="1" applyFill="1" applyBorder="1" applyProtection="1"/>
    <xf numFmtId="2" fontId="45" fillId="0" borderId="1" xfId="7" applyNumberFormat="1" applyFont="1" applyFill="1" applyBorder="1" applyProtection="1"/>
    <xf numFmtId="165" fontId="38" fillId="0" borderId="0" xfId="5" applyNumberFormat="1" applyFont="1" applyFill="1" applyBorder="1" applyAlignment="1" applyProtection="1">
      <alignment horizontal="left"/>
    </xf>
    <xf numFmtId="5" fontId="44" fillId="0" borderId="0" xfId="5" applyNumberFormat="1" applyFont="1" applyFill="1" applyBorder="1" applyProtection="1"/>
    <xf numFmtId="165" fontId="38" fillId="0" borderId="1" xfId="5" applyNumberFormat="1" applyFont="1" applyFill="1" applyBorder="1" applyAlignment="1" applyProtection="1"/>
    <xf numFmtId="5" fontId="44" fillId="0" borderId="1" xfId="5" applyNumberFormat="1" applyFont="1" applyFill="1" applyBorder="1" applyProtection="1"/>
    <xf numFmtId="7" fontId="44" fillId="0" borderId="1" xfId="5" applyNumberFormat="1" applyFont="1" applyFill="1" applyBorder="1" applyProtection="1"/>
    <xf numFmtId="165" fontId="38" fillId="0" borderId="24" xfId="5" applyNumberFormat="1" applyFont="1" applyFill="1" applyBorder="1" applyAlignment="1" applyProtection="1"/>
    <xf numFmtId="165" fontId="44" fillId="0" borderId="0" xfId="5" applyNumberFormat="1" applyFont="1" applyFill="1" applyBorder="1" applyProtection="1"/>
    <xf numFmtId="168" fontId="17" fillId="0" borderId="0" xfId="5" applyNumberFormat="1" applyFont="1" applyBorder="1" applyProtection="1"/>
    <xf numFmtId="43" fontId="35" fillId="0" borderId="0" xfId="5" applyFont="1" applyFill="1" applyBorder="1" applyAlignment="1" applyProtection="1">
      <alignment horizontal="right"/>
    </xf>
    <xf numFmtId="44" fontId="18" fillId="0" borderId="0" xfId="8" applyFont="1" applyBorder="1" applyProtection="1"/>
    <xf numFmtId="165" fontId="38" fillId="0" borderId="0" xfId="6" applyNumberFormat="1" applyFont="1" applyBorder="1" applyAlignment="1" applyProtection="1">
      <alignment horizontal="left"/>
    </xf>
    <xf numFmtId="10" fontId="35" fillId="0" borderId="0" xfId="7" applyNumberFormat="1" applyFont="1" applyBorder="1" applyProtection="1"/>
    <xf numFmtId="165" fontId="38" fillId="0" borderId="1" xfId="6" applyNumberFormat="1" applyFont="1" applyBorder="1" applyAlignment="1" applyProtection="1">
      <alignment horizontal="left"/>
    </xf>
    <xf numFmtId="6" fontId="45" fillId="0" borderId="1" xfId="5" applyNumberFormat="1" applyFont="1" applyFill="1" applyBorder="1" applyProtection="1"/>
    <xf numFmtId="165" fontId="16" fillId="0" borderId="24" xfId="5" applyNumberFormat="1" applyFont="1" applyFill="1" applyBorder="1" applyAlignment="1" applyProtection="1">
      <alignment horizontal="left"/>
    </xf>
    <xf numFmtId="165" fontId="22" fillId="0" borderId="24" xfId="5" applyNumberFormat="1" applyFont="1" applyFill="1" applyBorder="1" applyAlignment="1" applyProtection="1">
      <alignment horizontal="right" wrapText="1"/>
    </xf>
    <xf numFmtId="165" fontId="49" fillId="0" borderId="24" xfId="5" applyNumberFormat="1" applyFont="1" applyFill="1" applyBorder="1" applyAlignment="1" applyProtection="1">
      <alignment horizontal="right" wrapText="1"/>
    </xf>
    <xf numFmtId="44" fontId="21" fillId="0" borderId="0" xfId="8" applyFont="1" applyBorder="1" applyProtection="1"/>
    <xf numFmtId="43" fontId="16" fillId="0" borderId="0" xfId="5" applyFont="1" applyFill="1" applyBorder="1" applyAlignment="1" applyProtection="1"/>
    <xf numFmtId="165" fontId="16" fillId="0" borderId="0" xfId="5" applyNumberFormat="1" applyFont="1" applyFill="1" applyBorder="1" applyAlignment="1" applyProtection="1">
      <alignment horizontal="left"/>
    </xf>
    <xf numFmtId="165" fontId="19" fillId="0" borderId="0" xfId="5" applyNumberFormat="1" applyFont="1" applyFill="1" applyBorder="1" applyAlignment="1" applyProtection="1">
      <alignment horizontal="right" wrapText="1"/>
    </xf>
    <xf numFmtId="43" fontId="16" fillId="0" borderId="0" xfId="5" applyFont="1" applyFill="1" applyBorder="1" applyAlignment="1" applyProtection="1">
      <alignment horizontal="right" indent="2"/>
    </xf>
    <xf numFmtId="165" fontId="23" fillId="0" borderId="0" xfId="6" applyNumberFormat="1" applyFont="1" applyBorder="1" applyAlignment="1" applyProtection="1">
      <alignment horizontal="right" indent="2"/>
    </xf>
    <xf numFmtId="165" fontId="16" fillId="0" borderId="1" xfId="5" applyNumberFormat="1" applyFont="1" applyFill="1" applyBorder="1" applyAlignment="1" applyProtection="1">
      <alignment horizontal="left"/>
    </xf>
    <xf numFmtId="43" fontId="16" fillId="0" borderId="1" xfId="5" applyFont="1" applyFill="1" applyBorder="1" applyAlignment="1" applyProtection="1">
      <alignment horizontal="right" indent="2"/>
    </xf>
    <xf numFmtId="165" fontId="23" fillId="0" borderId="1" xfId="6" applyNumberFormat="1" applyFont="1" applyBorder="1" applyAlignment="1" applyProtection="1">
      <alignment horizontal="right" indent="2"/>
    </xf>
    <xf numFmtId="165" fontId="11" fillId="0" borderId="0" xfId="5" applyNumberFormat="1" applyFont="1" applyFill="1" applyBorder="1" applyAlignment="1" applyProtection="1">
      <alignment horizontal="right"/>
    </xf>
    <xf numFmtId="0" fontId="26" fillId="0" borderId="0" xfId="10" applyFont="1" applyBorder="1" applyProtection="1"/>
    <xf numFmtId="165" fontId="17" fillId="0" borderId="0" xfId="5" applyNumberFormat="1" applyFont="1" applyFill="1" applyBorder="1" applyAlignment="1" applyProtection="1">
      <alignment horizontal="left"/>
    </xf>
    <xf numFmtId="169" fontId="17" fillId="0" borderId="0" xfId="5" applyNumberFormat="1" applyFont="1" applyFill="1" applyBorder="1" applyAlignment="1" applyProtection="1">
      <alignment horizontal="center"/>
    </xf>
    <xf numFmtId="39" fontId="28" fillId="0" borderId="0" xfId="8" applyNumberFormat="1" applyFont="1" applyFill="1" applyBorder="1" applyProtection="1"/>
    <xf numFmtId="39" fontId="17" fillId="0" borderId="0" xfId="8" applyNumberFormat="1" applyFont="1" applyFill="1" applyBorder="1" applyProtection="1"/>
    <xf numFmtId="175" fontId="45" fillId="4" borderId="0" xfId="5" applyNumberFormat="1" applyFont="1" applyFill="1" applyBorder="1" applyProtection="1">
      <protection locked="0"/>
    </xf>
    <xf numFmtId="3" fontId="45" fillId="4" borderId="0" xfId="0" applyNumberFormat="1" applyFont="1" applyFill="1" applyAlignment="1" applyProtection="1">
      <alignment horizontal="right" indent="3"/>
      <protection locked="0"/>
    </xf>
    <xf numFmtId="2" fontId="45" fillId="4" borderId="0" xfId="0" applyNumberFormat="1" applyFont="1" applyFill="1" applyAlignment="1" applyProtection="1">
      <alignment horizontal="right" indent="3"/>
      <protection locked="0"/>
    </xf>
    <xf numFmtId="9" fontId="45" fillId="4" borderId="0" xfId="4" applyNumberFormat="1" applyFont="1" applyFill="1" applyAlignment="1" applyProtection="1">
      <alignment horizontal="right" indent="3"/>
      <protection locked="0"/>
    </xf>
    <xf numFmtId="2" fontId="45" fillId="4" borderId="0" xfId="4" applyNumberFormat="1" applyFont="1" applyFill="1" applyAlignment="1" applyProtection="1">
      <alignment horizontal="right" indent="3"/>
      <protection locked="0"/>
    </xf>
    <xf numFmtId="0" fontId="45" fillId="4" borderId="0" xfId="0" applyFont="1" applyFill="1" applyAlignment="1" applyProtection="1">
      <alignment horizontal="right" indent="3"/>
      <protection locked="0"/>
    </xf>
    <xf numFmtId="9" fontId="45" fillId="4" borderId="1" xfId="7" applyFont="1" applyFill="1" applyBorder="1" applyAlignment="1" applyProtection="1">
      <alignment horizontal="right" indent="3"/>
      <protection locked="0"/>
    </xf>
    <xf numFmtId="165" fontId="45" fillId="0" borderId="19" xfId="5" applyNumberFormat="1" applyFont="1" applyFill="1" applyBorder="1" applyAlignment="1" applyProtection="1"/>
    <xf numFmtId="165" fontId="45" fillId="0" borderId="20" xfId="5" applyNumberFormat="1" applyFont="1" applyFill="1" applyBorder="1" applyAlignment="1" applyProtection="1"/>
    <xf numFmtId="176" fontId="16" fillId="0" borderId="0" xfId="0" applyNumberFormat="1" applyFont="1" applyAlignment="1">
      <alignment horizontal="center"/>
    </xf>
    <xf numFmtId="165" fontId="44" fillId="0" borderId="26" xfId="5" applyNumberFormat="1" applyFont="1" applyFill="1" applyBorder="1" applyProtection="1"/>
    <xf numFmtId="165" fontId="44" fillId="0" borderId="25" xfId="5" applyNumberFormat="1" applyFont="1" applyFill="1" applyBorder="1" applyAlignment="1" applyProtection="1">
      <alignment horizontal="left" wrapText="1"/>
    </xf>
    <xf numFmtId="165" fontId="44" fillId="0" borderId="26" xfId="5" applyNumberFormat="1" applyFont="1" applyFill="1" applyBorder="1" applyAlignment="1" applyProtection="1">
      <alignment horizontal="center" wrapText="1"/>
    </xf>
    <xf numFmtId="165" fontId="44" fillId="0" borderId="24" xfId="5" applyNumberFormat="1" applyFont="1" applyFill="1" applyBorder="1" applyAlignment="1" applyProtection="1">
      <alignment horizontal="center" wrapText="1"/>
    </xf>
    <xf numFmtId="165" fontId="44" fillId="0" borderId="25" xfId="5" applyNumberFormat="1" applyFont="1" applyFill="1" applyBorder="1" applyAlignment="1" applyProtection="1">
      <alignment horizontal="center" wrapText="1"/>
    </xf>
    <xf numFmtId="0" fontId="16" fillId="0" borderId="1" xfId="0" applyFont="1" applyBorder="1" applyAlignment="1">
      <alignment horizontal="left"/>
    </xf>
    <xf numFmtId="0" fontId="16" fillId="0" borderId="1" xfId="0" applyFont="1" applyBorder="1" applyAlignment="1">
      <alignment horizontal="center"/>
    </xf>
    <xf numFmtId="0" fontId="26" fillId="0" borderId="0" xfId="10" applyFont="1" applyProtection="1"/>
    <xf numFmtId="0" fontId="17" fillId="0" borderId="15" xfId="0" applyFont="1" applyBorder="1"/>
    <xf numFmtId="165" fontId="45" fillId="0" borderId="18" xfId="5" applyNumberFormat="1" applyFont="1" applyFill="1" applyBorder="1" applyAlignment="1" applyProtection="1">
      <alignment horizontal="center"/>
    </xf>
    <xf numFmtId="9" fontId="45" fillId="0" borderId="18" xfId="7" applyFont="1" applyFill="1" applyBorder="1" applyProtection="1"/>
    <xf numFmtId="165" fontId="45" fillId="0" borderId="15" xfId="5" applyNumberFormat="1" applyFont="1" applyFill="1" applyBorder="1" applyProtection="1"/>
    <xf numFmtId="0" fontId="16" fillId="0" borderId="0" xfId="0" applyFont="1" applyAlignment="1">
      <alignment horizontal="left"/>
    </xf>
    <xf numFmtId="167" fontId="45" fillId="0" borderId="18" xfId="7" applyNumberFormat="1" applyFont="1" applyFill="1" applyBorder="1" applyProtection="1"/>
    <xf numFmtId="175" fontId="45" fillId="0" borderId="15" xfId="5" applyNumberFormat="1" applyFont="1" applyFill="1" applyBorder="1" applyProtection="1"/>
    <xf numFmtId="175" fontId="45" fillId="0" borderId="0" xfId="7" applyNumberFormat="1" applyFont="1" applyFill="1" applyBorder="1" applyProtection="1"/>
    <xf numFmtId="167" fontId="45" fillId="0" borderId="17" xfId="7" applyNumberFormat="1" applyFont="1" applyFill="1" applyBorder="1" applyProtection="1"/>
    <xf numFmtId="165" fontId="45" fillId="0" borderId="0" xfId="5" applyNumberFormat="1" applyFont="1" applyFill="1" applyBorder="1" applyAlignment="1" applyProtection="1"/>
    <xf numFmtId="175" fontId="45" fillId="0" borderId="16" xfId="5" applyNumberFormat="1" applyFont="1" applyFill="1" applyBorder="1" applyProtection="1"/>
    <xf numFmtId="175" fontId="45" fillId="0" borderId="1" xfId="7" applyNumberFormat="1" applyFont="1" applyFill="1" applyBorder="1" applyProtection="1"/>
    <xf numFmtId="43" fontId="44" fillId="0" borderId="15" xfId="5" applyFont="1" applyFill="1" applyBorder="1" applyAlignment="1" applyProtection="1">
      <alignment horizontal="right"/>
    </xf>
    <xf numFmtId="175" fontId="44" fillId="0" borderId="0" xfId="5" applyNumberFormat="1" applyFont="1" applyFill="1" applyBorder="1" applyAlignment="1" applyProtection="1"/>
    <xf numFmtId="167" fontId="44" fillId="0" borderId="18" xfId="7" applyNumberFormat="1" applyFont="1" applyFill="1" applyBorder="1" applyProtection="1"/>
    <xf numFmtId="175" fontId="44" fillId="0" borderId="0" xfId="7" applyNumberFormat="1" applyFont="1" applyFill="1" applyBorder="1" applyProtection="1"/>
    <xf numFmtId="165" fontId="38" fillId="0" borderId="15" xfId="5" applyNumberFormat="1" applyFont="1" applyFill="1" applyBorder="1" applyProtection="1"/>
    <xf numFmtId="43" fontId="17" fillId="0" borderId="0" xfId="6" applyFont="1" applyFill="1" applyBorder="1" applyProtection="1"/>
    <xf numFmtId="175" fontId="45" fillId="0" borderId="0" xfId="6" applyNumberFormat="1" applyFont="1" applyFill="1" applyBorder="1" applyProtection="1"/>
    <xf numFmtId="165" fontId="43" fillId="0" borderId="18" xfId="5" applyNumberFormat="1" applyFont="1" applyFill="1" applyBorder="1" applyAlignment="1" applyProtection="1">
      <alignment horizontal="left"/>
    </xf>
    <xf numFmtId="175" fontId="45" fillId="0" borderId="0" xfId="6" applyNumberFormat="1" applyFont="1" applyBorder="1" applyProtection="1"/>
    <xf numFmtId="167" fontId="45" fillId="0" borderId="18" xfId="7" applyNumberFormat="1" applyFont="1" applyBorder="1" applyProtection="1"/>
    <xf numFmtId="0" fontId="16" fillId="0" borderId="0" xfId="4" applyFont="1" applyAlignment="1">
      <alignment horizontal="left"/>
    </xf>
    <xf numFmtId="172" fontId="45" fillId="0" borderId="0" xfId="0" applyNumberFormat="1" applyFont="1"/>
    <xf numFmtId="165" fontId="45" fillId="0" borderId="18" xfId="5" applyNumberFormat="1" applyFont="1" applyFill="1" applyBorder="1" applyAlignment="1" applyProtection="1">
      <alignment horizontal="left"/>
    </xf>
    <xf numFmtId="9" fontId="45" fillId="0" borderId="15" xfId="7" applyFont="1" applyBorder="1" applyProtection="1"/>
    <xf numFmtId="167" fontId="45" fillId="0" borderId="15" xfId="7" applyNumberFormat="1" applyFont="1" applyFill="1" applyBorder="1" applyAlignment="1" applyProtection="1">
      <alignment horizontal="right"/>
    </xf>
    <xf numFmtId="167" fontId="45" fillId="0" borderId="15" xfId="7" applyNumberFormat="1" applyFont="1" applyFill="1" applyBorder="1" applyProtection="1"/>
    <xf numFmtId="165" fontId="38" fillId="0" borderId="15" xfId="5" applyNumberFormat="1" applyFont="1" applyFill="1" applyBorder="1" applyAlignment="1" applyProtection="1">
      <alignment horizontal="right"/>
    </xf>
    <xf numFmtId="165" fontId="37" fillId="0" borderId="18" xfId="5" applyNumberFormat="1" applyFont="1" applyFill="1" applyBorder="1" applyAlignment="1" applyProtection="1"/>
    <xf numFmtId="175" fontId="38" fillId="0" borderId="15" xfId="5" applyNumberFormat="1" applyFont="1" applyFill="1" applyBorder="1" applyProtection="1"/>
    <xf numFmtId="10" fontId="45" fillId="0" borderId="15" xfId="7" applyNumberFormat="1" applyFont="1" applyFill="1" applyBorder="1" applyProtection="1"/>
    <xf numFmtId="165" fontId="38" fillId="0" borderId="18" xfId="5" applyNumberFormat="1" applyFont="1" applyFill="1" applyBorder="1" applyAlignment="1" applyProtection="1"/>
    <xf numFmtId="175" fontId="44" fillId="0" borderId="15" xfId="5" applyNumberFormat="1" applyFont="1" applyFill="1" applyBorder="1" applyProtection="1"/>
    <xf numFmtId="165" fontId="38" fillId="0" borderId="19" xfId="5" applyNumberFormat="1" applyFont="1" applyFill="1" applyBorder="1" applyAlignment="1" applyProtection="1"/>
    <xf numFmtId="165" fontId="38" fillId="0" borderId="20" xfId="5" applyNumberFormat="1" applyFont="1" applyFill="1" applyBorder="1" applyAlignment="1" applyProtection="1"/>
    <xf numFmtId="175" fontId="44" fillId="0" borderId="14" xfId="5" applyNumberFormat="1" applyFont="1" applyFill="1" applyBorder="1" applyProtection="1"/>
    <xf numFmtId="176" fontId="44" fillId="0" borderId="14" xfId="5" applyNumberFormat="1" applyFont="1" applyFill="1" applyBorder="1" applyProtection="1"/>
    <xf numFmtId="167" fontId="44" fillId="0" borderId="20" xfId="7" applyNumberFormat="1" applyFont="1" applyFill="1" applyBorder="1" applyProtection="1"/>
    <xf numFmtId="165" fontId="44" fillId="0" borderId="19" xfId="5" applyNumberFormat="1" applyFont="1" applyFill="1" applyBorder="1" applyProtection="1"/>
    <xf numFmtId="165" fontId="44" fillId="0" borderId="14" xfId="5" applyNumberFormat="1" applyFont="1" applyFill="1" applyBorder="1" applyProtection="1"/>
    <xf numFmtId="175" fontId="44" fillId="0" borderId="19" xfId="5" applyNumberFormat="1" applyFont="1" applyFill="1" applyBorder="1" applyProtection="1"/>
    <xf numFmtId="175" fontId="44" fillId="0" borderId="14" xfId="7" applyNumberFormat="1" applyFont="1" applyFill="1" applyBorder="1" applyProtection="1"/>
    <xf numFmtId="167" fontId="16" fillId="0" borderId="1" xfId="0" applyNumberFormat="1" applyFont="1" applyBorder="1" applyAlignment="1">
      <alignment horizontal="center"/>
    </xf>
    <xf numFmtId="176" fontId="16" fillId="0" borderId="1" xfId="0" applyNumberFormat="1" applyFont="1" applyBorder="1" applyAlignment="1">
      <alignment horizontal="center"/>
    </xf>
    <xf numFmtId="165" fontId="38" fillId="0" borderId="16" xfId="5" applyNumberFormat="1" applyFont="1" applyFill="1" applyBorder="1" applyAlignment="1" applyProtection="1"/>
    <xf numFmtId="165" fontId="38" fillId="0" borderId="17" xfId="5" applyNumberFormat="1" applyFont="1" applyFill="1" applyBorder="1" applyAlignment="1" applyProtection="1"/>
    <xf numFmtId="175" fontId="44" fillId="0" borderId="1" xfId="5" applyNumberFormat="1" applyFont="1" applyFill="1" applyBorder="1" applyProtection="1"/>
    <xf numFmtId="176" fontId="44" fillId="0" borderId="1" xfId="5" applyNumberFormat="1" applyFont="1" applyFill="1" applyBorder="1" applyProtection="1"/>
    <xf numFmtId="167" fontId="44" fillId="0" borderId="17" xfId="7" applyNumberFormat="1" applyFont="1" applyFill="1" applyBorder="1" applyProtection="1"/>
    <xf numFmtId="165" fontId="44" fillId="0" borderId="16" xfId="5" applyNumberFormat="1" applyFont="1" applyFill="1" applyBorder="1" applyProtection="1"/>
    <xf numFmtId="165" fontId="44" fillId="0" borderId="1" xfId="5" applyNumberFormat="1" applyFont="1" applyFill="1" applyBorder="1" applyProtection="1"/>
    <xf numFmtId="175" fontId="44" fillId="0" borderId="16" xfId="5" applyNumberFormat="1" applyFont="1" applyFill="1" applyBorder="1" applyProtection="1"/>
    <xf numFmtId="175" fontId="44" fillId="0" borderId="1" xfId="7" applyNumberFormat="1" applyFont="1" applyFill="1" applyBorder="1" applyProtection="1"/>
    <xf numFmtId="165" fontId="38" fillId="0" borderId="0" xfId="5" applyNumberFormat="1" applyFont="1" applyFill="1" applyBorder="1" applyAlignment="1" applyProtection="1"/>
    <xf numFmtId="165" fontId="38" fillId="0" borderId="14" xfId="5" applyNumberFormat="1" applyFont="1" applyFill="1" applyBorder="1" applyAlignment="1" applyProtection="1">
      <alignment vertical="center"/>
    </xf>
    <xf numFmtId="43" fontId="35" fillId="0" borderId="14" xfId="5" applyFont="1" applyFill="1" applyBorder="1" applyAlignment="1" applyProtection="1">
      <alignment horizontal="right" vertical="center"/>
    </xf>
    <xf numFmtId="165" fontId="38" fillId="0" borderId="0" xfId="6" applyNumberFormat="1" applyFont="1" applyBorder="1" applyAlignment="1" applyProtection="1">
      <alignment vertical="center"/>
    </xf>
    <xf numFmtId="10" fontId="35" fillId="0" borderId="0" xfId="7" applyNumberFormat="1" applyFont="1" applyBorder="1" applyAlignment="1" applyProtection="1">
      <alignment vertical="center"/>
    </xf>
    <xf numFmtId="165" fontId="38" fillId="0" borderId="1" xfId="6" applyNumberFormat="1" applyFont="1" applyBorder="1" applyAlignment="1" applyProtection="1">
      <alignment vertical="center"/>
    </xf>
    <xf numFmtId="6" fontId="45" fillId="0" borderId="1" xfId="5" applyNumberFormat="1" applyFont="1" applyFill="1" applyBorder="1" applyAlignment="1" applyProtection="1">
      <alignment vertical="center"/>
    </xf>
    <xf numFmtId="44" fontId="45" fillId="0" borderId="0" xfId="8" applyFont="1" applyBorder="1" applyProtection="1"/>
    <xf numFmtId="44" fontId="52" fillId="0" borderId="0" xfId="8" applyFont="1" applyBorder="1" applyProtection="1"/>
    <xf numFmtId="165" fontId="38" fillId="0" borderId="24" xfId="5" applyNumberFormat="1" applyFont="1" applyFill="1" applyBorder="1" applyAlignment="1" applyProtection="1">
      <alignment horizontal="right" vertical="center" wrapText="1"/>
    </xf>
    <xf numFmtId="175" fontId="45" fillId="4" borderId="0" xfId="0" applyNumberFormat="1" applyFont="1" applyFill="1" applyProtection="1">
      <protection locked="0"/>
    </xf>
    <xf numFmtId="3" fontId="16" fillId="4" borderId="0" xfId="0" applyNumberFormat="1" applyFont="1" applyFill="1" applyAlignment="1" applyProtection="1">
      <alignment horizontal="right" indent="3"/>
      <protection locked="0"/>
    </xf>
    <xf numFmtId="1" fontId="16" fillId="4" borderId="0" xfId="0" applyNumberFormat="1" applyFont="1" applyFill="1" applyAlignment="1" applyProtection="1">
      <alignment horizontal="right" indent="3"/>
      <protection locked="0"/>
    </xf>
    <xf numFmtId="2" fontId="16" fillId="4" borderId="0" xfId="0" applyNumberFormat="1" applyFont="1" applyFill="1" applyAlignment="1" applyProtection="1">
      <alignment horizontal="right" indent="3"/>
      <protection locked="0"/>
    </xf>
    <xf numFmtId="9" fontId="16" fillId="4" borderId="0" xfId="4" applyNumberFormat="1" applyFont="1" applyFill="1" applyAlignment="1" applyProtection="1">
      <alignment horizontal="right" indent="3"/>
      <protection locked="0"/>
    </xf>
    <xf numFmtId="9" fontId="16" fillId="4" borderId="0" xfId="7" applyFont="1" applyFill="1" applyBorder="1" applyAlignment="1" applyProtection="1">
      <alignment horizontal="right" indent="3"/>
      <protection locked="0"/>
    </xf>
    <xf numFmtId="2" fontId="16" fillId="4" borderId="0" xfId="4" applyNumberFormat="1" applyFont="1" applyFill="1" applyAlignment="1" applyProtection="1">
      <alignment horizontal="right" indent="3"/>
      <protection locked="0"/>
    </xf>
    <xf numFmtId="0" fontId="16" fillId="4" borderId="0" xfId="0" applyFont="1" applyFill="1" applyAlignment="1" applyProtection="1">
      <alignment horizontal="right" indent="3"/>
      <protection locked="0"/>
    </xf>
    <xf numFmtId="9" fontId="16" fillId="4" borderId="1" xfId="7" applyFont="1" applyFill="1" applyBorder="1" applyAlignment="1" applyProtection="1">
      <alignment horizontal="right" indent="3"/>
      <protection locked="0"/>
    </xf>
    <xf numFmtId="1" fontId="45" fillId="4" borderId="0" xfId="0" applyNumberFormat="1" applyFont="1" applyFill="1" applyAlignment="1" applyProtection="1">
      <alignment horizontal="right" indent="3"/>
      <protection locked="0"/>
    </xf>
    <xf numFmtId="2" fontId="45" fillId="4" borderId="1" xfId="0" applyNumberFormat="1" applyFont="1" applyFill="1" applyBorder="1" applyAlignment="1" applyProtection="1">
      <alignment horizontal="right" indent="3"/>
      <protection locked="0"/>
    </xf>
    <xf numFmtId="7" fontId="45" fillId="0" borderId="0" xfId="5" applyNumberFormat="1" applyFont="1" applyFill="1" applyBorder="1" applyAlignment="1"/>
    <xf numFmtId="165" fontId="35" fillId="0" borderId="0" xfId="6" applyNumberFormat="1" applyFont="1" applyBorder="1" applyAlignment="1"/>
    <xf numFmtId="7" fontId="45" fillId="0" borderId="1" xfId="5" applyNumberFormat="1" applyFont="1" applyFill="1" applyBorder="1" applyAlignment="1"/>
    <xf numFmtId="165" fontId="35" fillId="0" borderId="1" xfId="6" applyNumberFormat="1" applyFont="1" applyBorder="1" applyAlignment="1"/>
    <xf numFmtId="165" fontId="45" fillId="0" borderId="1" xfId="0" applyNumberFormat="1" applyFont="1" applyBorder="1"/>
    <xf numFmtId="170" fontId="45" fillId="4" borderId="0" xfId="4" applyNumberFormat="1" applyFont="1" applyFill="1" applyAlignment="1" applyProtection="1">
      <alignment horizontal="right" indent="3"/>
      <protection locked="0"/>
    </xf>
    <xf numFmtId="2" fontId="45" fillId="4" borderId="1" xfId="0" applyNumberFormat="1" applyFont="1" applyFill="1" applyBorder="1" applyAlignment="1" applyProtection="1">
      <alignment horizontal="left" indent="3"/>
      <protection locked="0"/>
    </xf>
    <xf numFmtId="7" fontId="16" fillId="0" borderId="0" xfId="5" applyNumberFormat="1" applyFont="1" applyFill="1" applyBorder="1" applyAlignment="1"/>
    <xf numFmtId="7" fontId="16" fillId="0" borderId="1" xfId="5" applyNumberFormat="1" applyFont="1" applyFill="1" applyBorder="1" applyAlignment="1"/>
    <xf numFmtId="9" fontId="45" fillId="0" borderId="0" xfId="7" applyFont="1" applyFill="1" applyBorder="1" applyAlignment="1" applyProtection="1">
      <alignment horizontal="right"/>
    </xf>
    <xf numFmtId="165" fontId="35" fillId="0" borderId="14" xfId="5" applyNumberFormat="1" applyFont="1" applyFill="1" applyBorder="1" applyAlignment="1" applyProtection="1">
      <alignment horizontal="right"/>
    </xf>
    <xf numFmtId="165" fontId="45" fillId="0" borderId="0" xfId="5" applyNumberFormat="1" applyFont="1" applyFill="1" applyBorder="1" applyAlignment="1" applyProtection="1">
      <alignment horizontal="left"/>
    </xf>
    <xf numFmtId="5" fontId="44" fillId="0" borderId="0" xfId="5" applyNumberFormat="1" applyFont="1" applyFill="1" applyBorder="1" applyAlignment="1" applyProtection="1"/>
    <xf numFmtId="0" fontId="53" fillId="0" borderId="0" xfId="10" applyFont="1" applyProtection="1"/>
    <xf numFmtId="165" fontId="38" fillId="0" borderId="14" xfId="5" applyNumberFormat="1" applyFont="1" applyFill="1" applyBorder="1" applyAlignment="1" applyProtection="1"/>
    <xf numFmtId="167" fontId="44" fillId="0" borderId="14" xfId="7" applyNumberFormat="1" applyFont="1" applyFill="1" applyBorder="1" applyProtection="1"/>
    <xf numFmtId="165" fontId="38" fillId="0" borderId="14" xfId="5" applyNumberFormat="1" applyFont="1" applyFill="1" applyBorder="1" applyAlignment="1" applyProtection="1">
      <alignment horizontal="left"/>
    </xf>
    <xf numFmtId="43" fontId="35" fillId="0" borderId="14" xfId="5" applyFont="1" applyFill="1" applyBorder="1" applyAlignment="1" applyProtection="1">
      <alignment horizontal="right"/>
    </xf>
    <xf numFmtId="165" fontId="45" fillId="0" borderId="24" xfId="5" applyNumberFormat="1" applyFont="1" applyFill="1" applyBorder="1" applyAlignment="1" applyProtection="1">
      <alignment horizontal="left"/>
    </xf>
    <xf numFmtId="43" fontId="45" fillId="0" borderId="0" xfId="5" applyFont="1" applyFill="1" applyBorder="1" applyAlignment="1" applyProtection="1">
      <alignment horizontal="right" indent="2"/>
    </xf>
    <xf numFmtId="165" fontId="35" fillId="0" borderId="0" xfId="6" applyNumberFormat="1" applyFont="1" applyBorder="1" applyAlignment="1" applyProtection="1">
      <alignment horizontal="right" indent="2"/>
    </xf>
    <xf numFmtId="165" fontId="45" fillId="0" borderId="1" xfId="5" applyNumberFormat="1" applyFont="1" applyFill="1" applyBorder="1" applyAlignment="1" applyProtection="1">
      <alignment horizontal="left"/>
    </xf>
    <xf numFmtId="165" fontId="35" fillId="0" borderId="1" xfId="6" applyNumberFormat="1" applyFont="1" applyBorder="1" applyAlignment="1" applyProtection="1">
      <alignment horizontal="right" indent="2"/>
    </xf>
    <xf numFmtId="165" fontId="45" fillId="0" borderId="0" xfId="5" applyNumberFormat="1" applyFont="1" applyFill="1" applyBorder="1" applyAlignment="1" applyProtection="1">
      <alignment horizontal="right"/>
    </xf>
    <xf numFmtId="7" fontId="45" fillId="0" borderId="0" xfId="5" applyNumberFormat="1" applyFont="1" applyFill="1" applyBorder="1" applyAlignment="1" applyProtection="1">
      <alignment horizontal="right" indent="2"/>
    </xf>
    <xf numFmtId="7" fontId="45" fillId="0" borderId="1" xfId="5" applyNumberFormat="1" applyFont="1" applyFill="1" applyBorder="1" applyAlignment="1" applyProtection="1">
      <alignment horizontal="right" indent="2"/>
    </xf>
    <xf numFmtId="165" fontId="38" fillId="0" borderId="0" xfId="5" applyNumberFormat="1" applyFont="1" applyFill="1" applyBorder="1" applyAlignment="1" applyProtection="1">
      <alignment horizontal="center"/>
    </xf>
    <xf numFmtId="167" fontId="17" fillId="0" borderId="0" xfId="7" applyNumberFormat="1" applyFont="1" applyProtection="1"/>
    <xf numFmtId="176" fontId="38" fillId="0" borderId="0" xfId="5" applyNumberFormat="1" applyFont="1" applyFill="1" applyBorder="1" applyProtection="1"/>
    <xf numFmtId="5" fontId="44" fillId="0" borderId="14" xfId="5" applyNumberFormat="1" applyFont="1" applyFill="1" applyBorder="1" applyProtection="1"/>
    <xf numFmtId="7" fontId="44" fillId="0" borderId="14" xfId="5" applyNumberFormat="1" applyFont="1" applyFill="1" applyBorder="1" applyProtection="1"/>
    <xf numFmtId="167" fontId="16" fillId="0" borderId="0" xfId="0" applyNumberFormat="1" applyFont="1"/>
    <xf numFmtId="0" fontId="51" fillId="0" borderId="0" xfId="10" applyFont="1" applyBorder="1" applyProtection="1"/>
    <xf numFmtId="165" fontId="52" fillId="0" borderId="0" xfId="5" applyNumberFormat="1" applyFont="1" applyFill="1" applyBorder="1" applyAlignment="1" applyProtection="1">
      <alignment horizontal="left"/>
    </xf>
    <xf numFmtId="169" fontId="52" fillId="0" borderId="0" xfId="5" applyNumberFormat="1" applyFont="1" applyFill="1" applyBorder="1" applyAlignment="1" applyProtection="1">
      <alignment horizontal="center"/>
    </xf>
    <xf numFmtId="165" fontId="52" fillId="0" borderId="0" xfId="0" applyNumberFormat="1" applyFont="1"/>
    <xf numFmtId="39" fontId="50" fillId="0" borderId="0" xfId="8" applyNumberFormat="1" applyFont="1" applyFill="1" applyBorder="1" applyProtection="1"/>
    <xf numFmtId="39" fontId="52" fillId="0" borderId="0" xfId="8" applyNumberFormat="1" applyFont="1" applyFill="1" applyBorder="1" applyProtection="1"/>
    <xf numFmtId="165" fontId="29" fillId="0" borderId="0" xfId="5" applyNumberFormat="1" applyFont="1" applyFill="1" applyBorder="1" applyAlignment="1" applyProtection="1">
      <alignment horizontal="left"/>
    </xf>
    <xf numFmtId="43" fontId="17" fillId="0" borderId="0" xfId="5" applyFont="1" applyFill="1" applyBorder="1" applyAlignment="1" applyProtection="1"/>
    <xf numFmtId="165" fontId="18" fillId="0" borderId="0" xfId="6" applyNumberFormat="1" applyFont="1" applyBorder="1" applyAlignment="1" applyProtection="1"/>
    <xf numFmtId="176" fontId="45" fillId="4" borderId="0" xfId="0" applyNumberFormat="1" applyFont="1" applyFill="1" applyAlignment="1" applyProtection="1">
      <alignment horizontal="right" indent="3"/>
      <protection locked="0"/>
    </xf>
    <xf numFmtId="2" fontId="45" fillId="4" borderId="0" xfId="0" applyNumberFormat="1" applyFont="1" applyFill="1" applyAlignment="1" applyProtection="1">
      <alignment horizontal="left" indent="3"/>
      <protection locked="0"/>
    </xf>
    <xf numFmtId="7" fontId="45" fillId="0" borderId="0" xfId="5" applyNumberFormat="1" applyFont="1" applyFill="1" applyBorder="1" applyAlignment="1" applyProtection="1"/>
    <xf numFmtId="7" fontId="45" fillId="0" borderId="1" xfId="5" applyNumberFormat="1" applyFont="1" applyFill="1" applyBorder="1" applyAlignment="1" applyProtection="1"/>
    <xf numFmtId="3" fontId="45" fillId="4" borderId="0" xfId="0" applyNumberFormat="1" applyFont="1" applyFill="1" applyProtection="1">
      <protection locked="0"/>
    </xf>
    <xf numFmtId="1" fontId="45" fillId="4" borderId="0" xfId="0" applyNumberFormat="1" applyFont="1" applyFill="1" applyProtection="1">
      <protection locked="0"/>
    </xf>
    <xf numFmtId="2" fontId="45" fillId="4" borderId="0" xfId="0" applyNumberFormat="1" applyFont="1" applyFill="1" applyProtection="1">
      <protection locked="0"/>
    </xf>
    <xf numFmtId="9" fontId="45" fillId="4" borderId="0" xfId="4" applyNumberFormat="1" applyFont="1" applyFill="1" applyProtection="1">
      <protection locked="0"/>
    </xf>
    <xf numFmtId="9" fontId="45" fillId="4" borderId="0" xfId="7" applyFont="1" applyFill="1" applyBorder="1" applyAlignment="1" applyProtection="1">
      <protection locked="0"/>
    </xf>
    <xf numFmtId="2" fontId="45" fillId="4" borderId="0" xfId="4" applyNumberFormat="1" applyFont="1" applyFill="1" applyProtection="1">
      <protection locked="0"/>
    </xf>
    <xf numFmtId="9" fontId="45" fillId="4" borderId="1" xfId="7" applyFont="1" applyFill="1" applyBorder="1" applyAlignment="1" applyProtection="1">
      <protection locked="0"/>
    </xf>
    <xf numFmtId="7" fontId="45" fillId="0" borderId="0" xfId="0" applyNumberFormat="1" applyFont="1" applyAlignment="1">
      <alignment horizontal="right" vertical="center"/>
    </xf>
    <xf numFmtId="2" fontId="45" fillId="4" borderId="1" xfId="0" applyNumberFormat="1" applyFont="1" applyFill="1" applyBorder="1" applyProtection="1">
      <protection locked="0"/>
    </xf>
    <xf numFmtId="0" fontId="35" fillId="0" borderId="0" xfId="9" applyFont="1" applyAlignment="1">
      <alignment horizontal="left" vertical="top" wrapText="1"/>
    </xf>
    <xf numFmtId="0" fontId="34" fillId="3" borderId="5" xfId="9" applyFont="1" applyFill="1" applyBorder="1" applyAlignment="1">
      <alignment horizontal="center"/>
    </xf>
    <xf numFmtId="0" fontId="34" fillId="3" borderId="0" xfId="9" applyFont="1" applyFill="1" applyAlignment="1">
      <alignment horizontal="center"/>
    </xf>
    <xf numFmtId="0" fontId="39" fillId="2" borderId="21" xfId="2" applyFont="1" applyBorder="1" applyAlignment="1">
      <alignment horizontal="center"/>
    </xf>
    <xf numFmtId="0" fontId="39" fillId="2" borderId="22" xfId="2" applyFont="1" applyBorder="1" applyAlignment="1">
      <alignment horizontal="center"/>
    </xf>
    <xf numFmtId="0" fontId="39" fillId="2" borderId="23" xfId="2" applyFont="1" applyBorder="1" applyAlignment="1">
      <alignment horizontal="center"/>
    </xf>
    <xf numFmtId="0" fontId="58" fillId="0" borderId="0" xfId="10" applyFont="1" applyAlignment="1">
      <alignment horizontal="left" vertical="top" wrapText="1"/>
    </xf>
    <xf numFmtId="0" fontId="20" fillId="0" borderId="0" xfId="10" applyAlignment="1">
      <alignment horizontal="left" vertical="top" wrapText="1"/>
    </xf>
    <xf numFmtId="0" fontId="46" fillId="0" borderId="0" xfId="0" applyFont="1" applyAlignment="1">
      <alignment horizontal="left"/>
    </xf>
    <xf numFmtId="0" fontId="34" fillId="3" borderId="3" xfId="3" applyFont="1" applyFill="1" applyBorder="1" applyAlignment="1">
      <alignment horizontal="left"/>
    </xf>
    <xf numFmtId="0" fontId="34" fillId="3" borderId="4" xfId="3" applyFont="1" applyFill="1" applyBorder="1" applyAlignment="1">
      <alignment horizontal="left"/>
    </xf>
    <xf numFmtId="0" fontId="34" fillId="3" borderId="13" xfId="3" applyFont="1" applyFill="1" applyBorder="1" applyAlignment="1">
      <alignment horizontal="left"/>
    </xf>
    <xf numFmtId="0" fontId="44" fillId="0" borderId="0" xfId="0" applyFont="1" applyAlignment="1">
      <alignment horizontal="right"/>
    </xf>
    <xf numFmtId="166" fontId="44" fillId="0" borderId="0" xfId="8" applyNumberFormat="1" applyFont="1" applyBorder="1" applyAlignment="1" applyProtection="1">
      <alignment horizontal="right"/>
    </xf>
    <xf numFmtId="0" fontId="34" fillId="3" borderId="0" xfId="3" applyFont="1" applyFill="1" applyAlignment="1">
      <alignment horizontal="center"/>
    </xf>
    <xf numFmtId="0" fontId="16" fillId="0" borderId="14" xfId="0" applyFont="1" applyBorder="1" applyAlignment="1">
      <alignment horizontal="center" wrapText="1"/>
    </xf>
    <xf numFmtId="0" fontId="16" fillId="0" borderId="1" xfId="0" applyFont="1" applyBorder="1" applyAlignment="1">
      <alignment horizontal="center" wrapText="1"/>
    </xf>
    <xf numFmtId="165" fontId="23" fillId="0" borderId="14" xfId="5" applyNumberFormat="1" applyFont="1" applyFill="1" applyBorder="1" applyAlignment="1" applyProtection="1">
      <alignment horizontal="center" wrapText="1"/>
    </xf>
    <xf numFmtId="165" fontId="23" fillId="0" borderId="1" xfId="5" applyNumberFormat="1" applyFont="1" applyFill="1" applyBorder="1" applyAlignment="1" applyProtection="1">
      <alignment horizontal="center" wrapText="1"/>
    </xf>
    <xf numFmtId="165" fontId="44" fillId="0" borderId="19" xfId="5" applyNumberFormat="1" applyFont="1" applyFill="1" applyBorder="1" applyAlignment="1" applyProtection="1">
      <alignment horizontal="center"/>
    </xf>
    <xf numFmtId="165" fontId="44" fillId="0" borderId="14" xfId="5" applyNumberFormat="1" applyFont="1" applyFill="1" applyBorder="1" applyAlignment="1" applyProtection="1">
      <alignment horizontal="center"/>
    </xf>
    <xf numFmtId="165" fontId="44" fillId="0" borderId="20" xfId="5" applyNumberFormat="1" applyFont="1" applyFill="1" applyBorder="1" applyAlignment="1" applyProtection="1">
      <alignment horizontal="center"/>
    </xf>
    <xf numFmtId="0" fontId="16" fillId="0" borderId="0" xfId="0" applyFont="1" applyAlignment="1">
      <alignment horizontal="center"/>
    </xf>
    <xf numFmtId="0" fontId="16" fillId="0" borderId="14" xfId="0" applyFont="1" applyBorder="1" applyAlignment="1">
      <alignment horizontal="center"/>
    </xf>
    <xf numFmtId="165" fontId="19" fillId="0" borderId="0" xfId="5" applyNumberFormat="1" applyFont="1" applyFill="1" applyBorder="1" applyAlignment="1">
      <alignment horizontal="left" wrapText="1"/>
    </xf>
    <xf numFmtId="165" fontId="2" fillId="0" borderId="0" xfId="5" applyNumberFormat="1" applyFont="1" applyFill="1" applyBorder="1" applyAlignment="1">
      <alignment horizontal="center" vertical="center" wrapText="1"/>
    </xf>
    <xf numFmtId="0" fontId="44" fillId="0" borderId="0" xfId="0" applyFont="1" applyAlignment="1">
      <alignment horizontal="center"/>
    </xf>
    <xf numFmtId="0" fontId="45" fillId="0" borderId="14" xfId="0" applyFont="1" applyBorder="1" applyAlignment="1">
      <alignment horizontal="center"/>
    </xf>
    <xf numFmtId="165" fontId="44" fillId="0" borderId="19" xfId="5" applyNumberFormat="1" applyFont="1" applyFill="1" applyBorder="1" applyAlignment="1">
      <alignment horizontal="center"/>
    </xf>
    <xf numFmtId="165" fontId="44" fillId="0" borderId="14" xfId="5" applyNumberFormat="1" applyFont="1" applyFill="1" applyBorder="1" applyAlignment="1">
      <alignment horizontal="center"/>
    </xf>
    <xf numFmtId="165" fontId="44" fillId="0" borderId="20" xfId="5" applyNumberFormat="1" applyFont="1" applyFill="1" applyBorder="1" applyAlignment="1">
      <alignment horizontal="center"/>
    </xf>
    <xf numFmtId="0" fontId="42" fillId="0" borderId="0" xfId="0" applyFont="1" applyAlignment="1">
      <alignment horizontal="center" vertical="center" wrapText="1"/>
    </xf>
    <xf numFmtId="0" fontId="45" fillId="0" borderId="14" xfId="0" applyFont="1" applyBorder="1" applyAlignment="1">
      <alignment horizontal="center" wrapText="1"/>
    </xf>
    <xf numFmtId="0" fontId="45" fillId="0" borderId="0" xfId="0" applyFont="1" applyAlignment="1">
      <alignment horizontal="center" wrapText="1"/>
    </xf>
    <xf numFmtId="165" fontId="35" fillId="0" borderId="14" xfId="5" applyNumberFormat="1" applyFont="1" applyFill="1" applyBorder="1" applyAlignment="1">
      <alignment horizontal="center" wrapText="1"/>
    </xf>
    <xf numFmtId="165" fontId="35" fillId="0" borderId="0" xfId="5" applyNumberFormat="1" applyFont="1" applyFill="1" applyBorder="1" applyAlignment="1">
      <alignment horizontal="center" wrapText="1"/>
    </xf>
    <xf numFmtId="165" fontId="44" fillId="0" borderId="0" xfId="5" applyNumberFormat="1" applyFont="1" applyFill="1" applyBorder="1" applyAlignment="1">
      <alignment horizontal="center"/>
    </xf>
    <xf numFmtId="165" fontId="44" fillId="0" borderId="18" xfId="5" applyNumberFormat="1" applyFont="1" applyFill="1" applyBorder="1" applyAlignment="1">
      <alignment horizontal="center"/>
    </xf>
    <xf numFmtId="165" fontId="44" fillId="0" borderId="15" xfId="5" applyNumberFormat="1" applyFont="1" applyFill="1" applyBorder="1" applyAlignment="1">
      <alignment horizontal="center"/>
    </xf>
  </cellXfs>
  <cellStyles count="11">
    <cellStyle name="Comma" xfId="6" builtinId="3"/>
    <cellStyle name="Comma 2" xfId="5" xr:uid="{922813C1-A3F0-471A-B10A-2F4F35425305}"/>
    <cellStyle name="Currency" xfId="8" builtinId="4"/>
    <cellStyle name="Hyperlink" xfId="10" builtinId="8"/>
    <cellStyle name="Normal" xfId="0" builtinId="0"/>
    <cellStyle name="Normal 2" xfId="1" xr:uid="{6119C048-0403-44D0-8836-6BBEEC0F799C}"/>
    <cellStyle name="Normal 2 2" xfId="3" xr:uid="{E3FADD63-3B96-423E-93A6-9A77F51BF418}"/>
    <cellStyle name="Normal 2 2 2" xfId="9" xr:uid="{411D0A11-C443-4E1D-ABCD-A1D94686BF30}"/>
    <cellStyle name="Normal 3" xfId="4" xr:uid="{A8051FE7-BACF-457C-B580-EDEB95B0C5A3}"/>
    <cellStyle name="Output" xfId="2" builtinId="21"/>
    <cellStyle name="Percent" xfId="7"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1B82D"/>
      <color rgb="FFFF7C80"/>
      <color rgb="FFF15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3724275</xdr:colOff>
      <xdr:row>3</xdr:row>
      <xdr:rowOff>73375</xdr:rowOff>
    </xdr:from>
    <xdr:to>
      <xdr:col>2</xdr:col>
      <xdr:colOff>6019800</xdr:colOff>
      <xdr:row>6</xdr:row>
      <xdr:rowOff>165675</xdr:rowOff>
    </xdr:to>
    <xdr:pic>
      <xdr:nvPicPr>
        <xdr:cNvPr id="2" name="Picture 1">
          <a:extLst>
            <a:ext uri="{FF2B5EF4-FFF2-40B4-BE49-F238E27FC236}">
              <a16:creationId xmlns:a16="http://schemas.microsoft.com/office/drawing/2014/main" id="{FE7E7F16-759A-490C-804F-86B5C7E5A7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3075" y="759175"/>
          <a:ext cx="2295525" cy="7209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lhollinr/Box%20Sync/Crops/Industrial%20Hemp%20-%20MASBDA%20-%202019/Resources%20-%20Proprietary/Budgets/2020%20Industrial%20Hemp%20Budget%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vity list"/>
      <sheetName val="Introduction"/>
      <sheetName val="Hemp for Fiber"/>
      <sheetName val="Hemp for Grain"/>
      <sheetName val="Hemp for Fiber &amp; Grain"/>
      <sheetName val="Hemp for CBD"/>
      <sheetName val="Notes"/>
      <sheetName val="2020 Industrial Hemp Budget FIN"/>
    </sheetNames>
    <sheetDataSet>
      <sheetData sheetId="0">
        <row r="4">
          <cell r="W4" t="str">
            <v>Implement</v>
          </cell>
          <cell r="X4" t="str">
            <v>Cost/unit</v>
          </cell>
          <cell r="Y4" t="str">
            <v>Unit</v>
          </cell>
          <cell r="Z4" t="str">
            <v>Hours/acre</v>
          </cell>
          <cell r="AA4" t="str">
            <v>Something Else</v>
          </cell>
        </row>
        <row r="5">
          <cell r="W5" t="str">
            <v>Moving Large Square Bales</v>
          </cell>
          <cell r="X5">
            <v>0.23</v>
          </cell>
          <cell r="Y5" t="str">
            <v>$/bale/loaded mile</v>
          </cell>
        </row>
        <row r="6">
          <cell r="W6" t="str">
            <v>Hauling Hay</v>
          </cell>
          <cell r="X6">
            <v>55</v>
          </cell>
        </row>
        <row r="7">
          <cell r="W7" t="str">
            <v>Fertilizer application</v>
          </cell>
          <cell r="X7">
            <v>6.75</v>
          </cell>
          <cell r="Y7" t="str">
            <v>acre</v>
          </cell>
        </row>
        <row r="8">
          <cell r="W8" t="str">
            <v>Drying Plant</v>
          </cell>
          <cell r="X8">
            <v>1</v>
          </cell>
        </row>
        <row r="9">
          <cell r="W9" t="str">
            <v>Hauling Grain to bin</v>
          </cell>
          <cell r="X9">
            <v>0.25</v>
          </cell>
          <cell r="Y9" t="str">
            <v>cwt hauled</v>
          </cell>
        </row>
        <row r="10">
          <cell r="W10" t="str">
            <v>Grain Drying</v>
          </cell>
          <cell r="X10">
            <v>0.12</v>
          </cell>
          <cell r="Y10" t="str">
            <v>cwt dried/% moisture</v>
          </cell>
        </row>
        <row r="11">
          <cell r="W11" t="str">
            <v>Hauling grain to market</v>
          </cell>
          <cell r="X11">
            <v>0.45</v>
          </cell>
          <cell r="Y11" t="str">
            <v>cwt hauled</v>
          </cell>
        </row>
        <row r="12">
          <cell r="W12" t="str">
            <v>Hauling hemp for CBD to processor</v>
          </cell>
          <cell r="X12">
            <v>0.2</v>
          </cell>
          <cell r="Y12" t="str">
            <v>$/cwt/loaded mile</v>
          </cell>
        </row>
        <row r="13">
          <cell r="W13" t="str">
            <v>Seed cleaning</v>
          </cell>
          <cell r="X13">
            <v>0.04</v>
          </cell>
          <cell r="Y13" t="str">
            <v>pound cleaned</v>
          </cell>
        </row>
        <row r="14">
          <cell r="W14" t="str">
            <v>Large Square bales</v>
          </cell>
          <cell r="X14">
            <v>17</v>
          </cell>
          <cell r="Y14" t="str">
            <v>one ton bale</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ustom 1">
      <a:majorFont>
        <a:latin typeface="Aptos Black"/>
        <a:ea typeface=""/>
        <a:cs typeface=""/>
      </a:majorFont>
      <a:minorFont>
        <a:latin typeface="Apto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xtension.missouri.edu/publications/mx466"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srac.msstate.edu/pdfs/Fact%20Sheets/122%20Production%20Enterprise%20Budget%20for%20Golden%20Shiners.pdf" TargetMode="External"/><Relationship Id="rId3" Type="http://schemas.openxmlformats.org/officeDocument/2006/relationships/hyperlink" Target="https://srac.msstate.edu/pdfs/Fact%20Sheets/122%20Production%20Enterprise%20Budget%20for%20Golden%20Shiners.pdf" TargetMode="External"/><Relationship Id="rId7" Type="http://schemas.openxmlformats.org/officeDocument/2006/relationships/hyperlink" Target="https://srac.msstate.edu/pdfs/Fact%20Sheets/122%20Production%20Enterprise%20Budget%20for%20Golden%20Shiners.pdf" TargetMode="External"/><Relationship Id="rId12" Type="http://schemas.openxmlformats.org/officeDocument/2006/relationships/printerSettings" Target="../printerSettings/printerSettings9.bin"/><Relationship Id="rId2" Type="http://schemas.openxmlformats.org/officeDocument/2006/relationships/hyperlink" Target="https://andersonminnows.com/shop/product/golden-shiner/" TargetMode="External"/><Relationship Id="rId1" Type="http://schemas.openxmlformats.org/officeDocument/2006/relationships/hyperlink" Target="https://andersonminnows.com/shop/product/golden-shiner-fry-250000-count-2/" TargetMode="External"/><Relationship Id="rId6" Type="http://schemas.openxmlformats.org/officeDocument/2006/relationships/hyperlink" Target="https://srac.msstate.edu/pdfs/Fact%20Sheets/122%20Production%20Enterprise%20Budget%20for%20Golden%20Shiners.pdf" TargetMode="External"/><Relationship Id="rId11" Type="http://schemas.openxmlformats.org/officeDocument/2006/relationships/hyperlink" Target="https://files.dnr.state.mn.us/aboutdnr/reports/legislative/2018-minnow-import-report.pdf" TargetMode="External"/><Relationship Id="rId5" Type="http://schemas.openxmlformats.org/officeDocument/2006/relationships/hyperlink" Target="https://srac.msstate.edu/pdfs/Fact%20Sheets/122%20Production%20Enterprise%20Budget%20for%20Golden%20Shiners.pdf" TargetMode="External"/><Relationship Id="rId10" Type="http://schemas.openxmlformats.org/officeDocument/2006/relationships/hyperlink" Target="https://srac.msstate.edu/pdfs/Fact%20Sheets/122%20Production%20Enterprise%20Budget%20for%20Golden%20Shiners.pdf" TargetMode="External"/><Relationship Id="rId4" Type="http://schemas.openxmlformats.org/officeDocument/2006/relationships/hyperlink" Target="https://pleasanthillpets.com/purina-catfish-32-50-lb/" TargetMode="External"/><Relationship Id="rId9" Type="http://schemas.openxmlformats.org/officeDocument/2006/relationships/hyperlink" Target="https://www.ncrac.org/files/inline-files/BaitfishProjectOutlinerevisedfromMorris42507.pdf?utm_source=chatgpt.com"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owenandwilliams.com/grass-crap/" TargetMode="External"/><Relationship Id="rId2" Type="http://schemas.openxmlformats.org/officeDocument/2006/relationships/hyperlink" Target="https://txmarspecies.tamug.edu/length-weight.cfm" TargetMode="External"/><Relationship Id="rId1" Type="http://schemas.openxmlformats.org/officeDocument/2006/relationships/hyperlink" Target="https://srac.msstate.edu/pdfs/Fact%20Sheets/122%20Production%20Enterprise%20Budget%20for%20Golden%20Shiners.pdf" TargetMode="External"/><Relationship Id="rId6" Type="http://schemas.openxmlformats.org/officeDocument/2006/relationships/printerSettings" Target="../printerSettings/printerSettings10.bin"/><Relationship Id="rId5" Type="http://schemas.openxmlformats.org/officeDocument/2006/relationships/hyperlink" Target="https://txmarspecies.tamug.edu/length-weight.cfm" TargetMode="External"/><Relationship Id="rId4" Type="http://schemas.openxmlformats.org/officeDocument/2006/relationships/hyperlink" Target="https://www.owenandwilliams.com/grass-crap/"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marine-aquaculture.extension.org/wp-content/uploads/2019/05/Hybrid_Striped_Bass_Production_in_Ponds_Enterprise_Budget.pdf" TargetMode="External"/><Relationship Id="rId3" Type="http://schemas.openxmlformats.org/officeDocument/2006/relationships/hyperlink" Target="https://sunfishfishfarms.com/products/hybrid-striped-bass-wiper?srsltid=AfmBOoryhFNEik2PtgddvqTz64nw1u5y4bt2pCxE-_xPuVyq_1ViqGql&amp;variant=41381104484551" TargetMode="External"/><Relationship Id="rId7" Type="http://schemas.openxmlformats.org/officeDocument/2006/relationships/hyperlink" Target="https://marine-aquaculture.extension.org/wp-content/uploads/2019/05/Hybrid_Striped_Bass_Production_in_Ponds_Enterprise_Budget.pdf" TargetMode="External"/><Relationship Id="rId2" Type="http://schemas.openxmlformats.org/officeDocument/2006/relationships/hyperlink" Target="https://harborfish.com/product/fresh-hybrid-bass-whole/" TargetMode="External"/><Relationship Id="rId1" Type="http://schemas.openxmlformats.org/officeDocument/2006/relationships/hyperlink" Target="https://keofishfarm.com/6-hybrid-striped-bass" TargetMode="External"/><Relationship Id="rId6" Type="http://schemas.openxmlformats.org/officeDocument/2006/relationships/hyperlink" Target="https://shop.joneslakemanagement.com/products/hybrid-striped-bass?variant=5538920562730" TargetMode="External"/><Relationship Id="rId11" Type="http://schemas.openxmlformats.org/officeDocument/2006/relationships/printerSettings" Target="../printerSettings/printerSettings11.bin"/><Relationship Id="rId5" Type="http://schemas.openxmlformats.org/officeDocument/2006/relationships/hyperlink" Target="https://marine-aquaculture.extension.org/wp-content/uploads/2019/05/Hybrid_Striped_Bass_Production_in_Ponds_Enterprise_Budget.pdf" TargetMode="External"/><Relationship Id="rId10" Type="http://schemas.openxmlformats.org/officeDocument/2006/relationships/hyperlink" Target="https://keofishfarm.com/2-hybrid-striped-bass" TargetMode="External"/><Relationship Id="rId4" Type="http://schemas.openxmlformats.org/officeDocument/2006/relationships/hyperlink" Target="https://shop.joneslakemanagement.com/products/hybrid-striped-bass?variant=5538920595498" TargetMode="External"/><Relationship Id="rId9" Type="http://schemas.openxmlformats.org/officeDocument/2006/relationships/hyperlink" Target="https://marine-aquaculture.extension.org/wp-content/uploads/2019/05/Hybrid_Striped_Bass_Production_in_Ponds_Enterprise_Budget.pdf"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osagecatfisheries.com/pond-stocking.asp" TargetMode="External"/><Relationship Id="rId2" Type="http://schemas.openxmlformats.org/officeDocument/2006/relationships/hyperlink" Target="https://fendersfishhatchery.com/fish-pricing/" TargetMode="External"/><Relationship Id="rId1" Type="http://schemas.openxmlformats.org/officeDocument/2006/relationships/hyperlink" Target="https://freshwater-aquaculture.extension.org/largemouth-bass/" TargetMode="External"/><Relationship Id="rId5" Type="http://schemas.openxmlformats.org/officeDocument/2006/relationships/printerSettings" Target="../printerSettings/printerSettings12.bin"/><Relationship Id="rId4" Type="http://schemas.openxmlformats.org/officeDocument/2006/relationships/hyperlink" Target="http://www.osagecatfisheries.com/pond-stocking.asp"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srac.msstate.edu/pdfs/Fact%20Sheets/122%20Production%20Enterprise%20Budget%20for%20Golden%20Shiners.pdf" TargetMode="External"/><Relationship Id="rId2" Type="http://schemas.openxmlformats.org/officeDocument/2006/relationships/hyperlink" Target="https://www.amazon.com/Steel-Industrial-Oxygen-Cylinder-CGA540/dp/B08HR1C7N2/ref=sr_1_1?crid=39S0F45NO2R2O&amp;dib=eyJ2IjoiMSJ9.1bUPpJNN-n2pJS-0iCOiL7-4jcSLMsm1Osdw6E9mocN8HyXOhmCWW6Y2zl9b6asIJbjSEYWuffuvKexOQTxOF4pfX0qoJ1BHN5BrsVcsln9ZRBlVS3nh7sAry9XV-xmluMXHGwNgIgrxKH6ahE_GGRFQ07mL7KOo5LK85GeNqZ7a3jK9fhtrCoUVSnB1pGLbn51stpbXsamVSHitF07fhZ2fL0oTFUXxpWoPqlNLFt5hzMhP5mtMxAbyyUWTvO-brGSnE0eGFwvvfuTxcxnSQM4oJqxiyFZJNak4y-gVTjSfkZeLtKUAmUsr9dEhfcjvfISLlmlstoco6LC2gUp7qSzaFnJSPMTIVVpyAergowf1rx5gXdWGEJCe5gjON2zT6YILSQpKC1ezT7MTjXVCe8ZSifhxMnBOynapHYq9SWzz7g4HyD_E0D2kWkOw0c1o.8Vmt7xh6IumYt7KDVDFVJ0Y31O_o1LGJEMDHBIJQxEA&amp;dib_tag=se&amp;keywords=oxygen+cylinder+120+cu+foot&amp;qid=1742320409&amp;sprefix=oxygen+cylinder+120+cu+foot%2Caps%2C95&amp;sr=8-1" TargetMode="External"/><Relationship Id="rId1" Type="http://schemas.openxmlformats.org/officeDocument/2006/relationships/hyperlink" Target="https://www.amazon.com/Large-Super-Baskets-Handles-5-Pack/dp/B0B7XX84R5?source=ps-sl-shoppingads-lpcontext&amp;ref_=fplfs&amp;smid=A1EQN6GZKCO6QJ&amp;gQT=1&amp;th=1" TargetMode="External"/><Relationship Id="rId5" Type="http://schemas.openxmlformats.org/officeDocument/2006/relationships/printerSettings" Target="../printerSettings/printerSettings3.bin"/><Relationship Id="rId4" Type="http://schemas.openxmlformats.org/officeDocument/2006/relationships/hyperlink" Target="https://www.conexwest.com/cold-storage-and-freezers-sale/single-phase-40ft-temperature-controlled-storage-low-temp?v=1265&amp;region_id=reg_st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owenandwilliams.com/pricing/"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marine-aquaculture.extension.org/wp-content/uploads/2019/05/Hybrid_Striped_Bass_Production_in_Ponds_Enterprise_Budget.pdf" TargetMode="External"/><Relationship Id="rId3" Type="http://schemas.openxmlformats.org/officeDocument/2006/relationships/hyperlink" Target="https://harborfish.com/product/fresh-hybrid-bass-whole/" TargetMode="External"/><Relationship Id="rId7" Type="http://schemas.openxmlformats.org/officeDocument/2006/relationships/hyperlink" Target="https://marine-aquaculture.extension.org/wp-content/uploads/2019/05/Hybrid_Striped_Bass_Production_in_Ponds_Enterprise_Budget.pdf" TargetMode="External"/><Relationship Id="rId2" Type="http://schemas.openxmlformats.org/officeDocument/2006/relationships/hyperlink" Target="https://keofishfarm.com/6-hybrid-striped-bass" TargetMode="External"/><Relationship Id="rId1" Type="http://schemas.openxmlformats.org/officeDocument/2006/relationships/hyperlink" Target="https://keofishfarm.com/2-hybrid-striped-bass" TargetMode="External"/><Relationship Id="rId6" Type="http://schemas.openxmlformats.org/officeDocument/2006/relationships/hyperlink" Target="https://marine-aquaculture.extension.org/wp-content/uploads/2019/05/Hybrid_Striped_Bass_Production_in_Ponds_Enterprise_Budget.pdf" TargetMode="External"/><Relationship Id="rId5" Type="http://schemas.openxmlformats.org/officeDocument/2006/relationships/hyperlink" Target="https://marine-aquaculture.extension.org/wp-content/uploads/2019/05/Hybrid_Striped_Bass_Production_in_Ponds_Enterprise_Budget.pdf" TargetMode="External"/><Relationship Id="rId10" Type="http://schemas.openxmlformats.org/officeDocument/2006/relationships/printerSettings" Target="../printerSettings/printerSettings5.bin"/><Relationship Id="rId4" Type="http://schemas.openxmlformats.org/officeDocument/2006/relationships/hyperlink" Target="https://sunfishfishfarms.com/products/hybrid-striped-bass-wiper?srsltid=AfmBOoryhFNEik2PtgddvqTz64nw1u5y4bt2pCxE-_xPuVyq_1ViqGql&amp;variant=41381104484551" TargetMode="External"/><Relationship Id="rId9" Type="http://schemas.openxmlformats.org/officeDocument/2006/relationships/hyperlink" Target="https://shop.joneslakemanagement.com/products/hybrid-striped-bass?variant=5538920562730"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fendersfishhatchery.com/fish-pricing/" TargetMode="External"/><Relationship Id="rId3" Type="http://schemas.openxmlformats.org/officeDocument/2006/relationships/hyperlink" Target="https://www.ncrac.org/files/inline-files/ncrac111.pdf" TargetMode="External"/><Relationship Id="rId7" Type="http://schemas.openxmlformats.org/officeDocument/2006/relationships/hyperlink" Target="http://www.stockalake.com/species--information.html" TargetMode="External"/><Relationship Id="rId2" Type="http://schemas.openxmlformats.org/officeDocument/2006/relationships/hyperlink" Target="https://www.ncrac.org/files/inline-files/ncrac111.pdf" TargetMode="External"/><Relationship Id="rId1" Type="http://schemas.openxmlformats.org/officeDocument/2006/relationships/hyperlink" Target="https://www.ncrac.org/files/inline-files/ncrac111.pdf" TargetMode="External"/><Relationship Id="rId6" Type="http://schemas.openxmlformats.org/officeDocument/2006/relationships/hyperlink" Target="https://www.ncrac.org/files/inline-files/ncrac111.pdf" TargetMode="External"/><Relationship Id="rId5" Type="http://schemas.openxmlformats.org/officeDocument/2006/relationships/hyperlink" Target="https://www.ncrac.org/files/inline-files/ncrac111.pdf" TargetMode="External"/><Relationship Id="rId10" Type="http://schemas.openxmlformats.org/officeDocument/2006/relationships/printerSettings" Target="../printerSettings/printerSettings6.bin"/><Relationship Id="rId4" Type="http://schemas.openxmlformats.org/officeDocument/2006/relationships/hyperlink" Target="https://www.ncrac.org/files/inline-files/ncrac111.pdf" TargetMode="External"/><Relationship Id="rId9" Type="http://schemas.openxmlformats.org/officeDocument/2006/relationships/hyperlink" Target="https://www.walleyedirect.com/product/whole-perch-11.html?utm_source=google&amp;utm_medium=cpc&amp;utm_campaign=feed&amp;gad_source=4&amp;gad_campaignid=17335798209&amp;gbraid=0AAAAAD9uz871YzjKC3_PA76DFZ49asmIo&amp;gclid=Cj0KCQjw8vvABhCcARIsAOCfwwphUpLr_wLITCmoCO9ZPhVrm6Udmt8UD4NiEpXyn-Ca0BjIaRbhNOkaAlmEEALw_wcB"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extension.missouri.edu/media/wysiwyg/Extensiondata/Pub/pdf/agguides/wildlife/g09473.pdf" TargetMode="External"/><Relationship Id="rId2" Type="http://schemas.openxmlformats.org/officeDocument/2006/relationships/hyperlink" Target="http://www.osagecatfisheries.com/pond-stocking.asp" TargetMode="External"/><Relationship Id="rId1" Type="http://schemas.openxmlformats.org/officeDocument/2006/relationships/hyperlink" Target="http://www.osagecatfisheries.com/pond-stocking.asp" TargetMode="External"/><Relationship Id="rId6" Type="http://schemas.openxmlformats.org/officeDocument/2006/relationships/printerSettings" Target="../printerSettings/printerSettings7.bin"/><Relationship Id="rId5" Type="http://schemas.openxmlformats.org/officeDocument/2006/relationships/hyperlink" Target="https://extension.missouri.edu/media/wysiwyg/Extensiondata/Pub/pdf/agguides/wildlife/g09473.pdf" TargetMode="External"/><Relationship Id="rId4" Type="http://schemas.openxmlformats.org/officeDocument/2006/relationships/hyperlink" Target="https://extension.missouri.edu/media/wysiwyg/Extensiondata/Pub/pdf/agguides/wildlife/g09473.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owenandwilliams.com/pric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8BCCF-76D0-4908-8ACC-71D2811A828E}">
  <sheetPr codeName="Sheet1"/>
  <dimension ref="A2:F16"/>
  <sheetViews>
    <sheetView showGridLines="0" tabSelected="1" topLeftCell="A2" zoomScaleNormal="100" workbookViewId="0">
      <selection activeCell="A2" sqref="A2"/>
    </sheetView>
  </sheetViews>
  <sheetFormatPr defaultColWidth="0" defaultRowHeight="16.5" customHeight="1" zeroHeight="1"/>
  <cols>
    <col min="1" max="1" width="3.33203125" style="7" customWidth="1"/>
    <col min="2" max="2" width="18" style="7" customWidth="1"/>
    <col min="3" max="3" width="74.77734375" style="7" customWidth="1"/>
    <col min="4" max="4" width="9.109375" style="7" customWidth="1"/>
    <col min="5" max="5" width="3.33203125" style="7" customWidth="1"/>
    <col min="6" max="6" width="3.33203125" style="7" hidden="1" customWidth="1"/>
    <col min="7" max="16384" width="8.88671875" style="7" hidden="1"/>
  </cols>
  <sheetData>
    <row r="2" spans="2:4" ht="21">
      <c r="B2" s="694" t="s">
        <v>428</v>
      </c>
      <c r="C2" s="695"/>
      <c r="D2" s="695"/>
    </row>
    <row r="3" spans="2:4" ht="16.5" customHeight="1">
      <c r="B3" s="8"/>
      <c r="C3" s="8"/>
      <c r="D3" s="92" t="s">
        <v>356</v>
      </c>
    </row>
    <row r="4" spans="2:4" ht="16.5" customHeight="1"/>
    <row r="5" spans="2:4" ht="16.5" customHeight="1">
      <c r="B5" s="9" t="s">
        <v>0</v>
      </c>
    </row>
    <row r="6" spans="2:4" ht="16.5" customHeight="1">
      <c r="B6" s="7" t="s">
        <v>357</v>
      </c>
      <c r="D6" s="10"/>
    </row>
    <row r="7" spans="2:4" ht="16.5" customHeight="1">
      <c r="C7" s="11"/>
    </row>
    <row r="8" spans="2:4" ht="16.5" customHeight="1">
      <c r="B8" s="12"/>
    </row>
    <row r="9" spans="2:4" ht="63.75" customHeight="1">
      <c r="B9" s="693" t="s">
        <v>358</v>
      </c>
      <c r="C9" s="693"/>
      <c r="D9" s="693"/>
    </row>
    <row r="10" spans="2:4" ht="16.5" customHeight="1">
      <c r="B10" s="93"/>
      <c r="C10" s="94"/>
    </row>
    <row r="11" spans="2:4" ht="96" customHeight="1">
      <c r="B11" s="693" t="s">
        <v>416</v>
      </c>
      <c r="C11" s="693"/>
      <c r="D11" s="693"/>
    </row>
    <row r="12" spans="2:4" ht="16.5" customHeight="1">
      <c r="B12" s="93"/>
      <c r="C12" s="93"/>
      <c r="D12" s="93"/>
    </row>
    <row r="13" spans="2:4" ht="16.5" customHeight="1">
      <c r="B13" s="693" t="s">
        <v>430</v>
      </c>
      <c r="C13" s="693"/>
      <c r="D13" s="693"/>
    </row>
    <row r="14" spans="2:4" ht="16.5" customHeight="1">
      <c r="B14" s="699" t="s">
        <v>431</v>
      </c>
      <c r="C14" s="700"/>
      <c r="D14" s="700"/>
    </row>
    <row r="15" spans="2:4" ht="16.5" customHeight="1">
      <c r="B15" s="95"/>
      <c r="C15" s="94"/>
    </row>
    <row r="16" spans="2:4" ht="16.5" customHeight="1">
      <c r="B16" s="696" t="s">
        <v>359</v>
      </c>
      <c r="C16" s="697"/>
      <c r="D16" s="698"/>
    </row>
  </sheetData>
  <sheetProtection sheet="1" objects="1" scenarios="1"/>
  <mergeCells count="6">
    <mergeCell ref="B9:D9"/>
    <mergeCell ref="B11:D11"/>
    <mergeCell ref="B2:D2"/>
    <mergeCell ref="B16:D16"/>
    <mergeCell ref="B13:D13"/>
    <mergeCell ref="B14:D14"/>
  </mergeCells>
  <hyperlinks>
    <hyperlink ref="B14:D14" r:id="rId1" display="North Central Regional Aquaculture Industry: Business Models (extension.missouri.edu/publications/mx466)" xr:uid="{55F21E74-4430-42F1-8AED-4D340C833E1F}"/>
  </hyperlinks>
  <pageMargins left="0.7" right="0.7" top="0.75" bottom="0.75" header="0.3" footer="0.3"/>
  <pageSetup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B142C-50A0-479E-9A5C-8AC03C49F2EE}">
  <sheetPr codeName="Sheet4"/>
  <dimension ref="A1:AO96"/>
  <sheetViews>
    <sheetView showGridLines="0" zoomScaleNormal="100" workbookViewId="0">
      <selection activeCell="H45" sqref="H45"/>
    </sheetView>
  </sheetViews>
  <sheetFormatPr defaultColWidth="0" defaultRowHeight="0" customHeight="1" zeroHeight="1"/>
  <cols>
    <col min="1" max="1" width="2.33203125" style="5" customWidth="1"/>
    <col min="2" max="2" width="36.77734375" style="48" customWidth="1"/>
    <col min="3" max="4" width="10.77734375" style="48" customWidth="1"/>
    <col min="5" max="5" width="13.77734375" style="48" customWidth="1"/>
    <col min="6" max="8" width="10.77734375" style="48" customWidth="1"/>
    <col min="9" max="9" width="10.77734375" style="5" customWidth="1"/>
    <col min="10" max="11" width="3.33203125" style="5" customWidth="1"/>
    <col min="12" max="12" width="32" style="5" customWidth="1"/>
    <col min="13" max="13" width="11.77734375" style="5" customWidth="1"/>
    <col min="14" max="14" width="3.33203125" style="5" customWidth="1"/>
    <col min="15" max="15" width="7.77734375" style="5" customWidth="1"/>
    <col min="16" max="16" width="10.77734375" style="5" customWidth="1"/>
    <col min="17" max="17" width="3.33203125" style="5" customWidth="1"/>
    <col min="18" max="18" width="7.77734375" style="5" customWidth="1"/>
    <col min="19" max="19" width="13.44140625" style="5" customWidth="1"/>
    <col min="20" max="20" width="3.33203125" style="5" customWidth="1"/>
    <col min="21" max="21" width="19.44140625" style="5" hidden="1" customWidth="1"/>
    <col min="22" max="22" width="14.77734375" style="5" hidden="1" customWidth="1"/>
    <col min="23" max="23" width="10" style="5" hidden="1" customWidth="1"/>
    <col min="24" max="24" width="22.88671875" style="5" hidden="1" customWidth="1"/>
    <col min="25" max="25" width="11.77734375" style="5" hidden="1" customWidth="1"/>
    <col min="26" max="41" width="0" style="5" hidden="1" customWidth="1"/>
    <col min="42" max="16384" width="8.88671875" style="5" hidden="1"/>
  </cols>
  <sheetData>
    <row r="1" spans="2:19" ht="16.5" customHeight="1">
      <c r="B1" s="5"/>
      <c r="C1" s="5"/>
      <c r="D1" s="5"/>
      <c r="E1" s="5"/>
      <c r="F1" s="5"/>
      <c r="G1" s="5"/>
      <c r="H1" s="5"/>
    </row>
    <row r="2" spans="2:19" ht="21">
      <c r="B2" s="707" t="s">
        <v>225</v>
      </c>
      <c r="C2" s="707"/>
      <c r="D2" s="707"/>
      <c r="E2" s="707"/>
      <c r="F2" s="707"/>
      <c r="G2" s="707"/>
      <c r="H2" s="707"/>
      <c r="I2" s="707"/>
      <c r="J2" s="456"/>
      <c r="L2" s="125" t="s">
        <v>406</v>
      </c>
      <c r="M2" s="127"/>
      <c r="N2" s="174"/>
      <c r="O2" s="457" t="s">
        <v>397</v>
      </c>
      <c r="P2" s="198" t="s">
        <v>396</v>
      </c>
      <c r="Q2" s="648"/>
      <c r="R2" s="457" t="s">
        <v>120</v>
      </c>
      <c r="S2" s="459" t="s">
        <v>393</v>
      </c>
    </row>
    <row r="3" spans="2:19" ht="16.5" customHeight="1">
      <c r="B3" s="665"/>
      <c r="C3" s="665"/>
      <c r="D3" s="665"/>
      <c r="E3" s="665"/>
      <c r="F3" s="665"/>
      <c r="G3" s="665"/>
      <c r="H3" s="665"/>
      <c r="I3" s="665"/>
      <c r="L3" s="196" t="s">
        <v>31</v>
      </c>
      <c r="M3" s="196" t="s">
        <v>34</v>
      </c>
      <c r="N3" s="176"/>
      <c r="O3" s="131" t="s">
        <v>388</v>
      </c>
      <c r="P3" s="131" t="s">
        <v>394</v>
      </c>
      <c r="Q3" s="648"/>
      <c r="R3" s="131" t="s">
        <v>383</v>
      </c>
      <c r="S3" s="131" t="s">
        <v>405</v>
      </c>
    </row>
    <row r="4" spans="2:19" ht="16.5" customHeight="1">
      <c r="B4" s="462" t="s">
        <v>88</v>
      </c>
      <c r="C4" s="406" t="s">
        <v>2</v>
      </c>
      <c r="D4" s="463" t="s">
        <v>387</v>
      </c>
      <c r="E4" s="463" t="s">
        <v>32</v>
      </c>
      <c r="F4" s="463" t="s">
        <v>33</v>
      </c>
      <c r="G4" s="463" t="s">
        <v>233</v>
      </c>
      <c r="H4" s="463" t="s">
        <v>93</v>
      </c>
      <c r="I4" s="463" t="s">
        <v>214</v>
      </c>
      <c r="K4" s="460"/>
      <c r="L4" s="193" t="s">
        <v>265</v>
      </c>
      <c r="M4" s="680">
        <v>295</v>
      </c>
      <c r="N4" s="471" t="s">
        <v>106</v>
      </c>
      <c r="O4" s="125"/>
      <c r="P4" s="166">
        <f>G36</f>
        <v>1285.1995663560738</v>
      </c>
      <c r="Q4" s="125"/>
      <c r="R4" s="125"/>
      <c r="S4" s="166">
        <f>H35</f>
        <v>21.143950921493346</v>
      </c>
    </row>
    <row r="5" spans="2:19" ht="16.5" customHeight="1">
      <c r="B5" s="467" t="s">
        <v>94</v>
      </c>
      <c r="C5" s="126" t="s">
        <v>95</v>
      </c>
      <c r="D5" s="166">
        <f>M5</f>
        <v>25</v>
      </c>
      <c r="E5" s="136">
        <f>E11*M9/M7</f>
        <v>5647.0588235294117</v>
      </c>
      <c r="F5" s="468">
        <f>D5*E5</f>
        <v>141176.4705882353</v>
      </c>
      <c r="G5" s="506">
        <f>F5/'Capital Inputs'!$D$7</f>
        <v>11764.705882352942</v>
      </c>
      <c r="H5" s="469">
        <f>D5</f>
        <v>25</v>
      </c>
      <c r="I5" s="470">
        <f>F5/$F$5</f>
        <v>1</v>
      </c>
      <c r="K5" s="460"/>
      <c r="L5" s="125" t="s">
        <v>115</v>
      </c>
      <c r="M5" s="680">
        <v>25</v>
      </c>
      <c r="N5" s="471" t="s">
        <v>165</v>
      </c>
      <c r="O5" s="472">
        <v>15</v>
      </c>
      <c r="P5" s="166">
        <f t="dataTable" ref="P5:P35" dt2D="0" dtr="0" r1="M5"/>
        <v>-3324.0063159968686</v>
      </c>
      <c r="Q5" s="125"/>
      <c r="R5" s="470">
        <v>0.1</v>
      </c>
      <c r="S5" s="166">
        <f t="dataTable" ref="S5:S37" dt2D="0" dtr="0" r1="M9" ca="1"/>
        <v>78.967396837230737</v>
      </c>
    </row>
    <row r="6" spans="2:19" ht="16.5" customHeight="1">
      <c r="B6" s="467" t="s">
        <v>35</v>
      </c>
      <c r="C6" s="126" t="s">
        <v>16</v>
      </c>
      <c r="D6" s="166">
        <f>'Operating Inputs'!D25</f>
        <v>1.5</v>
      </c>
      <c r="E6" s="573">
        <f>E5/M16*M17*D6</f>
        <v>4235.2941176470586</v>
      </c>
      <c r="F6" s="475">
        <f>D6*E6</f>
        <v>6352.9411764705874</v>
      </c>
      <c r="G6" s="507">
        <f>F6/'Capital Inputs'!$D$7</f>
        <v>529.41176470588232</v>
      </c>
      <c r="H6" s="476">
        <f>F6/$E$5</f>
        <v>1.1249999999999998</v>
      </c>
      <c r="I6" s="477">
        <f>F6/$F$5</f>
        <v>4.4999999999999991E-2</v>
      </c>
      <c r="K6" s="466"/>
      <c r="L6" s="125" t="s">
        <v>403</v>
      </c>
      <c r="M6" s="681">
        <f>24/50*2204.6</f>
        <v>1058.2079999999999</v>
      </c>
      <c r="N6" s="471" t="s">
        <v>261</v>
      </c>
      <c r="O6" s="472">
        <v>16</v>
      </c>
      <c r="P6" s="166">
        <v>-2863.085727761576</v>
      </c>
      <c r="Q6" s="125"/>
      <c r="R6" s="470">
        <v>0.125</v>
      </c>
      <c r="S6" s="166">
        <v>63.547811259700772</v>
      </c>
    </row>
    <row r="7" spans="2:19" ht="16.5" customHeight="1">
      <c r="B7" s="479" t="s">
        <v>89</v>
      </c>
      <c r="C7" s="650"/>
      <c r="D7" s="125"/>
      <c r="E7" s="125"/>
      <c r="F7" s="481">
        <f>F5-F6</f>
        <v>134823.5294117647</v>
      </c>
      <c r="G7" s="515">
        <f>G5-G6</f>
        <v>11235.294117647059</v>
      </c>
      <c r="H7" s="482">
        <f>F7/$E$5</f>
        <v>23.875</v>
      </c>
      <c r="I7" s="483">
        <f>F7/$F$5</f>
        <v>0.95499999999999996</v>
      </c>
      <c r="J7" s="48"/>
      <c r="K7" s="466"/>
      <c r="L7" s="193" t="s">
        <v>117</v>
      </c>
      <c r="M7" s="548">
        <v>85</v>
      </c>
      <c r="N7" s="181"/>
      <c r="O7" s="472">
        <v>17</v>
      </c>
      <c r="P7" s="166">
        <v>-2402.1651395262788</v>
      </c>
      <c r="Q7" s="125"/>
      <c r="R7" s="470">
        <v>0.15</v>
      </c>
      <c r="S7" s="166">
        <v>53.268087541347462</v>
      </c>
    </row>
    <row r="8" spans="2:19" ht="16.5" customHeight="1">
      <c r="B8" s="479"/>
      <c r="C8" s="650"/>
      <c r="D8" s="125"/>
      <c r="E8" s="125"/>
      <c r="F8" s="486"/>
      <c r="G8" s="486"/>
      <c r="H8" s="487"/>
      <c r="I8" s="488"/>
      <c r="J8" s="48"/>
      <c r="K8" s="474"/>
      <c r="L8" s="193" t="s">
        <v>266</v>
      </c>
      <c r="M8" s="547">
        <v>100000</v>
      </c>
      <c r="N8" s="471" t="s">
        <v>109</v>
      </c>
      <c r="O8" s="472">
        <v>18</v>
      </c>
      <c r="P8" s="166">
        <v>-1941.2445512909862</v>
      </c>
      <c r="Q8" s="125"/>
      <c r="R8" s="470">
        <v>0.17499999999999999</v>
      </c>
      <c r="S8" s="166">
        <v>45.925427742523659</v>
      </c>
    </row>
    <row r="9" spans="2:19" ht="16.5" customHeight="1">
      <c r="B9" s="490" t="s">
        <v>37</v>
      </c>
      <c r="C9" s="406" t="s">
        <v>2</v>
      </c>
      <c r="D9" s="463" t="s">
        <v>387</v>
      </c>
      <c r="E9" s="463" t="s">
        <v>32</v>
      </c>
      <c r="F9" s="463" t="s">
        <v>33</v>
      </c>
      <c r="G9" s="463" t="s">
        <v>233</v>
      </c>
      <c r="H9" s="463" t="s">
        <v>93</v>
      </c>
      <c r="I9" s="463" t="s">
        <v>214</v>
      </c>
      <c r="J9" s="666">
        <f t="shared" ref="J9:J23" si="0">F10/F$35</f>
        <v>6.242863644776013E-2</v>
      </c>
      <c r="K9" s="466"/>
      <c r="L9" s="193" t="s">
        <v>99</v>
      </c>
      <c r="M9" s="549">
        <v>0.4</v>
      </c>
      <c r="N9" s="489" t="s">
        <v>118</v>
      </c>
      <c r="O9" s="472">
        <v>19</v>
      </c>
      <c r="P9" s="166">
        <v>-1480.3239630556927</v>
      </c>
      <c r="Q9" s="125"/>
      <c r="R9" s="470">
        <v>0.2</v>
      </c>
      <c r="S9" s="166">
        <v>40.418432893405814</v>
      </c>
    </row>
    <row r="10" spans="2:19" ht="16.5" customHeight="1">
      <c r="B10" s="467" t="s">
        <v>38</v>
      </c>
      <c r="C10" s="126" t="s">
        <v>39</v>
      </c>
      <c r="D10" s="166">
        <f>M6</f>
        <v>1058.2079999999999</v>
      </c>
      <c r="E10" s="141">
        <f>E5*M10/C62/1000</f>
        <v>7.0440310641769939</v>
      </c>
      <c r="F10" s="468">
        <f>E10*D10</f>
        <v>7454.0500243606075</v>
      </c>
      <c r="G10" s="491">
        <f>F10/'Capital Inputs'!$D$7</f>
        <v>621.17083536338396</v>
      </c>
      <c r="H10" s="469">
        <f t="shared" ref="H10:H24" si="1">F10/$E$5</f>
        <v>1.3199880251471909</v>
      </c>
      <c r="I10" s="470">
        <f>F10/$F$5</f>
        <v>5.2799521005887633E-2</v>
      </c>
      <c r="J10" s="666">
        <f t="shared" si="0"/>
        <v>1.1859183788830423E-2</v>
      </c>
      <c r="K10" s="466"/>
      <c r="L10" s="193" t="s">
        <v>98</v>
      </c>
      <c r="M10" s="548">
        <v>2.75</v>
      </c>
      <c r="N10" s="471" t="s">
        <v>109</v>
      </c>
      <c r="O10" s="472">
        <v>20</v>
      </c>
      <c r="P10" s="166">
        <v>-1019.4033748203983</v>
      </c>
      <c r="Q10" s="125"/>
      <c r="R10" s="470">
        <v>0.22500000000000001</v>
      </c>
      <c r="S10" s="166">
        <v>36.135214677425267</v>
      </c>
    </row>
    <row r="11" spans="2:19" ht="16.5" customHeight="1">
      <c r="B11" s="467" t="s">
        <v>107</v>
      </c>
      <c r="C11" s="126" t="s">
        <v>41</v>
      </c>
      <c r="D11" s="166"/>
      <c r="E11" s="141">
        <f>M8*'Capital Inputs'!D7</f>
        <v>1200000</v>
      </c>
      <c r="F11" s="468">
        <f>E11*M4/250000</f>
        <v>1416</v>
      </c>
      <c r="G11" s="491">
        <f>F11/'Capital Inputs'!$D$7</f>
        <v>118</v>
      </c>
      <c r="H11" s="469">
        <f t="shared" si="1"/>
        <v>0.25075000000000003</v>
      </c>
      <c r="I11" s="470">
        <f>F11/$F$5</f>
        <v>1.0029999999999999E-2</v>
      </c>
      <c r="J11" s="666">
        <f t="shared" si="0"/>
        <v>3.0150467259738366E-2</v>
      </c>
      <c r="K11" s="466"/>
      <c r="L11" s="194" t="s">
        <v>164</v>
      </c>
      <c r="M11" s="550">
        <v>4</v>
      </c>
      <c r="N11" s="471" t="s">
        <v>109</v>
      </c>
      <c r="O11" s="472">
        <v>21</v>
      </c>
      <c r="P11" s="166">
        <v>-558.4827865851039</v>
      </c>
      <c r="Q11" s="125"/>
      <c r="R11" s="470">
        <v>0.25</v>
      </c>
      <c r="S11" s="166">
        <v>32.708640104640828</v>
      </c>
    </row>
    <row r="12" spans="2:19" ht="16.5" customHeight="1">
      <c r="B12" s="467" t="s">
        <v>6</v>
      </c>
      <c r="C12" s="480"/>
      <c r="D12" s="166"/>
      <c r="E12" s="141"/>
      <c r="F12" s="468">
        <f>'Operating Inputs'!D7*ROUND(M19/12,0)*'Capital Inputs'!D7</f>
        <v>3600</v>
      </c>
      <c r="G12" s="491">
        <f>F12/'Capital Inputs'!$D$7</f>
        <v>300</v>
      </c>
      <c r="H12" s="469">
        <f t="shared" si="1"/>
        <v>0.63749999999999996</v>
      </c>
      <c r="I12" s="470">
        <f>F12/$F$5</f>
        <v>2.5499999999999998E-2</v>
      </c>
      <c r="J12" s="666">
        <f t="shared" si="0"/>
        <v>5.6280872218178284E-3</v>
      </c>
      <c r="K12" s="466"/>
      <c r="L12" s="125" t="s">
        <v>262</v>
      </c>
      <c r="M12" s="550">
        <v>0.5</v>
      </c>
      <c r="N12" s="181"/>
      <c r="O12" s="472">
        <v>22</v>
      </c>
      <c r="P12" s="166">
        <v>-97.562198349809478</v>
      </c>
      <c r="Q12" s="125"/>
      <c r="R12" s="470">
        <v>0.27500000000000002</v>
      </c>
      <c r="S12" s="166">
        <v>29.905079090544469</v>
      </c>
    </row>
    <row r="13" spans="2:19" ht="16.5" customHeight="1">
      <c r="B13" s="467" t="s">
        <v>186</v>
      </c>
      <c r="C13" s="126" t="s">
        <v>40</v>
      </c>
      <c r="D13" s="166">
        <f>'Operating Inputs'!D14</f>
        <v>0.4</v>
      </c>
      <c r="E13" s="141">
        <f>M14*'Capital Inputs'!D7</f>
        <v>1680</v>
      </c>
      <c r="F13" s="468">
        <f>D13*E13</f>
        <v>672</v>
      </c>
      <c r="G13" s="491">
        <f>F13/'Capital Inputs'!$D$7</f>
        <v>56</v>
      </c>
      <c r="H13" s="469">
        <f t="shared" si="1"/>
        <v>0.11899999999999999</v>
      </c>
      <c r="I13" s="396"/>
      <c r="J13" s="666">
        <f t="shared" si="0"/>
        <v>2.3647425301755582E-2</v>
      </c>
      <c r="K13" s="466"/>
      <c r="L13" s="193" t="s">
        <v>137</v>
      </c>
      <c r="M13" s="548">
        <v>980</v>
      </c>
      <c r="N13" s="471" t="s">
        <v>109</v>
      </c>
      <c r="O13" s="472">
        <v>23</v>
      </c>
      <c r="P13" s="166">
        <v>363.35838988548312</v>
      </c>
      <c r="Q13" s="125"/>
      <c r="R13" s="470">
        <v>0.3</v>
      </c>
      <c r="S13" s="166">
        <v>27.568778245464173</v>
      </c>
    </row>
    <row r="14" spans="2:19" ht="16.5" customHeight="1">
      <c r="B14" s="467" t="s">
        <v>42</v>
      </c>
      <c r="C14" s="480"/>
      <c r="D14" s="166"/>
      <c r="E14" s="141"/>
      <c r="F14" s="468">
        <f>'Operating Inputs'!D9*F5</f>
        <v>2823.5294117647059</v>
      </c>
      <c r="G14" s="491">
        <f>F14/'Capital Inputs'!$D$7</f>
        <v>235.29411764705881</v>
      </c>
      <c r="H14" s="469">
        <f t="shared" si="1"/>
        <v>0.5</v>
      </c>
      <c r="I14" s="470">
        <f>F14/$F$5</f>
        <v>0.02</v>
      </c>
      <c r="J14" s="666">
        <f t="shared" si="0"/>
        <v>9.6607122178078344E-3</v>
      </c>
      <c r="K14" s="466"/>
      <c r="L14" s="193" t="s">
        <v>119</v>
      </c>
      <c r="M14" s="548">
        <v>140</v>
      </c>
      <c r="N14" s="471" t="s">
        <v>109</v>
      </c>
      <c r="O14" s="472">
        <v>24</v>
      </c>
      <c r="P14" s="166">
        <v>824.27897812077754</v>
      </c>
      <c r="Q14" s="125"/>
      <c r="R14" s="470">
        <v>0.32500000000000001</v>
      </c>
      <c r="S14" s="166">
        <v>25.591908299626994</v>
      </c>
    </row>
    <row r="15" spans="2:19" ht="16.5" customHeight="1">
      <c r="B15" s="467" t="s">
        <v>11</v>
      </c>
      <c r="C15" s="480"/>
      <c r="D15" s="166"/>
      <c r="E15" s="141"/>
      <c r="F15" s="468">
        <f>('Operating Inputs'!D15*'Operating Inputs'!C42/2000+'Operating Inputs'!C43*'Operating Inputs'!D16+'Operating Inputs'!C44)*'Capital Inputs'!D7</f>
        <v>1153.5</v>
      </c>
      <c r="G15" s="491">
        <f>F15/'Capital Inputs'!$D$7</f>
        <v>96.125</v>
      </c>
      <c r="H15" s="469">
        <f t="shared" si="1"/>
        <v>0.20426562500000001</v>
      </c>
      <c r="I15" s="470">
        <f>F15/$F$5</f>
        <v>8.1706249999999991E-3</v>
      </c>
      <c r="J15" s="666">
        <f t="shared" si="0"/>
        <v>0.10931284733626427</v>
      </c>
      <c r="K15" s="466"/>
      <c r="L15" s="193" t="s">
        <v>170</v>
      </c>
      <c r="M15" s="548">
        <v>400</v>
      </c>
      <c r="N15" s="489" t="s">
        <v>263</v>
      </c>
      <c r="O15" s="472">
        <v>25</v>
      </c>
      <c r="P15" s="166">
        <v>1285.1995663560738</v>
      </c>
      <c r="Q15" s="125"/>
      <c r="R15" s="470">
        <v>0.35</v>
      </c>
      <c r="S15" s="166">
        <v>23.897448346052272</v>
      </c>
    </row>
    <row r="16" spans="2:19" ht="16.5" customHeight="1">
      <c r="B16" s="467" t="s">
        <v>43</v>
      </c>
      <c r="C16" s="480"/>
      <c r="D16" s="166"/>
      <c r="E16" s="141"/>
      <c r="F16" s="468">
        <f>'Capital Inputs'!G40*ROUND(M19/12,0)</f>
        <v>13052.078</v>
      </c>
      <c r="G16" s="491">
        <f>F16/'Capital Inputs'!$D$7</f>
        <v>1087.6731666666667</v>
      </c>
      <c r="H16" s="469">
        <f t="shared" si="1"/>
        <v>2.3113054791666667</v>
      </c>
      <c r="I16" s="470">
        <f>F16/$F$5</f>
        <v>9.2452219166666655E-2</v>
      </c>
      <c r="J16" s="666">
        <f t="shared" si="0"/>
        <v>7.7626962506245858E-2</v>
      </c>
      <c r="K16" s="466"/>
      <c r="L16" s="193" t="s">
        <v>217</v>
      </c>
      <c r="M16" s="551">
        <v>500</v>
      </c>
      <c r="N16" s="471"/>
      <c r="O16" s="472">
        <v>26</v>
      </c>
      <c r="P16" s="166">
        <v>1746.1201545913646</v>
      </c>
      <c r="Q16" s="125"/>
      <c r="R16" s="470">
        <v>0.375</v>
      </c>
      <c r="S16" s="166">
        <v>22.428916386287511</v>
      </c>
    </row>
    <row r="17" spans="2:21" ht="16.5" customHeight="1">
      <c r="B17" s="467" t="s">
        <v>44</v>
      </c>
      <c r="C17" s="480"/>
      <c r="D17" s="166"/>
      <c r="E17" s="141"/>
      <c r="F17" s="468">
        <f>SUM(F18:F21)</f>
        <v>9268.7474000000002</v>
      </c>
      <c r="G17" s="491">
        <f>F17/'Capital Inputs'!$D$7</f>
        <v>772.39561666666668</v>
      </c>
      <c r="H17" s="469">
        <f t="shared" si="1"/>
        <v>1.6413406854166668</v>
      </c>
      <c r="I17" s="470">
        <f>F17/$F$5</f>
        <v>6.5653627416666666E-2</v>
      </c>
      <c r="J17" s="666">
        <f t="shared" si="0"/>
        <v>5.5083848417187891E-3</v>
      </c>
      <c r="K17" s="466"/>
      <c r="L17" s="193" t="s">
        <v>218</v>
      </c>
      <c r="M17" s="551">
        <v>250</v>
      </c>
      <c r="N17" s="181"/>
      <c r="O17" s="472">
        <v>27</v>
      </c>
      <c r="P17" s="166">
        <v>2207.040742826659</v>
      </c>
      <c r="Q17" s="125"/>
      <c r="R17" s="470">
        <v>0.4</v>
      </c>
      <c r="S17" s="166">
        <v>21.143950921493346</v>
      </c>
    </row>
    <row r="18" spans="2:21" ht="16.5" customHeight="1">
      <c r="B18" s="157" t="s">
        <v>171</v>
      </c>
      <c r="C18" s="126" t="s">
        <v>73</v>
      </c>
      <c r="D18" s="166">
        <f>'Operating Inputs'!D22</f>
        <v>0.15</v>
      </c>
      <c r="E18" s="141">
        <f>'Capital Inputs'!D7*M12*0.7457*M13</f>
        <v>4384.7159999999994</v>
      </c>
      <c r="F18" s="133">
        <f>E18*D18</f>
        <v>657.70739999999989</v>
      </c>
      <c r="G18" s="166">
        <f>F18/'Capital Inputs'!$D$7</f>
        <v>54.808949999999989</v>
      </c>
      <c r="H18" s="469">
        <f t="shared" si="1"/>
        <v>0.11646901874999999</v>
      </c>
      <c r="I18" s="396"/>
      <c r="J18" s="666">
        <f t="shared" si="0"/>
        <v>9.0873508320851448E-3</v>
      </c>
      <c r="K18" s="466"/>
      <c r="L18" s="125" t="s">
        <v>407</v>
      </c>
      <c r="M18" s="548">
        <v>4.5</v>
      </c>
      <c r="N18" s="471" t="s">
        <v>109</v>
      </c>
      <c r="O18" s="472">
        <v>28</v>
      </c>
      <c r="P18" s="166">
        <v>2667.9613310619552</v>
      </c>
      <c r="Q18" s="125"/>
      <c r="R18" s="470">
        <v>0.42499999999999999</v>
      </c>
      <c r="S18" s="166">
        <v>20.010157864322025</v>
      </c>
    </row>
    <row r="19" spans="2:21" ht="16.5" customHeight="1">
      <c r="B19" s="157" t="s">
        <v>184</v>
      </c>
      <c r="C19" s="126" t="s">
        <v>73</v>
      </c>
      <c r="D19" s="166">
        <f>'Operating Inputs'!D22</f>
        <v>0.15</v>
      </c>
      <c r="E19" s="141">
        <f>'Operating Inputs'!D20*'Capital Inputs'!D7*'Operating Inputs'!D28*'Operating Inputs'!D29</f>
        <v>7233.6000000000013</v>
      </c>
      <c r="F19" s="133">
        <f>E19*D19</f>
        <v>1085.0400000000002</v>
      </c>
      <c r="G19" s="166">
        <f>F19/'Capital Inputs'!$D$7</f>
        <v>90.420000000000016</v>
      </c>
      <c r="H19" s="469">
        <f t="shared" si="1"/>
        <v>0.19214250000000005</v>
      </c>
      <c r="I19" s="396"/>
      <c r="J19" s="666">
        <f t="shared" si="0"/>
        <v>2.6381658852271068E-2</v>
      </c>
      <c r="K19" s="466"/>
      <c r="L19" s="246" t="s">
        <v>87</v>
      </c>
      <c r="M19" s="638">
        <v>18</v>
      </c>
      <c r="N19" s="471" t="s">
        <v>264</v>
      </c>
      <c r="O19" s="472">
        <v>29</v>
      </c>
      <c r="P19" s="166">
        <v>3128.8819192972496</v>
      </c>
      <c r="Q19" s="125"/>
      <c r="R19" s="470">
        <v>0.45</v>
      </c>
      <c r="S19" s="166">
        <v>19.002341813503072</v>
      </c>
    </row>
    <row r="20" spans="2:21" ht="16.5" customHeight="1">
      <c r="B20" s="157" t="s">
        <v>162</v>
      </c>
      <c r="C20" s="126" t="s">
        <v>226</v>
      </c>
      <c r="D20" s="166">
        <v>3.5</v>
      </c>
      <c r="E20" s="141">
        <f>'Operating Inputs'!D26*M19</f>
        <v>900</v>
      </c>
      <c r="F20" s="133">
        <f>D20*E20</f>
        <v>3150</v>
      </c>
      <c r="G20" s="166">
        <f>F20/'Capital Inputs'!$D$7</f>
        <v>262.5</v>
      </c>
      <c r="H20" s="469">
        <f t="shared" si="1"/>
        <v>0.55781250000000004</v>
      </c>
      <c r="I20" s="396"/>
      <c r="J20" s="666">
        <f t="shared" si="0"/>
        <v>3.6649567980170855E-2</v>
      </c>
      <c r="K20" s="466"/>
      <c r="L20" s="125"/>
      <c r="M20" s="181" t="s">
        <v>355</v>
      </c>
      <c r="N20" s="471" t="s">
        <v>354</v>
      </c>
      <c r="O20" s="472">
        <v>30</v>
      </c>
      <c r="P20" s="166">
        <v>3589.8025075325422</v>
      </c>
      <c r="Q20" s="125"/>
      <c r="R20" s="470">
        <v>0.47499999999999998</v>
      </c>
      <c r="S20" s="166">
        <v>18.100611662770326</v>
      </c>
    </row>
    <row r="21" spans="2:21" ht="16.5" customHeight="1">
      <c r="B21" s="157" t="s">
        <v>204</v>
      </c>
      <c r="C21" s="126"/>
      <c r="D21" s="166"/>
      <c r="E21" s="141"/>
      <c r="F21" s="133">
        <f>('Operating Inputs'!D24*'Operating Inputs'!D22*ROUND(M19/12,0)*12 + 'Operating Inputs'!D21)</f>
        <v>4376</v>
      </c>
      <c r="G21" s="166">
        <f>F21/'Capital Inputs'!$D$7</f>
        <v>364.66666666666669</v>
      </c>
      <c r="H21" s="469">
        <f t="shared" si="1"/>
        <v>0.7749166666666667</v>
      </c>
      <c r="I21" s="396"/>
      <c r="J21" s="666">
        <f t="shared" si="0"/>
        <v>1.8844042037336479E-3</v>
      </c>
      <c r="K21" s="466"/>
      <c r="L21" s="125"/>
      <c r="M21" s="125"/>
      <c r="N21" s="125"/>
      <c r="O21" s="472">
        <v>31</v>
      </c>
      <c r="P21" s="166">
        <v>4050.7230957678385</v>
      </c>
      <c r="Q21" s="125"/>
      <c r="R21" s="470">
        <v>0.5</v>
      </c>
      <c r="S21" s="166">
        <v>17.289054527110853</v>
      </c>
    </row>
    <row r="22" spans="2:21" ht="16.5" customHeight="1">
      <c r="B22" s="467" t="s">
        <v>112</v>
      </c>
      <c r="C22" s="126"/>
      <c r="D22" s="166">
        <f>'Operating Inputs'!D27</f>
        <v>50</v>
      </c>
      <c r="E22" s="302">
        <f>M18</f>
        <v>4.5</v>
      </c>
      <c r="F22" s="133">
        <f>D22*E22</f>
        <v>225</v>
      </c>
      <c r="G22" s="166">
        <f>F22/'Capital Inputs'!$D$7</f>
        <v>18.75</v>
      </c>
      <c r="H22" s="469">
        <f t="shared" si="1"/>
        <v>3.9843749999999997E-2</v>
      </c>
      <c r="I22" s="396"/>
      <c r="J22" s="666">
        <f t="shared" si="0"/>
        <v>9.296394071752663E-2</v>
      </c>
      <c r="K22" s="466"/>
      <c r="L22" s="125"/>
      <c r="M22" s="125"/>
      <c r="N22" s="125"/>
      <c r="O22" s="472">
        <v>32</v>
      </c>
      <c r="P22" s="166">
        <v>4511.6436840031311</v>
      </c>
      <c r="Q22" s="125"/>
      <c r="R22" s="470">
        <v>0.52500000000000002</v>
      </c>
      <c r="S22" s="166">
        <v>16.554788547228476</v>
      </c>
      <c r="T22" s="48"/>
      <c r="U22" s="48"/>
    </row>
    <row r="23" spans="2:21" ht="16.5" customHeight="1">
      <c r="B23" s="467" t="s">
        <v>90</v>
      </c>
      <c r="C23" s="480"/>
      <c r="D23" s="166">
        <f>'Operating Inputs'!D5</f>
        <v>18.5</v>
      </c>
      <c r="E23" s="141">
        <f>M15*M19/12</f>
        <v>600</v>
      </c>
      <c r="F23" s="468">
        <f>'Operating Inputs'!D5*E23</f>
        <v>11100</v>
      </c>
      <c r="G23" s="491">
        <f>F23/'Capital Inputs'!$D$7</f>
        <v>925</v>
      </c>
      <c r="H23" s="469">
        <f t="shared" si="1"/>
        <v>1.965625</v>
      </c>
      <c r="I23" s="470">
        <f>F23/$F$5</f>
        <v>7.8625E-2</v>
      </c>
      <c r="J23" s="666">
        <f t="shared" si="0"/>
        <v>3.0150467259738366E-2</v>
      </c>
      <c r="L23" s="125"/>
      <c r="M23" s="125"/>
      <c r="N23" s="125"/>
      <c r="O23" s="472">
        <v>33</v>
      </c>
      <c r="P23" s="166">
        <v>4972.5642722384237</v>
      </c>
      <c r="Q23" s="125"/>
      <c r="R23" s="470">
        <v>0.55000000000000004</v>
      </c>
      <c r="S23" s="166">
        <v>15.887274020062675</v>
      </c>
      <c r="T23" s="60" t="str">
        <f>R2</f>
        <v>Survival</v>
      </c>
      <c r="U23" s="60" t="str">
        <f>S2</f>
        <v xml:space="preserve">Breakeven price </v>
      </c>
    </row>
    <row r="24" spans="2:21" ht="16.5" customHeight="1">
      <c r="B24" s="467" t="s">
        <v>74</v>
      </c>
      <c r="C24" s="480"/>
      <c r="D24" s="166"/>
      <c r="E24" s="141"/>
      <c r="F24" s="468">
        <f>'Operating Inputs'!D11*M19/12</f>
        <v>3600</v>
      </c>
      <c r="G24" s="491">
        <f>F24/'Capital Inputs'!$D$7</f>
        <v>300</v>
      </c>
      <c r="H24" s="469">
        <f t="shared" si="1"/>
        <v>0.63749999999999996</v>
      </c>
      <c r="I24" s="470">
        <f>F24/$F$5</f>
        <v>2.5499999999999998E-2</v>
      </c>
      <c r="J24" s="666"/>
      <c r="L24" s="125"/>
      <c r="M24" s="125"/>
      <c r="N24" s="125"/>
      <c r="O24" s="472">
        <v>34</v>
      </c>
      <c r="P24" s="166">
        <v>5433.4848604737181</v>
      </c>
      <c r="Q24" s="125"/>
      <c r="R24" s="470">
        <v>0.57499999999999996</v>
      </c>
      <c r="S24" s="166">
        <v>15.277804234389553</v>
      </c>
      <c r="T24" s="61">
        <f t="shared" ref="T24:T39" si="2">R22</f>
        <v>0.52500000000000002</v>
      </c>
      <c r="U24" s="62">
        <f t="shared" ref="U24:U39" si="3">S22</f>
        <v>16.554788547228476</v>
      </c>
    </row>
    <row r="25" spans="2:21" ht="16.5" customHeight="1">
      <c r="B25" s="467" t="s">
        <v>45</v>
      </c>
      <c r="C25" s="480"/>
      <c r="D25" s="125"/>
      <c r="E25" s="125"/>
      <c r="F25" s="546">
        <v>0</v>
      </c>
      <c r="G25" s="491">
        <f>F25/'Capital Inputs'!$D$7</f>
        <v>0</v>
      </c>
      <c r="H25" s="469">
        <f>F25/$E$5</f>
        <v>0</v>
      </c>
      <c r="I25" s="470">
        <f>F25/$F$5</f>
        <v>0</v>
      </c>
      <c r="J25" s="666">
        <f>F25/F$35</f>
        <v>0</v>
      </c>
      <c r="L25" s="125"/>
      <c r="M25" s="125"/>
      <c r="N25" s="125"/>
      <c r="O25" s="472">
        <v>35</v>
      </c>
      <c r="P25" s="166">
        <v>5894.4054487090107</v>
      </c>
      <c r="Q25" s="125"/>
      <c r="R25" s="470">
        <v>0.6</v>
      </c>
      <c r="S25" s="166">
        <v>14.719123597522525</v>
      </c>
      <c r="T25" s="61">
        <f t="shared" si="2"/>
        <v>0.55000000000000004</v>
      </c>
      <c r="U25" s="62">
        <f t="shared" si="3"/>
        <v>15.887274020062675</v>
      </c>
    </row>
    <row r="26" spans="2:21" ht="16.5" customHeight="1">
      <c r="B26" s="467" t="s">
        <v>46</v>
      </c>
      <c r="C26" s="480" t="s">
        <v>14</v>
      </c>
      <c r="D26" s="497">
        <f>'Operating Inputs'!D12</f>
        <v>7.2499999999999995E-2</v>
      </c>
      <c r="E26" s="125"/>
      <c r="F26" s="475">
        <f>SUM(F10:F17,F22:F25)/2*(1-'Operating Inputs'!D13)*D26*M19/12</f>
        <v>1478.0458502321569</v>
      </c>
      <c r="G26" s="498">
        <f>F26/'Capital Inputs'!$D$7</f>
        <v>123.17048751934641</v>
      </c>
      <c r="H26" s="476">
        <f>F26/$E$5</f>
        <v>0.26173728597861112</v>
      </c>
      <c r="I26" s="477">
        <f>F26/$F$5</f>
        <v>1.0469491439144444E-2</v>
      </c>
      <c r="J26" s="666">
        <f>F26/F$35</f>
        <v>1.2378825837726889E-2</v>
      </c>
      <c r="L26" s="125"/>
      <c r="M26" s="125"/>
      <c r="N26" s="125"/>
      <c r="O26" s="472">
        <v>36</v>
      </c>
      <c r="P26" s="166">
        <v>6355.3260369443087</v>
      </c>
      <c r="Q26" s="125"/>
      <c r="R26" s="470">
        <v>0.625</v>
      </c>
      <c r="S26" s="166">
        <v>14.205137411604859</v>
      </c>
      <c r="T26" s="61">
        <f t="shared" si="2"/>
        <v>0.57499999999999996</v>
      </c>
      <c r="U26" s="62">
        <f t="shared" si="3"/>
        <v>15.277804234389553</v>
      </c>
    </row>
    <row r="27" spans="2:21" ht="16.5" customHeight="1">
      <c r="B27" s="499" t="s">
        <v>47</v>
      </c>
      <c r="C27" s="618"/>
      <c r="D27" s="125"/>
      <c r="E27" s="125"/>
      <c r="F27" s="501">
        <f>SUM(F10:F26)-F17</f>
        <v>55842.950686357472</v>
      </c>
      <c r="G27" s="667">
        <f>F27/'Capital Inputs'!$D$7</f>
        <v>4653.5792238631229</v>
      </c>
      <c r="H27" s="482">
        <f>F27/$E$5</f>
        <v>9.8888558507091364</v>
      </c>
      <c r="I27" s="483">
        <f>F27/$F$5</f>
        <v>0.39555423402836543</v>
      </c>
      <c r="J27" s="666">
        <f>F27/F$35</f>
        <v>0.46769196009894581</v>
      </c>
      <c r="L27" s="125"/>
      <c r="M27" s="125"/>
      <c r="N27" s="125"/>
      <c r="O27" s="472">
        <v>37</v>
      </c>
      <c r="P27" s="166">
        <v>6816.2466251796031</v>
      </c>
      <c r="Q27" s="125"/>
      <c r="R27" s="470">
        <v>0.65</v>
      </c>
      <c r="S27" s="166">
        <v>13.730688624603935</v>
      </c>
      <c r="T27" s="61">
        <f t="shared" si="2"/>
        <v>0.6</v>
      </c>
      <c r="U27" s="62">
        <f t="shared" si="3"/>
        <v>14.719123597522525</v>
      </c>
    </row>
    <row r="28" spans="2:21" ht="16.5" customHeight="1">
      <c r="B28" s="499"/>
      <c r="C28" s="618"/>
      <c r="D28" s="125"/>
      <c r="E28" s="125"/>
      <c r="F28" s="503"/>
      <c r="G28" s="503"/>
      <c r="H28" s="504"/>
      <c r="I28" s="488"/>
      <c r="J28" s="666"/>
      <c r="L28" s="125"/>
      <c r="M28" s="125"/>
      <c r="N28" s="125"/>
      <c r="O28" s="472">
        <v>38</v>
      </c>
      <c r="P28" s="166">
        <v>7277.1672134148994</v>
      </c>
      <c r="Q28" s="125"/>
      <c r="R28" s="470">
        <v>0.67500000000000004</v>
      </c>
      <c r="S28" s="166">
        <v>13.291384192195675</v>
      </c>
      <c r="T28" s="61">
        <f t="shared" si="2"/>
        <v>0.625</v>
      </c>
      <c r="U28" s="62">
        <f t="shared" si="3"/>
        <v>14.205137411604859</v>
      </c>
    </row>
    <row r="29" spans="2:21" ht="16.5" customHeight="1">
      <c r="B29" s="490" t="s">
        <v>48</v>
      </c>
      <c r="C29" s="406" t="s">
        <v>2</v>
      </c>
      <c r="D29" s="463" t="s">
        <v>387</v>
      </c>
      <c r="E29" s="463" t="s">
        <v>32</v>
      </c>
      <c r="F29" s="463" t="s">
        <v>33</v>
      </c>
      <c r="G29" s="463" t="s">
        <v>233</v>
      </c>
      <c r="H29" s="463" t="s">
        <v>93</v>
      </c>
      <c r="I29" s="463" t="s">
        <v>214</v>
      </c>
      <c r="J29" s="666">
        <f>F30/F$35</f>
        <v>1.8131251229074281E-2</v>
      </c>
      <c r="L29" s="125"/>
      <c r="M29" s="125"/>
      <c r="N29" s="125"/>
      <c r="O29" s="472">
        <v>39</v>
      </c>
      <c r="P29" s="166">
        <v>7738.087801650192</v>
      </c>
      <c r="Q29" s="182"/>
      <c r="R29" s="470">
        <v>0.7</v>
      </c>
      <c r="S29" s="166">
        <v>12.883458647816575</v>
      </c>
      <c r="T29" s="61">
        <f t="shared" si="2"/>
        <v>0.65</v>
      </c>
      <c r="U29" s="62">
        <f t="shared" si="3"/>
        <v>13.730688624603935</v>
      </c>
    </row>
    <row r="30" spans="2:21" ht="16.5" customHeight="1">
      <c r="B30" s="467" t="s">
        <v>25</v>
      </c>
      <c r="C30" s="480" t="s">
        <v>81</v>
      </c>
      <c r="D30" s="505"/>
      <c r="E30" s="125"/>
      <c r="F30" s="506">
        <f>'Operating Inputs'!D31*'Capital Inputs'!K40</f>
        <v>2164.8919687500002</v>
      </c>
      <c r="G30" s="506">
        <f>F30/'Capital Inputs'!$D$7</f>
        <v>180.4076640625</v>
      </c>
      <c r="H30" s="469">
        <f t="shared" ref="H30:H36" si="4">F30/$E$5</f>
        <v>0.38336628613281254</v>
      </c>
      <c r="I30" s="470">
        <f t="shared" ref="I30:I36" si="5">F30/$F$5</f>
        <v>1.53346514453125E-2</v>
      </c>
      <c r="J30" s="666">
        <f>F31/F$35</f>
        <v>1.2562694691557652E-2</v>
      </c>
      <c r="L30" s="125"/>
      <c r="M30" s="125"/>
      <c r="N30" s="125"/>
      <c r="O30" s="472">
        <v>40</v>
      </c>
      <c r="P30" s="166">
        <v>8199.0083898854864</v>
      </c>
      <c r="Q30" s="183"/>
      <c r="R30" s="470">
        <v>0.72499999999999998</v>
      </c>
      <c r="S30" s="166">
        <v>12.50366589960155</v>
      </c>
      <c r="T30" s="61">
        <f t="shared" si="2"/>
        <v>0.67500000000000004</v>
      </c>
      <c r="U30" s="62">
        <f t="shared" si="3"/>
        <v>13.291384192195675</v>
      </c>
    </row>
    <row r="31" spans="2:21" ht="16.5" customHeight="1">
      <c r="B31" s="467" t="s">
        <v>49</v>
      </c>
      <c r="C31" s="480" t="s">
        <v>81</v>
      </c>
      <c r="D31" s="505"/>
      <c r="E31" s="125"/>
      <c r="F31" s="506">
        <f>'Operating Inputs'!D32</f>
        <v>1500</v>
      </c>
      <c r="G31" s="506">
        <f>F31/'Capital Inputs'!$D$7</f>
        <v>125</v>
      </c>
      <c r="H31" s="469">
        <f t="shared" si="4"/>
        <v>0.265625</v>
      </c>
      <c r="I31" s="470">
        <f t="shared" si="5"/>
        <v>1.0624999999999999E-2</v>
      </c>
      <c r="J31" s="666">
        <f>F32/F$35</f>
        <v>0.50161409398042223</v>
      </c>
      <c r="L31" s="125"/>
      <c r="M31" s="125"/>
      <c r="N31" s="125"/>
      <c r="O31" s="472">
        <v>41</v>
      </c>
      <c r="P31" s="166">
        <v>8659.9289781207772</v>
      </c>
      <c r="Q31" s="183"/>
      <c r="R31" s="470">
        <v>0.75</v>
      </c>
      <c r="S31" s="166">
        <v>12.149192667934194</v>
      </c>
      <c r="T31" s="61">
        <f t="shared" si="2"/>
        <v>0.7</v>
      </c>
      <c r="U31" s="62">
        <f t="shared" si="3"/>
        <v>12.883458647816575</v>
      </c>
    </row>
    <row r="32" spans="2:21" ht="16.5" customHeight="1">
      <c r="B32" s="467" t="s">
        <v>108</v>
      </c>
      <c r="C32" s="650"/>
      <c r="D32" s="497">
        <f>'Operating Inputs'!D34</f>
        <v>7.2499999999999995E-2</v>
      </c>
      <c r="E32" s="125"/>
      <c r="F32" s="507">
        <f>'Capital Inputs'!L40*ROUND(M19/12,0)</f>
        <v>59893.291960384369</v>
      </c>
      <c r="G32" s="507">
        <f>F32/'Capital Inputs'!$D$7</f>
        <v>4991.1076633653638</v>
      </c>
      <c r="H32" s="476">
        <f t="shared" si="4"/>
        <v>10.606103784651399</v>
      </c>
      <c r="I32" s="477">
        <f t="shared" si="5"/>
        <v>0.42424415138605592</v>
      </c>
      <c r="J32" s="666">
        <f>F33/F$35</f>
        <v>0.53230803990105413</v>
      </c>
      <c r="L32" s="125"/>
      <c r="M32" s="125"/>
      <c r="N32" s="125"/>
      <c r="O32" s="472">
        <v>42</v>
      </c>
      <c r="P32" s="166">
        <v>9120.8495663560734</v>
      </c>
      <c r="Q32" s="184"/>
      <c r="R32" s="470">
        <v>0.77500000000000002</v>
      </c>
      <c r="S32" s="166">
        <v>11.817588677019573</v>
      </c>
      <c r="T32" s="61">
        <f t="shared" si="2"/>
        <v>0.72499999999999998</v>
      </c>
      <c r="U32" s="62">
        <f t="shared" si="3"/>
        <v>12.50366589960155</v>
      </c>
    </row>
    <row r="33" spans="2:21" ht="16.5" customHeight="1">
      <c r="B33" s="499" t="s">
        <v>50</v>
      </c>
      <c r="C33" s="618"/>
      <c r="D33" s="125"/>
      <c r="E33" s="125"/>
      <c r="F33" s="508">
        <f>SUM(F30:F32)</f>
        <v>63558.183929134371</v>
      </c>
      <c r="G33" s="508">
        <f>SUM(G30:G32)</f>
        <v>5296.5153274278637</v>
      </c>
      <c r="H33" s="482">
        <f t="shared" si="4"/>
        <v>11.255095070784211</v>
      </c>
      <c r="I33" s="483">
        <f t="shared" si="5"/>
        <v>0.45020380283136846</v>
      </c>
      <c r="J33" s="666">
        <f>F35/F$35</f>
        <v>1</v>
      </c>
      <c r="L33" s="125"/>
      <c r="M33" s="125"/>
      <c r="N33" s="125"/>
      <c r="O33" s="472">
        <v>43</v>
      </c>
      <c r="P33" s="166">
        <v>9581.7701545913696</v>
      </c>
      <c r="Q33" s="184"/>
      <c r="R33" s="470">
        <v>0.8</v>
      </c>
      <c r="S33" s="166">
        <v>11.506709935537113</v>
      </c>
      <c r="T33" s="61">
        <f t="shared" si="2"/>
        <v>0.75</v>
      </c>
      <c r="U33" s="62">
        <f t="shared" si="3"/>
        <v>12.149192667934194</v>
      </c>
    </row>
    <row r="34" spans="2:21" ht="16.5" customHeight="1">
      <c r="B34" s="499"/>
      <c r="C34" s="618"/>
      <c r="D34" s="125"/>
      <c r="E34" s="125"/>
      <c r="F34" s="508"/>
      <c r="G34" s="508"/>
      <c r="H34" s="469"/>
      <c r="I34" s="483"/>
      <c r="J34" s="666">
        <f>F36/F$35</f>
        <v>0.12916455815882891</v>
      </c>
      <c r="L34" s="125"/>
      <c r="M34" s="125"/>
      <c r="N34" s="125"/>
      <c r="O34" s="472">
        <v>44</v>
      </c>
      <c r="P34" s="166">
        <v>10042.690742826664</v>
      </c>
      <c r="Q34" s="184"/>
      <c r="R34" s="470">
        <v>0.82499999999999996</v>
      </c>
      <c r="S34" s="166">
        <v>11.214672329902076</v>
      </c>
      <c r="T34" s="61">
        <f t="shared" si="2"/>
        <v>0.77500000000000002</v>
      </c>
      <c r="U34" s="62">
        <f t="shared" si="3"/>
        <v>11.817588677019573</v>
      </c>
    </row>
    <row r="35" spans="2:21" ht="16.5" customHeight="1">
      <c r="B35" s="653" t="s">
        <v>51</v>
      </c>
      <c r="C35" s="653"/>
      <c r="D35" s="134"/>
      <c r="E35" s="134"/>
      <c r="F35" s="668">
        <f>SUM(F33,F27)</f>
        <v>119401.13461549184</v>
      </c>
      <c r="G35" s="668">
        <f>SUM(G33,G27)</f>
        <v>9950.0945512909857</v>
      </c>
      <c r="H35" s="669">
        <f t="shared" si="4"/>
        <v>21.143950921493346</v>
      </c>
      <c r="I35" s="654">
        <f t="shared" si="5"/>
        <v>0.84575803685973383</v>
      </c>
      <c r="J35" s="48"/>
      <c r="L35" s="125"/>
      <c r="M35" s="125"/>
      <c r="N35" s="125"/>
      <c r="O35" s="513">
        <v>45</v>
      </c>
      <c r="P35" s="192">
        <v>10503.611331061955</v>
      </c>
      <c r="Q35" s="184"/>
      <c r="R35" s="470">
        <v>0.85</v>
      </c>
      <c r="S35" s="166">
        <v>10.939813406951451</v>
      </c>
      <c r="T35" s="61">
        <f t="shared" si="2"/>
        <v>0.8</v>
      </c>
      <c r="U35" s="62">
        <f t="shared" si="3"/>
        <v>11.506709935537113</v>
      </c>
    </row>
    <row r="36" spans="2:21" ht="16.5" customHeight="1">
      <c r="B36" s="516" t="s">
        <v>121</v>
      </c>
      <c r="C36" s="516"/>
      <c r="D36" s="129"/>
      <c r="E36" s="129"/>
      <c r="F36" s="517">
        <f>F7-F35</f>
        <v>15422.394796272856</v>
      </c>
      <c r="G36" s="517">
        <f>G7-G35</f>
        <v>1285.1995663560738</v>
      </c>
      <c r="H36" s="518">
        <f t="shared" si="4"/>
        <v>2.7310490785066515</v>
      </c>
      <c r="I36" s="512">
        <f t="shared" si="5"/>
        <v>0.10924196314026606</v>
      </c>
      <c r="J36" s="48"/>
      <c r="L36" s="125"/>
      <c r="M36" s="125"/>
      <c r="N36" s="125"/>
      <c r="O36" s="470"/>
      <c r="P36" s="186"/>
      <c r="Q36" s="184"/>
      <c r="R36" s="470">
        <v>0.875</v>
      </c>
      <c r="S36" s="166">
        <v>10.680660708169437</v>
      </c>
      <c r="T36" s="61">
        <f t="shared" si="2"/>
        <v>0.82499999999999996</v>
      </c>
      <c r="U36" s="62">
        <f t="shared" si="3"/>
        <v>11.214672329902076</v>
      </c>
    </row>
    <row r="37" spans="2:21" ht="16.5" customHeight="1">
      <c r="B37" s="125"/>
      <c r="C37" s="125"/>
      <c r="D37" s="125"/>
      <c r="E37" s="125"/>
      <c r="H37" s="125"/>
      <c r="I37" s="125"/>
      <c r="J37" s="48"/>
      <c r="L37" s="125"/>
      <c r="M37" s="125"/>
      <c r="N37" s="125"/>
      <c r="O37" s="470"/>
      <c r="P37" s="187"/>
      <c r="Q37" s="184"/>
      <c r="R37" s="477">
        <v>0.9</v>
      </c>
      <c r="S37" s="192">
        <v>10.435905381541975</v>
      </c>
      <c r="T37" s="61">
        <f t="shared" si="2"/>
        <v>0.85</v>
      </c>
      <c r="U37" s="62">
        <f t="shared" si="3"/>
        <v>10.939813406951451</v>
      </c>
    </row>
    <row r="38" spans="2:21" ht="16.5" customHeight="1">
      <c r="B38" s="655" t="s">
        <v>326</v>
      </c>
      <c r="C38" s="656" cm="1">
        <f t="array" ref="C38">IFERROR(INDEX(_xlfn._xlws.FILTER(B67:B76,F66:F75&gt; 0), 1),"&gt;25 years")</f>
        <v>9</v>
      </c>
      <c r="D38" s="125"/>
      <c r="E38" s="125"/>
      <c r="H38" s="125"/>
      <c r="I38" s="125"/>
      <c r="J38" s="521"/>
      <c r="R38" s="61">
        <f t="shared" ref="R38:S40" si="6">R19</f>
        <v>0.45</v>
      </c>
      <c r="S38" s="62">
        <f t="shared" si="6"/>
        <v>19.002341813503072</v>
      </c>
      <c r="T38" s="61">
        <f t="shared" si="2"/>
        <v>0.875</v>
      </c>
      <c r="U38" s="62">
        <f t="shared" si="3"/>
        <v>10.680660708169437</v>
      </c>
    </row>
    <row r="39" spans="2:21" ht="16.5" customHeight="1">
      <c r="B39" s="524" t="s">
        <v>331</v>
      </c>
      <c r="C39" s="525">
        <f>IFERROR(IRR(E66:E76),"High loss")</f>
        <v>9.5636573679244608E-2</v>
      </c>
      <c r="D39" s="125"/>
      <c r="E39" s="125"/>
      <c r="H39" s="125"/>
      <c r="I39" s="125"/>
      <c r="J39" s="523"/>
      <c r="R39" s="61">
        <f t="shared" si="6"/>
        <v>0.47499999999999998</v>
      </c>
      <c r="S39" s="62">
        <f t="shared" si="6"/>
        <v>18.100611662770326</v>
      </c>
      <c r="T39" s="61">
        <f t="shared" si="2"/>
        <v>0.9</v>
      </c>
      <c r="U39" s="62">
        <f t="shared" si="3"/>
        <v>10.435905381541975</v>
      </c>
    </row>
    <row r="40" spans="2:21" ht="16.5" customHeight="1">
      <c r="B40" s="526" t="str">
        <f>"NPV at " &amp; 100*D32 &amp; " % in 10 years"</f>
        <v>NPV at 7.25 % in 10 years</v>
      </c>
      <c r="C40" s="527">
        <f>NPV(D32,E66:E76)</f>
        <v>56336.908201870807</v>
      </c>
      <c r="D40" s="125"/>
      <c r="E40" s="125"/>
      <c r="F40" s="125"/>
      <c r="G40" s="125"/>
      <c r="H40" s="125"/>
      <c r="I40" s="125"/>
      <c r="J40" s="48"/>
      <c r="R40" s="61">
        <f t="shared" si="6"/>
        <v>0.5</v>
      </c>
      <c r="S40" s="62">
        <f t="shared" si="6"/>
        <v>17.289054527110853</v>
      </c>
      <c r="T40" s="48"/>
      <c r="U40" s="48"/>
    </row>
    <row r="41" spans="2:21" ht="16.5" customHeight="1">
      <c r="B41" s="125"/>
      <c r="C41" s="125"/>
      <c r="D41" s="125"/>
      <c r="E41" s="125"/>
      <c r="F41" s="260" t="s">
        <v>36</v>
      </c>
      <c r="G41" s="260"/>
      <c r="H41" s="626"/>
      <c r="I41" s="626">
        <f>F7</f>
        <v>134823.5294117647</v>
      </c>
      <c r="R41" s="61"/>
      <c r="S41" s="48"/>
      <c r="T41" s="48"/>
      <c r="U41" s="48"/>
    </row>
    <row r="42" spans="2:21" ht="33" customHeight="1">
      <c r="B42" s="657"/>
      <c r="C42" s="529" t="s">
        <v>393</v>
      </c>
      <c r="D42" s="529" t="s">
        <v>389</v>
      </c>
      <c r="E42" s="530" t="s">
        <v>391</v>
      </c>
      <c r="F42" s="260" t="s">
        <v>54</v>
      </c>
      <c r="R42" s="61"/>
      <c r="S42" s="48"/>
      <c r="T42" s="48"/>
      <c r="U42" s="48"/>
    </row>
    <row r="43" spans="2:21" ht="16.5" customHeight="1">
      <c r="B43" s="650"/>
      <c r="C43" s="534" t="s">
        <v>388</v>
      </c>
      <c r="D43" s="534" t="s">
        <v>390</v>
      </c>
      <c r="E43" s="534" t="s">
        <v>392</v>
      </c>
      <c r="F43" s="260" t="s">
        <v>55</v>
      </c>
      <c r="J43" s="532"/>
      <c r="R43" s="670"/>
    </row>
    <row r="44" spans="2:21" ht="16.5" customHeight="1">
      <c r="B44" s="650" t="s">
        <v>52</v>
      </c>
      <c r="C44" s="682">
        <f>H27</f>
        <v>9.8888558507091364</v>
      </c>
      <c r="D44" s="659">
        <f>F27/H7</f>
        <v>2338.9717564966481</v>
      </c>
      <c r="E44" s="217">
        <f>D44*M7/M9</f>
        <v>497031.49825553771</v>
      </c>
      <c r="F44" s="261"/>
      <c r="G44" s="261"/>
      <c r="H44" s="261"/>
      <c r="I44" s="125"/>
      <c r="J44" s="532"/>
      <c r="R44" s="670"/>
    </row>
    <row r="45" spans="2:21" ht="16.5" customHeight="1">
      <c r="B45" s="660" t="s">
        <v>53</v>
      </c>
      <c r="C45" s="683">
        <f>H35</f>
        <v>21.143950921493346</v>
      </c>
      <c r="D45" s="661">
        <f>F35/H7</f>
        <v>5001.09464358081</v>
      </c>
      <c r="E45" s="278">
        <f>D45*M7/M9</f>
        <v>1062732.611760922</v>
      </c>
      <c r="F45" s="261"/>
      <c r="G45" s="261"/>
      <c r="H45" s="261"/>
      <c r="I45" s="662"/>
      <c r="J45" s="532"/>
      <c r="R45" s="670"/>
    </row>
    <row r="46" spans="2:21" ht="17.25" hidden="1">
      <c r="B46" s="650"/>
      <c r="C46" s="658"/>
      <c r="D46" s="659"/>
      <c r="E46" s="217"/>
      <c r="F46" s="261"/>
      <c r="G46" s="261"/>
      <c r="H46" s="261"/>
      <c r="I46" s="662"/>
      <c r="J46" s="532"/>
      <c r="R46" s="670"/>
    </row>
    <row r="47" spans="2:21" ht="17.25" hidden="1">
      <c r="B47" s="650"/>
      <c r="C47" s="658"/>
      <c r="D47" s="659"/>
      <c r="E47" s="217"/>
      <c r="F47" s="261"/>
      <c r="G47" s="261"/>
      <c r="H47" s="261"/>
      <c r="I47" s="662"/>
      <c r="J47" s="532"/>
      <c r="R47" s="670"/>
    </row>
    <row r="48" spans="2:21" ht="17.25" hidden="1">
      <c r="B48" s="650"/>
      <c r="C48" s="658"/>
      <c r="D48" s="659"/>
      <c r="E48" s="217"/>
      <c r="F48" s="261"/>
      <c r="G48" s="261"/>
      <c r="H48" s="261"/>
      <c r="I48" s="662"/>
      <c r="R48" s="670"/>
    </row>
    <row r="49" spans="2:6" ht="17.25" hidden="1">
      <c r="B49" s="650"/>
      <c r="C49" s="658"/>
      <c r="D49" s="659"/>
      <c r="E49" s="217"/>
      <c r="F49" s="261"/>
    </row>
    <row r="50" spans="2:6" ht="17.25" hidden="1">
      <c r="B50" s="650"/>
      <c r="C50" s="658"/>
      <c r="D50" s="659"/>
      <c r="E50" s="217"/>
      <c r="F50" s="261"/>
    </row>
    <row r="51" spans="2:6" ht="17.25" hidden="1">
      <c r="B51" s="650"/>
      <c r="C51" s="658"/>
      <c r="D51" s="659"/>
      <c r="E51" s="217"/>
      <c r="F51" s="261"/>
    </row>
    <row r="52" spans="2:6" ht="17.25" hidden="1">
      <c r="B52" s="125"/>
      <c r="C52" s="125"/>
      <c r="D52" s="125"/>
      <c r="E52" s="125"/>
      <c r="F52" s="626"/>
    </row>
    <row r="53" spans="2:6" ht="17.25" hidden="1">
      <c r="B53" s="125"/>
      <c r="C53" s="125"/>
      <c r="D53" s="125"/>
      <c r="E53" s="125"/>
      <c r="F53" s="626"/>
    </row>
    <row r="54" spans="2:6" ht="17.25" hidden="1">
      <c r="B54" s="125"/>
      <c r="C54" s="125"/>
      <c r="D54" s="125"/>
      <c r="E54" s="125"/>
      <c r="F54" s="260"/>
    </row>
    <row r="55" spans="2:6" ht="17.25" hidden="1">
      <c r="B55" s="181"/>
      <c r="C55" s="181"/>
      <c r="D55" s="181"/>
      <c r="E55" s="181"/>
      <c r="F55" s="260"/>
    </row>
    <row r="56" spans="2:6" ht="17.25" hidden="1">
      <c r="B56" s="181"/>
      <c r="C56" s="181"/>
      <c r="D56" s="181"/>
      <c r="E56" s="181"/>
      <c r="F56" s="260"/>
    </row>
    <row r="57" spans="2:6" ht="17.25" hidden="1">
      <c r="B57" s="181"/>
      <c r="C57" s="671"/>
      <c r="D57" s="181"/>
      <c r="E57" s="181"/>
      <c r="F57" s="260"/>
    </row>
    <row r="58" spans="2:6" ht="17.25" hidden="1">
      <c r="B58" s="181" t="s">
        <v>103</v>
      </c>
      <c r="C58" s="181"/>
      <c r="D58" s="181"/>
      <c r="E58" s="181"/>
      <c r="F58" s="260"/>
    </row>
    <row r="59" spans="2:6" ht="17.25" hidden="1">
      <c r="B59" s="181" t="s">
        <v>100</v>
      </c>
      <c r="C59" s="225">
        <v>1068.5999999999999</v>
      </c>
      <c r="D59" s="181" t="s">
        <v>101</v>
      </c>
      <c r="E59" s="181"/>
      <c r="F59" s="260"/>
    </row>
    <row r="60" spans="2:6" ht="17.25" hidden="1">
      <c r="B60" s="181" t="s">
        <v>104</v>
      </c>
      <c r="C60" s="225">
        <v>325.85000000000002</v>
      </c>
      <c r="D60" s="181" t="s">
        <v>101</v>
      </c>
      <c r="E60" s="181"/>
      <c r="F60" s="260"/>
    </row>
    <row r="61" spans="2:6" ht="17.25" hidden="1">
      <c r="B61" s="181" t="s">
        <v>105</v>
      </c>
      <c r="C61" s="181">
        <v>3.28084</v>
      </c>
      <c r="D61" s="181" t="s">
        <v>102</v>
      </c>
      <c r="E61" s="181"/>
      <c r="F61" s="260"/>
    </row>
    <row r="62" spans="2:6" ht="17.25" hidden="1">
      <c r="B62" s="672" t="s">
        <v>96</v>
      </c>
      <c r="C62" s="673">
        <v>2.2046199999999998</v>
      </c>
      <c r="D62" s="181" t="s">
        <v>40</v>
      </c>
      <c r="E62" s="674">
        <f>F7-F27-F30-F31</f>
        <v>75315.686756657218</v>
      </c>
      <c r="F62" s="260"/>
    </row>
    <row r="63" spans="2:6" ht="17.25" hidden="1">
      <c r="B63" s="181"/>
      <c r="C63" s="181"/>
      <c r="D63" s="181"/>
      <c r="E63" s="181"/>
      <c r="F63" s="260"/>
    </row>
    <row r="64" spans="2:6" ht="17.25" hidden="1">
      <c r="B64" s="181"/>
      <c r="C64" s="181"/>
      <c r="D64" s="181"/>
      <c r="E64" s="181"/>
      <c r="F64" s="227" t="s">
        <v>322</v>
      </c>
    </row>
    <row r="65" spans="2:6" ht="17.25" hidden="1">
      <c r="B65" s="227" t="s">
        <v>317</v>
      </c>
      <c r="C65" s="227" t="s">
        <v>319</v>
      </c>
      <c r="D65" s="675" t="s">
        <v>320</v>
      </c>
      <c r="E65" s="675" t="s">
        <v>321</v>
      </c>
      <c r="F65" s="231">
        <f>E66</f>
        <v>-423964</v>
      </c>
    </row>
    <row r="66" spans="2:6" ht="17.25" hidden="1">
      <c r="B66" s="229">
        <v>0</v>
      </c>
      <c r="C66" s="676">
        <f>'Capital Inputs'!F43</f>
        <v>423964</v>
      </c>
      <c r="D66" s="676">
        <v>0</v>
      </c>
      <c r="E66" s="676">
        <f>D66-C66</f>
        <v>-423964</v>
      </c>
      <c r="F66" s="231">
        <f t="shared" ref="F66:F75" si="7">F65+E67</f>
        <v>-373753.54216222849</v>
      </c>
    </row>
    <row r="67" spans="2:6" ht="17.25" hidden="1">
      <c r="B67" s="229">
        <v>1</v>
      </c>
      <c r="C67" s="676">
        <f>'Cash flow for investments-  Sto'!C2</f>
        <v>0</v>
      </c>
      <c r="D67" s="676">
        <f t="shared" ref="D67:D76" si="8">E$62*12/18</f>
        <v>50210.457837771479</v>
      </c>
      <c r="E67" s="676">
        <f t="shared" ref="E67:E75" si="9">D67-C67</f>
        <v>50210.457837771479</v>
      </c>
      <c r="F67" s="231">
        <f t="shared" si="7"/>
        <v>-323543.08432445698</v>
      </c>
    </row>
    <row r="68" spans="2:6" ht="17.25" hidden="1">
      <c r="B68" s="229">
        <v>2</v>
      </c>
      <c r="C68" s="676">
        <f>'Cash flow for investments-  Sto'!C3</f>
        <v>0</v>
      </c>
      <c r="D68" s="676">
        <f t="shared" si="8"/>
        <v>50210.457837771479</v>
      </c>
      <c r="E68" s="676">
        <f t="shared" si="9"/>
        <v>50210.457837771479</v>
      </c>
      <c r="F68" s="231">
        <f t="shared" si="7"/>
        <v>-273332.62648668548</v>
      </c>
    </row>
    <row r="69" spans="2:6" ht="17.25" hidden="1">
      <c r="B69" s="229">
        <v>3</v>
      </c>
      <c r="C69" s="676">
        <f>'Cash flow for investments-  Sto'!C4</f>
        <v>0</v>
      </c>
      <c r="D69" s="676">
        <f t="shared" si="8"/>
        <v>50210.457837771479</v>
      </c>
      <c r="E69" s="676">
        <f t="shared" si="9"/>
        <v>50210.457837771479</v>
      </c>
      <c r="F69" s="231">
        <f t="shared" si="7"/>
        <v>-223122.168648914</v>
      </c>
    </row>
    <row r="70" spans="2:6" ht="17.25" hidden="1">
      <c r="B70" s="229">
        <v>4</v>
      </c>
      <c r="C70" s="676">
        <f>'Cash flow for investments-  Sto'!C5</f>
        <v>0</v>
      </c>
      <c r="D70" s="676">
        <f t="shared" si="8"/>
        <v>50210.457837771479</v>
      </c>
      <c r="E70" s="676">
        <f t="shared" si="9"/>
        <v>50210.457837771479</v>
      </c>
      <c r="F70" s="231">
        <f t="shared" si="7"/>
        <v>-172911.71081114252</v>
      </c>
    </row>
    <row r="71" spans="2:6" ht="17.25" hidden="1">
      <c r="B71" s="229">
        <v>5</v>
      </c>
      <c r="C71" s="676">
        <f>'Cash flow for investments-  Sto'!C6</f>
        <v>0</v>
      </c>
      <c r="D71" s="676">
        <f t="shared" si="8"/>
        <v>50210.457837771479</v>
      </c>
      <c r="E71" s="676">
        <f t="shared" si="9"/>
        <v>50210.457837771479</v>
      </c>
      <c r="F71" s="74">
        <f t="shared" si="7"/>
        <v>-122701.25297337104</v>
      </c>
    </row>
    <row r="72" spans="2:6" ht="17.25" hidden="1">
      <c r="B72" s="73">
        <v>6</v>
      </c>
      <c r="C72" s="545">
        <f>'Cash flow for investments-  Sto'!C7</f>
        <v>0</v>
      </c>
      <c r="D72" s="545">
        <f t="shared" si="8"/>
        <v>50210.457837771479</v>
      </c>
      <c r="E72" s="545">
        <f t="shared" si="9"/>
        <v>50210.457837771479</v>
      </c>
      <c r="F72" s="74">
        <f t="shared" si="7"/>
        <v>-74490.795135599561</v>
      </c>
    </row>
    <row r="73" spans="2:6" ht="17.25" hidden="1">
      <c r="B73" s="73">
        <v>7</v>
      </c>
      <c r="C73" s="545">
        <f>'Cash flow for investments-  Sto'!C8</f>
        <v>2000</v>
      </c>
      <c r="D73" s="545">
        <f t="shared" si="8"/>
        <v>50210.457837771479</v>
      </c>
      <c r="E73" s="545">
        <f t="shared" si="9"/>
        <v>48210.457837771479</v>
      </c>
      <c r="F73" s="74">
        <f t="shared" si="7"/>
        <v>-26030.337297828082</v>
      </c>
    </row>
    <row r="74" spans="2:6" ht="17.25" hidden="1">
      <c r="B74" s="73">
        <v>8</v>
      </c>
      <c r="C74" s="545">
        <f>'Cash flow for investments-  Sto'!C9</f>
        <v>1750</v>
      </c>
      <c r="D74" s="545">
        <f t="shared" si="8"/>
        <v>50210.457837771479</v>
      </c>
      <c r="E74" s="545">
        <f t="shared" si="9"/>
        <v>48460.457837771479</v>
      </c>
      <c r="F74" s="74">
        <f t="shared" si="7"/>
        <v>24180.120539943397</v>
      </c>
    </row>
    <row r="75" spans="2:6" ht="17.25" hidden="1">
      <c r="B75" s="73">
        <v>9</v>
      </c>
      <c r="C75" s="545">
        <f>'Cash flow for investments-  Sto'!C10</f>
        <v>0</v>
      </c>
      <c r="D75" s="545">
        <f t="shared" si="8"/>
        <v>50210.457837771479</v>
      </c>
      <c r="E75" s="545">
        <f t="shared" si="9"/>
        <v>50210.457837771479</v>
      </c>
      <c r="F75" s="74">
        <f t="shared" si="7"/>
        <v>352252.49385390541</v>
      </c>
    </row>
    <row r="76" spans="2:6" ht="17.25" hidden="1">
      <c r="B76" s="73">
        <v>10</v>
      </c>
      <c r="C76" s="545">
        <f>'Cash flow for investments-  Sto'!C11</f>
        <v>57503.075000000004</v>
      </c>
      <c r="D76" s="545">
        <f t="shared" si="8"/>
        <v>50210.457837771479</v>
      </c>
      <c r="E76" s="545">
        <f>D76-C76+D77</f>
        <v>328072.37331396202</v>
      </c>
      <c r="F76" s="74"/>
    </row>
    <row r="77" spans="2:6" ht="17.25" hidden="1">
      <c r="B77" s="73" t="s">
        <v>323</v>
      </c>
      <c r="C77" s="545"/>
      <c r="D77" s="545">
        <f>'Cash flow for investments- Food'!C12</f>
        <v>335364.99047619052</v>
      </c>
      <c r="E77" s="545"/>
      <c r="F77" s="4"/>
    </row>
    <row r="78" spans="2:6" ht="17.25" hidden="1">
      <c r="F78" s="4"/>
    </row>
    <row r="79" spans="2:6" ht="17.25" hidden="1">
      <c r="F79" s="4"/>
    </row>
    <row r="80" spans="2:6" ht="17.25" hidden="1">
      <c r="F80" s="4"/>
    </row>
    <row r="81" spans="2:4" ht="17.25" hidden="1"/>
    <row r="82" spans="2:4" ht="17.25" hidden="1"/>
    <row r="83" spans="2:4" ht="17.25" hidden="1"/>
    <row r="84" spans="2:4" ht="17.25" hidden="1"/>
    <row r="85" spans="2:4" ht="17.25" hidden="1"/>
    <row r="86" spans="2:4" ht="17.25" hidden="1"/>
    <row r="87" spans="2:4" ht="17.25" hidden="1"/>
    <row r="88" spans="2:4" ht="17.25" hidden="1"/>
    <row r="89" spans="2:4" ht="17.25" hidden="1"/>
    <row r="91" spans="2:4" ht="17.25" hidden="1"/>
    <row r="92" spans="2:4" ht="17.25" hidden="1"/>
    <row r="93" spans="2:4" ht="0" hidden="1" customHeight="1">
      <c r="B93" s="542" t="s">
        <v>97</v>
      </c>
      <c r="C93" s="543">
        <v>2.47105</v>
      </c>
      <c r="D93" s="48" t="s">
        <v>29</v>
      </c>
    </row>
    <row r="95" spans="2:4" ht="0" hidden="1" customHeight="1">
      <c r="B95" s="677"/>
      <c r="C95" s="678"/>
      <c r="D95" s="679"/>
    </row>
    <row r="96" spans="2:4" ht="0" hidden="1" customHeight="1">
      <c r="B96" s="677"/>
      <c r="C96" s="678"/>
      <c r="D96" s="679"/>
    </row>
  </sheetData>
  <sheetProtection sheet="1" objects="1" scenarios="1"/>
  <mergeCells count="1">
    <mergeCell ref="B2:I2"/>
  </mergeCells>
  <conditionalFormatting sqref="V60:W89">
    <cfRule type="duplicateValues" dxfId="5" priority="1"/>
  </conditionalFormatting>
  <conditionalFormatting sqref="V91:W408 V43:W59">
    <cfRule type="duplicateValues" dxfId="4" priority="14"/>
  </conditionalFormatting>
  <hyperlinks>
    <hyperlink ref="N4" r:id="rId1" display="https://andersonminnows.com/shop/product/golden-shiner-fry-250000-count-2/" xr:uid="{A8263EEB-57EF-42EA-83E4-58DEB1DE0C45}"/>
    <hyperlink ref="N5" r:id="rId2" xr:uid="{C55096CD-7D32-4E78-BFE1-BBFDB7513A3F}"/>
    <hyperlink ref="N18" r:id="rId3" display="https://srac.msstate.edu/pdfs/Fact Sheets/122 Production Enterprise Budget for Golden Shiners.pdf" xr:uid="{4B33641C-6536-450C-8BF8-8F58FD574481}"/>
    <hyperlink ref="N6" r:id="rId4" display="https://pleasanthillpets.com/purina-catfish-32-50-lb/" xr:uid="{0A625C4D-77F2-4038-BF18-92212C9F8D84}"/>
    <hyperlink ref="N10" r:id="rId5" display="https://srac.msstate.edu/pdfs/Fact Sheets/122 Production Enterprise Budget for Golden Shiners.pdf" xr:uid="{E870073A-5449-4C0D-9FEA-AD09AD39DD45}"/>
    <hyperlink ref="N14" r:id="rId6" display="https://srac.msstate.edu/pdfs/Fact Sheets/122 Production Enterprise Budget for Golden Shiners.pdf" xr:uid="{0065FC2F-49B4-472B-97F2-4A6E30E0D469}"/>
    <hyperlink ref="N11" r:id="rId7" display="https://srac.msstate.edu/pdfs/Fact Sheets/122 Production Enterprise Budget for Golden Shiners.pdf" xr:uid="{542BAE87-C61E-4AB7-A50A-50FB7731D94E}"/>
    <hyperlink ref="N13" r:id="rId8" display="https://srac.msstate.edu/pdfs/Fact Sheets/122 Production Enterprise Budget for Golden Shiners.pdf" xr:uid="{2E7A3E62-49D5-4A5A-B65F-F28D52D924C6}"/>
    <hyperlink ref="N19" r:id="rId9" display="https://www.ncrac.org/files/inline-files/BaitfishProjectOutlinerevisedfromMorris42507.pdf?utm_source=chatgpt.com" xr:uid="{006EF000-C341-4F7A-9C9C-CFD5ED8A012A}"/>
    <hyperlink ref="N8" r:id="rId10" display="https://srac.msstate.edu/pdfs/Fact Sheets/122 Production Enterprise Budget for Golden Shiners.pdf" xr:uid="{28E6DDBE-01A3-46B7-9A4E-692683308CEA}"/>
    <hyperlink ref="N20" r:id="rId11" display="https://files.dnr.state.mn.us/aboutdnr/reports/legislative/2018-minnow-import-report.pdf" xr:uid="{E2537C21-3083-4741-A277-5B37FDB2B647}"/>
  </hyperlinks>
  <pageMargins left="0.7" right="0.7" top="0.75" bottom="0.75" header="0.3" footer="0.3"/>
  <pageSetup orientation="portrait" r:id="rId12"/>
  <ignoredErrors>
    <ignoredError sqref="F21" formula="1"/>
    <ignoredError sqref="C38"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0EC67-3683-4C91-A801-3F03F8EE5C6D}">
  <sheetPr codeName="Sheet11"/>
  <dimension ref="A2:AO76"/>
  <sheetViews>
    <sheetView showGridLines="0" topLeftCell="A2" zoomScaleNormal="100" workbookViewId="0">
      <selection activeCell="L30" sqref="L30"/>
    </sheetView>
  </sheetViews>
  <sheetFormatPr defaultColWidth="0" defaultRowHeight="0" customHeight="1" zeroHeight="1"/>
  <cols>
    <col min="1" max="1" width="2.33203125" style="5" customWidth="1"/>
    <col min="2" max="2" width="36.77734375" style="5" customWidth="1"/>
    <col min="3" max="4" width="10.77734375" style="5" customWidth="1"/>
    <col min="5" max="5" width="15" style="5" customWidth="1"/>
    <col min="6" max="8" width="10.77734375" style="5" customWidth="1"/>
    <col min="9" max="9" width="9.77734375" style="5" customWidth="1"/>
    <col min="10" max="11" width="3.33203125" style="5" customWidth="1"/>
    <col min="12" max="12" width="35.5546875" style="5" bestFit="1" customWidth="1"/>
    <col min="13" max="13" width="11.77734375" style="5" customWidth="1"/>
    <col min="14" max="14" width="3.33203125" style="5" customWidth="1"/>
    <col min="15" max="15" width="7.77734375" style="5" customWidth="1"/>
    <col min="16" max="16" width="10.77734375" style="5" customWidth="1"/>
    <col min="17" max="17" width="3.33203125" style="5" customWidth="1"/>
    <col min="18" max="18" width="7.77734375" style="5" customWidth="1"/>
    <col min="19" max="19" width="13.88671875" style="5" customWidth="1"/>
    <col min="20" max="20" width="3.33203125" style="5" customWidth="1"/>
    <col min="21" max="21" width="36" style="5" hidden="1" customWidth="1"/>
    <col min="22" max="22" width="14.77734375" style="5" hidden="1" customWidth="1"/>
    <col min="23" max="23" width="10" style="5" hidden="1" customWidth="1"/>
    <col min="24" max="24" width="22.88671875" style="5" hidden="1" customWidth="1"/>
    <col min="25" max="41" width="0" style="5" hidden="1" customWidth="1"/>
    <col min="42" max="16384" width="8.88671875" style="5" hidden="1"/>
  </cols>
  <sheetData>
    <row r="2" spans="2:19" ht="21">
      <c r="B2" s="707" t="s">
        <v>234</v>
      </c>
      <c r="C2" s="707"/>
      <c r="D2" s="707"/>
      <c r="E2" s="707"/>
      <c r="F2" s="707"/>
      <c r="G2" s="707"/>
      <c r="H2" s="707"/>
      <c r="I2" s="707"/>
      <c r="J2" s="206"/>
      <c r="L2" s="125" t="s">
        <v>414</v>
      </c>
      <c r="M2" s="127"/>
      <c r="N2" s="127"/>
      <c r="O2" s="197" t="s">
        <v>397</v>
      </c>
      <c r="P2" s="198" t="s">
        <v>396</v>
      </c>
      <c r="Q2" s="242"/>
      <c r="R2" s="197" t="s">
        <v>120</v>
      </c>
      <c r="S2" s="245" t="s">
        <v>393</v>
      </c>
    </row>
    <row r="3" spans="2:19" ht="21">
      <c r="B3" s="296"/>
      <c r="C3" s="296"/>
      <c r="D3" s="296"/>
      <c r="E3" s="296"/>
      <c r="F3" s="296"/>
      <c r="G3" s="296"/>
      <c r="H3" s="296"/>
      <c r="I3" s="296"/>
      <c r="J3" s="125"/>
      <c r="L3" s="196" t="s">
        <v>31</v>
      </c>
      <c r="M3" s="196" t="s">
        <v>34</v>
      </c>
      <c r="N3" s="175"/>
      <c r="O3" s="131" t="s">
        <v>388</v>
      </c>
      <c r="P3" s="131" t="s">
        <v>394</v>
      </c>
      <c r="Q3" s="242"/>
      <c r="R3" s="131" t="s">
        <v>383</v>
      </c>
      <c r="S3" s="131" t="s">
        <v>395</v>
      </c>
    </row>
    <row r="4" spans="2:19" ht="17.25">
      <c r="B4" s="282" t="s">
        <v>88</v>
      </c>
      <c r="C4" s="128" t="s">
        <v>2</v>
      </c>
      <c r="D4" s="150" t="s">
        <v>387</v>
      </c>
      <c r="E4" s="150" t="s">
        <v>32</v>
      </c>
      <c r="F4" s="150" t="s">
        <v>33</v>
      </c>
      <c r="G4" s="150" t="s">
        <v>233</v>
      </c>
      <c r="H4" s="150" t="s">
        <v>144</v>
      </c>
      <c r="I4" s="150" t="s">
        <v>214</v>
      </c>
      <c r="J4" s="125"/>
      <c r="K4" s="1"/>
      <c r="L4" s="193" t="s">
        <v>268</v>
      </c>
      <c r="M4" s="548">
        <v>3750</v>
      </c>
      <c r="N4" s="180"/>
      <c r="O4" s="125"/>
      <c r="P4" s="166">
        <f>G36</f>
        <v>7178.6618128331829</v>
      </c>
      <c r="Q4" s="125"/>
      <c r="R4" s="125"/>
      <c r="S4" s="166">
        <f>H35</f>
        <v>5.4184436379484175</v>
      </c>
    </row>
    <row r="5" spans="2:19" ht="16.5" customHeight="1">
      <c r="B5" s="138" t="s">
        <v>94</v>
      </c>
      <c r="C5" s="161" t="s">
        <v>144</v>
      </c>
      <c r="D5" s="166">
        <f>M15</f>
        <v>8</v>
      </c>
      <c r="E5" s="141">
        <f>E10*M11</f>
        <v>40500</v>
      </c>
      <c r="F5" s="170">
        <f>D5*E5</f>
        <v>324000</v>
      </c>
      <c r="G5" s="170">
        <f>F5/'Capital Inputs'!$D$7</f>
        <v>27000</v>
      </c>
      <c r="H5" s="235">
        <f>D5</f>
        <v>8</v>
      </c>
      <c r="I5" s="185">
        <f>F5/$F$5</f>
        <v>1</v>
      </c>
      <c r="J5" s="125"/>
      <c r="K5" s="1"/>
      <c r="L5" s="193" t="s">
        <v>87</v>
      </c>
      <c r="M5" s="548">
        <v>9</v>
      </c>
      <c r="N5" s="180"/>
      <c r="O5" s="188">
        <v>1.75</v>
      </c>
      <c r="P5" s="166">
        <f t="dataTable" ref="P5:P35" dt2D="0" dtr="0" r1="D5"/>
        <v>-11349.429007479317</v>
      </c>
      <c r="Q5" s="125"/>
      <c r="R5" s="185">
        <v>0.1</v>
      </c>
      <c r="S5" s="166">
        <f t="dataTable" ref="S5:S37" dt2D="0" dtr="0" r1="M11" ca="1"/>
        <v>40.981592741535763</v>
      </c>
    </row>
    <row r="6" spans="2:19" ht="16.5" customHeight="1">
      <c r="B6" s="138" t="s">
        <v>35</v>
      </c>
      <c r="C6" s="161" t="s">
        <v>16</v>
      </c>
      <c r="D6" s="166">
        <f>'Operating Inputs'!D25</f>
        <v>1.5</v>
      </c>
      <c r="E6" s="141">
        <f>E5/M6/M17*M18*D6</f>
        <v>12272.727272727276</v>
      </c>
      <c r="F6" s="171">
        <f>D6*E6</f>
        <v>18409.090909090912</v>
      </c>
      <c r="G6" s="171">
        <f>F6/'Capital Inputs'!$D$7</f>
        <v>1534.0909090909092</v>
      </c>
      <c r="H6" s="236">
        <f>F6/$E$5</f>
        <v>0.45454545454545459</v>
      </c>
      <c r="I6" s="190">
        <f>F6/$F$5</f>
        <v>5.6818181818181823E-2</v>
      </c>
      <c r="J6" s="125"/>
      <c r="K6" s="3"/>
      <c r="L6" s="193" t="s">
        <v>117</v>
      </c>
      <c r="M6" s="548">
        <v>1.65</v>
      </c>
      <c r="N6" s="180"/>
      <c r="O6" s="188">
        <v>1.9</v>
      </c>
      <c r="P6" s="166">
        <v>-10904.754827791818</v>
      </c>
      <c r="Q6" s="125"/>
      <c r="R6" s="185">
        <v>0.125</v>
      </c>
      <c r="S6" s="166">
        <v>32.979884193228607</v>
      </c>
    </row>
    <row r="7" spans="2:19" ht="16.5" customHeight="1">
      <c r="B7" s="160" t="s">
        <v>89</v>
      </c>
      <c r="C7" s="161"/>
      <c r="D7" s="166"/>
      <c r="E7" s="125"/>
      <c r="F7" s="305">
        <f>F5-F6</f>
        <v>305590.90909090906</v>
      </c>
      <c r="G7" s="305">
        <f>G5-G6</f>
        <v>25465.909090909092</v>
      </c>
      <c r="H7" s="237">
        <f>F7/$E$5</f>
        <v>7.545454545454545</v>
      </c>
      <c r="I7" s="395">
        <f>F7/$F$5</f>
        <v>0.94318181818181812</v>
      </c>
      <c r="J7" s="125"/>
      <c r="K7" s="20"/>
      <c r="L7" s="193" t="s">
        <v>223</v>
      </c>
      <c r="M7" s="548">
        <v>12</v>
      </c>
      <c r="N7" s="178"/>
      <c r="O7" s="188">
        <v>2.0499999999999998</v>
      </c>
      <c r="P7" s="166">
        <v>-10460.080648104318</v>
      </c>
      <c r="Q7" s="125"/>
      <c r="R7" s="185">
        <v>0.15</v>
      </c>
      <c r="S7" s="166">
        <v>27.645411827690506</v>
      </c>
    </row>
    <row r="8" spans="2:19" ht="16.5" customHeight="1">
      <c r="B8" s="160"/>
      <c r="C8" s="161"/>
      <c r="D8" s="166"/>
      <c r="E8" s="125"/>
      <c r="F8" s="305"/>
      <c r="G8" s="305"/>
      <c r="H8" s="237"/>
      <c r="I8" s="155"/>
      <c r="J8" s="125"/>
      <c r="K8" s="3"/>
      <c r="L8" s="193" t="s">
        <v>269</v>
      </c>
      <c r="M8" s="548">
        <v>100</v>
      </c>
      <c r="N8" s="181"/>
      <c r="O8" s="188">
        <v>2.2000000000000002</v>
      </c>
      <c r="P8" s="166">
        <v>-10015.406468416819</v>
      </c>
      <c r="Q8" s="125"/>
      <c r="R8" s="185">
        <v>0.17499999999999999</v>
      </c>
      <c r="S8" s="166">
        <v>23.835074423734724</v>
      </c>
    </row>
    <row r="9" spans="2:19" ht="16.5" customHeight="1">
      <c r="B9" s="163" t="s">
        <v>37</v>
      </c>
      <c r="C9" s="128" t="s">
        <v>2</v>
      </c>
      <c r="D9" s="150" t="s">
        <v>387</v>
      </c>
      <c r="E9" s="150" t="s">
        <v>32</v>
      </c>
      <c r="F9" s="150" t="s">
        <v>33</v>
      </c>
      <c r="G9" s="150" t="s">
        <v>233</v>
      </c>
      <c r="H9" s="150" t="s">
        <v>144</v>
      </c>
      <c r="I9" s="150" t="s">
        <v>214</v>
      </c>
      <c r="J9" s="125"/>
      <c r="K9" s="3"/>
      <c r="L9" s="193" t="s">
        <v>137</v>
      </c>
      <c r="M9" s="548">
        <v>1500</v>
      </c>
      <c r="N9" s="177"/>
      <c r="O9" s="188">
        <v>2.35</v>
      </c>
      <c r="P9" s="166">
        <v>-9570.7322887293194</v>
      </c>
      <c r="Q9" s="125"/>
      <c r="R9" s="185">
        <v>0.2</v>
      </c>
      <c r="S9" s="166">
        <v>20.977321370767882</v>
      </c>
    </row>
    <row r="10" spans="2:19" ht="16.5" customHeight="1">
      <c r="B10" s="138" t="s">
        <v>107</v>
      </c>
      <c r="C10" s="126" t="s">
        <v>41</v>
      </c>
      <c r="D10" s="166"/>
      <c r="E10" s="141">
        <f>M4*'Capital Inputs'!D7</f>
        <v>45000</v>
      </c>
      <c r="F10" s="170">
        <f>E10*M13</f>
        <v>90000</v>
      </c>
      <c r="G10" s="170">
        <f>F10/'Capital Inputs'!$D$7</f>
        <v>7500</v>
      </c>
      <c r="H10" s="235">
        <f t="shared" ref="H10:H27" si="0">F10/$E$5</f>
        <v>2.2222222222222223</v>
      </c>
      <c r="I10" s="185">
        <f t="shared" ref="I10:I16" si="1">F10/$F$5</f>
        <v>0.27777777777777779</v>
      </c>
      <c r="J10" s="125"/>
      <c r="K10" s="3"/>
      <c r="L10" s="193" t="s">
        <v>170</v>
      </c>
      <c r="M10" s="548">
        <v>750</v>
      </c>
      <c r="N10" s="177"/>
      <c r="O10" s="188">
        <v>2.5</v>
      </c>
      <c r="P10" s="166">
        <v>-9126.05810904182</v>
      </c>
      <c r="Q10" s="125"/>
      <c r="R10" s="185">
        <v>0.22500000000000001</v>
      </c>
      <c r="S10" s="166">
        <v>18.754624551793672</v>
      </c>
    </row>
    <row r="11" spans="2:19" ht="16.5" customHeight="1">
      <c r="B11" s="138" t="s">
        <v>6</v>
      </c>
      <c r="C11" s="161"/>
      <c r="D11" s="166"/>
      <c r="E11" s="125"/>
      <c r="F11" s="170">
        <f>'Operating Inputs'!D7*ROUND(M5/12,0)*'Capital Inputs'!D7</f>
        <v>1800</v>
      </c>
      <c r="G11" s="170">
        <f>F11/'Capital Inputs'!$D$7</f>
        <v>150</v>
      </c>
      <c r="H11" s="235">
        <f t="shared" si="0"/>
        <v>4.4444444444444446E-2</v>
      </c>
      <c r="I11" s="185">
        <f t="shared" si="1"/>
        <v>5.5555555555555558E-3</v>
      </c>
      <c r="J11" s="125"/>
      <c r="K11" s="3"/>
      <c r="L11" s="193" t="s">
        <v>99</v>
      </c>
      <c r="M11" s="549">
        <v>0.9</v>
      </c>
      <c r="N11" s="179" t="s">
        <v>153</v>
      </c>
      <c r="O11" s="188">
        <v>2.65</v>
      </c>
      <c r="P11" s="166">
        <v>-8681.3839293543206</v>
      </c>
      <c r="Q11" s="125"/>
      <c r="R11" s="185">
        <v>0.25</v>
      </c>
      <c r="S11" s="166">
        <v>16.976467096614304</v>
      </c>
    </row>
    <row r="12" spans="2:19" ht="16.5" customHeight="1">
      <c r="B12" s="138" t="s">
        <v>224</v>
      </c>
      <c r="C12" s="126" t="s">
        <v>39</v>
      </c>
      <c r="D12" s="166">
        <f>M8</f>
        <v>100</v>
      </c>
      <c r="E12" s="141">
        <f>M7*'Capital Inputs'!D7</f>
        <v>144</v>
      </c>
      <c r="F12" s="170">
        <f>D12*E12</f>
        <v>14400</v>
      </c>
      <c r="G12" s="170">
        <f>F12/'Capital Inputs'!$D$7</f>
        <v>1200</v>
      </c>
      <c r="H12" s="235">
        <f t="shared" si="0"/>
        <v>0.35555555555555557</v>
      </c>
      <c r="I12" s="185">
        <f t="shared" si="1"/>
        <v>4.4444444444444446E-2</v>
      </c>
      <c r="J12" s="125"/>
      <c r="K12" s="3"/>
      <c r="L12" s="194" t="s">
        <v>164</v>
      </c>
      <c r="M12" s="550">
        <v>7</v>
      </c>
      <c r="N12" s="177"/>
      <c r="O12" s="188">
        <v>2.8</v>
      </c>
      <c r="P12" s="166">
        <v>-8236.7097496668212</v>
      </c>
      <c r="Q12" s="125"/>
      <c r="R12" s="185">
        <v>0.27500000000000002</v>
      </c>
      <c r="S12" s="166">
        <v>15.521610996922092</v>
      </c>
    </row>
    <row r="13" spans="2:19" ht="16.5" customHeight="1">
      <c r="B13" s="138" t="s">
        <v>42</v>
      </c>
      <c r="C13" s="161"/>
      <c r="D13" s="166"/>
      <c r="E13" s="141"/>
      <c r="F13" s="170">
        <f>'Operating Inputs'!D9*F5</f>
        <v>6480</v>
      </c>
      <c r="G13" s="170">
        <f>F13/'Capital Inputs'!$D$7</f>
        <v>540</v>
      </c>
      <c r="H13" s="235">
        <f t="shared" si="0"/>
        <v>0.16</v>
      </c>
      <c r="I13" s="185">
        <f t="shared" si="1"/>
        <v>0.02</v>
      </c>
      <c r="J13" s="125"/>
      <c r="K13" s="3"/>
      <c r="L13" s="193" t="s">
        <v>247</v>
      </c>
      <c r="M13" s="548">
        <v>2</v>
      </c>
      <c r="N13" s="177" t="s">
        <v>249</v>
      </c>
      <c r="O13" s="188">
        <v>2.95</v>
      </c>
      <c r="P13" s="166">
        <v>-7792.0355699793217</v>
      </c>
      <c r="Q13" s="125"/>
      <c r="R13" s="185">
        <v>0.3</v>
      </c>
      <c r="S13" s="166">
        <v>14.309230913845255</v>
      </c>
    </row>
    <row r="14" spans="2:19" ht="16.5" customHeight="1">
      <c r="B14" s="138" t="s">
        <v>11</v>
      </c>
      <c r="C14" s="161"/>
      <c r="D14" s="166"/>
      <c r="E14" s="141"/>
      <c r="F14" s="170">
        <f>('Operating Inputs'!D15*'Operating Inputs'!C42/2000+'Operating Inputs'!C43*'Operating Inputs'!D16+'Operating Inputs'!C44)*'Capital Inputs'!D7</f>
        <v>1153.5</v>
      </c>
      <c r="G14" s="170">
        <f>F14/'Capital Inputs'!$D$7</f>
        <v>96.125</v>
      </c>
      <c r="H14" s="235">
        <f t="shared" si="0"/>
        <v>2.8481481481481483E-2</v>
      </c>
      <c r="I14" s="185">
        <f t="shared" si="1"/>
        <v>3.5601851851851853E-3</v>
      </c>
      <c r="J14" s="125"/>
      <c r="K14" s="3"/>
      <c r="L14" s="193" t="s">
        <v>248</v>
      </c>
      <c r="M14" s="551">
        <v>0.06</v>
      </c>
      <c r="N14" s="177" t="s">
        <v>246</v>
      </c>
      <c r="O14" s="188">
        <v>3.1</v>
      </c>
      <c r="P14" s="166">
        <v>-7347.3613902918187</v>
      </c>
      <c r="Q14" s="125"/>
      <c r="R14" s="185">
        <v>0.32500000000000001</v>
      </c>
      <c r="S14" s="166">
        <v>13.283370843549466</v>
      </c>
    </row>
    <row r="15" spans="2:19" ht="16.5" customHeight="1">
      <c r="B15" s="138" t="s">
        <v>43</v>
      </c>
      <c r="C15" s="161"/>
      <c r="D15" s="166"/>
      <c r="E15" s="141"/>
      <c r="F15" s="170">
        <f>('Operating Inputs'!D10*('Capital Inputs'!D6+'Capital Inputs'!D5)/'Capital Inputs'!D7+'Capital Inputs'!G40)*ROUND(M5/12,0)</f>
        <v>7401.0389999999998</v>
      </c>
      <c r="G15" s="170">
        <f>F15/'Capital Inputs'!$D$7</f>
        <v>616.75324999999998</v>
      </c>
      <c r="H15" s="235">
        <f t="shared" si="0"/>
        <v>0.18274170370370368</v>
      </c>
      <c r="I15" s="185">
        <f t="shared" si="1"/>
        <v>2.284271296296296E-2</v>
      </c>
      <c r="J15" s="125"/>
      <c r="K15" s="3"/>
      <c r="L15" s="193" t="s">
        <v>250</v>
      </c>
      <c r="M15" s="548">
        <v>8</v>
      </c>
      <c r="N15" s="177" t="s">
        <v>249</v>
      </c>
      <c r="O15" s="188">
        <v>3.25</v>
      </c>
      <c r="P15" s="166">
        <v>-6902.6872106043193</v>
      </c>
      <c r="Q15" s="125"/>
      <c r="R15" s="185">
        <v>0.35</v>
      </c>
      <c r="S15" s="166">
        <v>12.404062211867362</v>
      </c>
    </row>
    <row r="16" spans="2:19" ht="16.5" customHeight="1">
      <c r="B16" s="138" t="s">
        <v>44</v>
      </c>
      <c r="C16" s="161"/>
      <c r="D16" s="166"/>
      <c r="E16" s="141"/>
      <c r="F16" s="170">
        <f>SUM(F17:F20)</f>
        <v>13808.57</v>
      </c>
      <c r="G16" s="170">
        <f>F16/'Capital Inputs'!$D$7</f>
        <v>1150.7141666666666</v>
      </c>
      <c r="H16" s="235">
        <f t="shared" si="0"/>
        <v>0.34095234567901234</v>
      </c>
      <c r="I16" s="185">
        <f t="shared" si="1"/>
        <v>4.2619043209876542E-2</v>
      </c>
      <c r="J16" s="125"/>
      <c r="K16" s="3"/>
      <c r="L16" s="193" t="s">
        <v>251</v>
      </c>
      <c r="M16" s="551">
        <v>0.5</v>
      </c>
      <c r="N16" s="177" t="s">
        <v>246</v>
      </c>
      <c r="O16" s="188">
        <v>3.4</v>
      </c>
      <c r="P16" s="166">
        <v>-6458.0130309168217</v>
      </c>
      <c r="Q16" s="125"/>
      <c r="R16" s="185">
        <v>0.375</v>
      </c>
      <c r="S16" s="166">
        <v>11.641994731076203</v>
      </c>
    </row>
    <row r="17" spans="2:21" ht="16.5" customHeight="1">
      <c r="B17" s="157" t="s">
        <v>171</v>
      </c>
      <c r="C17" s="126" t="s">
        <v>73</v>
      </c>
      <c r="D17" s="166">
        <f>'Operating Inputs'!D22</f>
        <v>0.15</v>
      </c>
      <c r="E17" s="141">
        <f>'Capital Inputs'!D7*'Operating Inputs'!D19*0.7457*M9</f>
        <v>40267.800000000003</v>
      </c>
      <c r="F17" s="133">
        <f>E17*'Operating Inputs'!D22</f>
        <v>6040.17</v>
      </c>
      <c r="G17" s="133">
        <f>F17/'Capital Inputs'!$D$7</f>
        <v>503.34750000000003</v>
      </c>
      <c r="H17" s="235">
        <f t="shared" si="0"/>
        <v>0.14913999999999999</v>
      </c>
      <c r="I17" s="396"/>
      <c r="J17" s="125"/>
      <c r="K17" s="3"/>
      <c r="L17" s="193" t="s">
        <v>217</v>
      </c>
      <c r="M17" s="551">
        <v>750</v>
      </c>
      <c r="N17" s="179"/>
      <c r="O17" s="188">
        <v>3.55</v>
      </c>
      <c r="P17" s="166">
        <v>-6013.3388512293222</v>
      </c>
      <c r="Q17" s="125"/>
      <c r="R17" s="185">
        <v>0.4</v>
      </c>
      <c r="S17" s="166">
        <v>10.97518568538394</v>
      </c>
    </row>
    <row r="18" spans="2:21" ht="16.5" customHeight="1">
      <c r="B18" s="157" t="s">
        <v>184</v>
      </c>
      <c r="C18" s="126" t="s">
        <v>73</v>
      </c>
      <c r="D18" s="166">
        <f>'Operating Inputs'!D22</f>
        <v>0.15</v>
      </c>
      <c r="E18" s="141">
        <f>'Capital Inputs'!D7*M12*'Operating Inputs'!D28*'Operating Inputs'!D29</f>
        <v>23016.000000000004</v>
      </c>
      <c r="F18" s="133">
        <f>E18*D18</f>
        <v>3452.4000000000005</v>
      </c>
      <c r="G18" s="133">
        <f>F18/'Capital Inputs'!$D$7</f>
        <v>287.70000000000005</v>
      </c>
      <c r="H18" s="235">
        <f t="shared" si="0"/>
        <v>8.5244444444444456E-2</v>
      </c>
      <c r="I18" s="396"/>
      <c r="J18" s="125"/>
      <c r="K18" s="3"/>
      <c r="L18" s="193" t="s">
        <v>218</v>
      </c>
      <c r="M18" s="551">
        <v>250</v>
      </c>
      <c r="N18" s="181"/>
      <c r="O18" s="188">
        <v>3.7</v>
      </c>
      <c r="P18" s="166">
        <v>-5568.6646715418192</v>
      </c>
      <c r="Q18" s="125"/>
      <c r="R18" s="185">
        <v>0.42499999999999999</v>
      </c>
      <c r="S18" s="166">
        <v>10.386824762714298</v>
      </c>
      <c r="T18" s="48"/>
      <c r="U18" s="48"/>
    </row>
    <row r="19" spans="2:21" ht="16.5" customHeight="1">
      <c r="B19" s="157" t="s">
        <v>162</v>
      </c>
      <c r="C19" s="126" t="s">
        <v>226</v>
      </c>
      <c r="D19" s="166">
        <v>3.5</v>
      </c>
      <c r="E19" s="141">
        <f>'Operating Inputs'!D26*ROUND(M5/12,0)*12</f>
        <v>600</v>
      </c>
      <c r="F19" s="133">
        <f>D19*E19</f>
        <v>2100</v>
      </c>
      <c r="G19" s="133">
        <f>F19/'Capital Inputs'!$D$7</f>
        <v>175</v>
      </c>
      <c r="H19" s="235">
        <f t="shared" si="0"/>
        <v>5.185185185185185E-2</v>
      </c>
      <c r="I19" s="396"/>
      <c r="J19" s="125"/>
      <c r="K19" s="3"/>
      <c r="L19" s="129" t="s">
        <v>408</v>
      </c>
      <c r="M19" s="638">
        <v>4.5</v>
      </c>
      <c r="N19" s="177" t="s">
        <v>109</v>
      </c>
      <c r="O19" s="188">
        <v>3.85</v>
      </c>
      <c r="P19" s="166">
        <v>-5123.9904918543198</v>
      </c>
      <c r="Q19" s="125"/>
      <c r="R19" s="185">
        <v>0.45</v>
      </c>
      <c r="S19" s="166">
        <v>9.8638372758968362</v>
      </c>
      <c r="T19" s="48"/>
      <c r="U19" s="48"/>
    </row>
    <row r="20" spans="2:21" ht="16.5" customHeight="1">
      <c r="B20" s="157" t="s">
        <v>204</v>
      </c>
      <c r="C20" s="126"/>
      <c r="D20" s="166"/>
      <c r="E20" s="141"/>
      <c r="F20" s="133">
        <f>('Operating Inputs'!D24*'Operating Inputs'!D22*ROUND(M5/12,0)*12 + 'Operating Inputs'!D21)</f>
        <v>2216</v>
      </c>
      <c r="G20" s="133">
        <f>F20/'Capital Inputs'!$D$7</f>
        <v>184.66666666666666</v>
      </c>
      <c r="H20" s="235">
        <f t="shared" si="0"/>
        <v>5.4716049382716049E-2</v>
      </c>
      <c r="I20" s="396"/>
      <c r="J20" s="125"/>
      <c r="K20" s="3"/>
      <c r="L20" s="125"/>
      <c r="M20" s="125"/>
      <c r="N20" s="181"/>
      <c r="O20" s="188">
        <v>4</v>
      </c>
      <c r="P20" s="166">
        <v>-4679.3163121668204</v>
      </c>
      <c r="Q20" s="125"/>
      <c r="R20" s="185">
        <v>0.47499999999999998</v>
      </c>
      <c r="S20" s="166">
        <v>9.3959011034812132</v>
      </c>
      <c r="T20" s="48"/>
      <c r="U20" s="48"/>
    </row>
    <row r="21" spans="2:21" ht="16.5" customHeight="1">
      <c r="B21" s="138" t="s">
        <v>112</v>
      </c>
      <c r="C21" s="126"/>
      <c r="D21" s="166">
        <f>'Operating Inputs'!D27</f>
        <v>50</v>
      </c>
      <c r="E21" s="302">
        <f>M19</f>
        <v>4.5</v>
      </c>
      <c r="F21" s="133">
        <f>D21*E21</f>
        <v>225</v>
      </c>
      <c r="G21" s="133">
        <f>F21/'Capital Inputs'!$D$7</f>
        <v>18.75</v>
      </c>
      <c r="H21" s="235">
        <f t="shared" si="0"/>
        <v>5.5555555555555558E-3</v>
      </c>
      <c r="I21" s="185">
        <f t="shared" ref="I21:I27" si="2">F21/$F$5</f>
        <v>6.9444444444444447E-4</v>
      </c>
      <c r="J21" s="125"/>
      <c r="L21" s="125"/>
      <c r="M21" s="125"/>
      <c r="N21" s="125"/>
      <c r="O21" s="188">
        <v>4.1500000000000004</v>
      </c>
      <c r="P21" s="166">
        <v>-4234.6421324793209</v>
      </c>
      <c r="Q21" s="125"/>
      <c r="R21" s="185">
        <v>0.5</v>
      </c>
      <c r="S21" s="166">
        <v>8.9747585483071521</v>
      </c>
      <c r="T21" s="60" t="str">
        <f>R2</f>
        <v>Survival</v>
      </c>
      <c r="U21" s="60" t="str">
        <f>S2</f>
        <v xml:space="preserve">Breakeven price </v>
      </c>
    </row>
    <row r="22" spans="2:21" ht="16.5" customHeight="1">
      <c r="B22" s="138" t="s">
        <v>90</v>
      </c>
      <c r="C22" s="161"/>
      <c r="D22" s="125"/>
      <c r="E22" s="141">
        <f>M10</f>
        <v>750</v>
      </c>
      <c r="F22" s="170">
        <f>'Operating Inputs'!D5*E22</f>
        <v>13875</v>
      </c>
      <c r="G22" s="170">
        <f>F22/'Capital Inputs'!$D$7</f>
        <v>1156.25</v>
      </c>
      <c r="H22" s="235">
        <f t="shared" si="0"/>
        <v>0.34259259259259262</v>
      </c>
      <c r="I22" s="185">
        <f t="shared" si="2"/>
        <v>4.2824074074074077E-2</v>
      </c>
      <c r="J22" s="125"/>
      <c r="L22" s="125"/>
      <c r="M22" s="125"/>
      <c r="N22" s="125"/>
      <c r="O22" s="188">
        <v>4.3</v>
      </c>
      <c r="P22" s="166">
        <v>-3789.9679527918215</v>
      </c>
      <c r="Q22" s="125"/>
      <c r="R22" s="185">
        <v>0.52500000000000002</v>
      </c>
      <c r="S22" s="166">
        <v>8.593724807911574</v>
      </c>
      <c r="T22" s="61">
        <f t="shared" ref="T22:T37" si="3">R22</f>
        <v>0.52500000000000002</v>
      </c>
      <c r="U22" s="62">
        <f t="shared" ref="U22:U37" si="4">S22</f>
        <v>8.593724807911574</v>
      </c>
    </row>
    <row r="23" spans="2:21" ht="16.5" customHeight="1">
      <c r="B23" s="138" t="s">
        <v>74</v>
      </c>
      <c r="C23" s="161"/>
      <c r="D23" s="125"/>
      <c r="E23" s="141"/>
      <c r="F23" s="170">
        <f>'Operating Inputs'!D11*M5/12</f>
        <v>1800</v>
      </c>
      <c r="G23" s="170">
        <f>F23/'Capital Inputs'!$D$7</f>
        <v>150</v>
      </c>
      <c r="H23" s="235">
        <f t="shared" si="0"/>
        <v>4.4444444444444446E-2</v>
      </c>
      <c r="I23" s="185">
        <f t="shared" si="2"/>
        <v>5.5555555555555558E-3</v>
      </c>
      <c r="J23" s="125"/>
      <c r="L23" s="125"/>
      <c r="M23" s="125"/>
      <c r="N23" s="125"/>
      <c r="O23" s="188">
        <v>4.45</v>
      </c>
      <c r="P23" s="166">
        <v>-3345.2937731043221</v>
      </c>
      <c r="Q23" s="125"/>
      <c r="R23" s="185">
        <v>0.55000000000000004</v>
      </c>
      <c r="S23" s="166">
        <v>8.2473304984610465</v>
      </c>
      <c r="T23" s="61">
        <f t="shared" si="3"/>
        <v>0.55000000000000004</v>
      </c>
      <c r="U23" s="62">
        <f t="shared" si="4"/>
        <v>8.2473304984610465</v>
      </c>
    </row>
    <row r="24" spans="2:21" ht="16.5" customHeight="1">
      <c r="B24" s="138" t="s">
        <v>8</v>
      </c>
      <c r="C24" s="161" t="s">
        <v>214</v>
      </c>
      <c r="D24" s="143">
        <f>'Operating Inputs'!D8</f>
        <v>0.1</v>
      </c>
      <c r="E24" s="141">
        <f>F5</f>
        <v>324000</v>
      </c>
      <c r="F24" s="170">
        <f>D24*E24</f>
        <v>32400</v>
      </c>
      <c r="G24" s="170">
        <f>F24/'Capital Inputs'!$D$7</f>
        <v>2700</v>
      </c>
      <c r="H24" s="235">
        <f t="shared" si="0"/>
        <v>0.8</v>
      </c>
      <c r="I24" s="185">
        <f t="shared" si="2"/>
        <v>0.1</v>
      </c>
      <c r="J24" s="125"/>
      <c r="L24" s="125"/>
      <c r="M24" s="125"/>
      <c r="N24" s="125"/>
      <c r="O24" s="188">
        <v>4.5999999999999996</v>
      </c>
      <c r="P24" s="166">
        <v>-2900.6195934168227</v>
      </c>
      <c r="Q24" s="125"/>
      <c r="R24" s="185">
        <v>0.57499999999999996</v>
      </c>
      <c r="S24" s="166">
        <v>7.9310574333105688</v>
      </c>
      <c r="T24" s="61">
        <f t="shared" si="3"/>
        <v>0.57499999999999996</v>
      </c>
      <c r="U24" s="62">
        <f t="shared" si="4"/>
        <v>7.9310574333105688</v>
      </c>
    </row>
    <row r="25" spans="2:21" ht="16.5" customHeight="1">
      <c r="B25" s="138" t="s">
        <v>45</v>
      </c>
      <c r="C25" s="161"/>
      <c r="D25" s="125"/>
      <c r="E25" s="125"/>
      <c r="F25" s="546">
        <v>0</v>
      </c>
      <c r="G25" s="170">
        <f>F25/'Capital Inputs'!$D$7</f>
        <v>0</v>
      </c>
      <c r="H25" s="235">
        <f t="shared" si="0"/>
        <v>0</v>
      </c>
      <c r="I25" s="185">
        <f t="shared" si="2"/>
        <v>0</v>
      </c>
      <c r="J25" s="125"/>
      <c r="L25" s="125"/>
      <c r="M25" s="125"/>
      <c r="N25" s="125"/>
      <c r="O25" s="188">
        <v>4.75</v>
      </c>
      <c r="P25" s="166">
        <v>-2455.9454137293233</v>
      </c>
      <c r="Q25" s="125"/>
      <c r="R25" s="185">
        <v>0.6</v>
      </c>
      <c r="S25" s="166">
        <v>7.6411404569226269</v>
      </c>
      <c r="T25" s="61">
        <f t="shared" si="3"/>
        <v>0.6</v>
      </c>
      <c r="U25" s="62">
        <f t="shared" si="4"/>
        <v>7.6411404569226269</v>
      </c>
    </row>
    <row r="26" spans="2:21" ht="16.5" customHeight="1">
      <c r="B26" s="138" t="s">
        <v>46</v>
      </c>
      <c r="C26" s="161" t="s">
        <v>14</v>
      </c>
      <c r="D26" s="144">
        <f>'Operating Inputs'!D12</f>
        <v>7.2499999999999995E-2</v>
      </c>
      <c r="E26" s="125"/>
      <c r="F26" s="171">
        <f>SUM(F10:F16,F21:F25)/2*(1-'Operating Inputs'!D13)*D26*M5/12</f>
        <v>2492.3203879687494</v>
      </c>
      <c r="G26" s="171">
        <f>F26/'Capital Inputs'!$D$7</f>
        <v>207.69336566406244</v>
      </c>
      <c r="H26" s="236">
        <f t="shared" si="0"/>
        <v>6.1538775011574058E-2</v>
      </c>
      <c r="I26" s="190">
        <f t="shared" si="2"/>
        <v>7.6923468764467573E-3</v>
      </c>
      <c r="J26" s="125"/>
      <c r="L26" s="125"/>
      <c r="M26" s="125"/>
      <c r="N26" s="125"/>
      <c r="O26" s="188">
        <v>4.9000000000000004</v>
      </c>
      <c r="P26" s="166">
        <v>-2011.2712340418202</v>
      </c>
      <c r="Q26" s="125"/>
      <c r="R26" s="185">
        <v>0.625</v>
      </c>
      <c r="S26" s="166">
        <v>7.3744168386457218</v>
      </c>
      <c r="T26" s="61">
        <f t="shared" si="3"/>
        <v>0.625</v>
      </c>
      <c r="U26" s="62">
        <f t="shared" si="4"/>
        <v>7.3744168386457218</v>
      </c>
    </row>
    <row r="27" spans="2:21" ht="16.5" customHeight="1">
      <c r="B27" s="162" t="s">
        <v>47</v>
      </c>
      <c r="C27" s="233"/>
      <c r="D27" s="125"/>
      <c r="E27" s="125"/>
      <c r="F27" s="172">
        <f>SUM(F10:F26)-F16</f>
        <v>185835.42938796873</v>
      </c>
      <c r="G27" s="172">
        <f>F27/'Capital Inputs'!$D$7</f>
        <v>15486.285782330728</v>
      </c>
      <c r="H27" s="237">
        <f t="shared" si="0"/>
        <v>4.5885291206905858</v>
      </c>
      <c r="I27" s="395">
        <f t="shared" si="2"/>
        <v>0.57356614008632323</v>
      </c>
      <c r="J27" s="125"/>
      <c r="L27" s="125"/>
      <c r="M27" s="125"/>
      <c r="N27" s="125"/>
      <c r="O27" s="188">
        <v>5.05</v>
      </c>
      <c r="P27" s="166">
        <v>-1566.5970543543208</v>
      </c>
      <c r="Q27" s="125"/>
      <c r="R27" s="185">
        <v>0.65</v>
      </c>
      <c r="S27" s="166">
        <v>7.1282104217747326</v>
      </c>
      <c r="T27" s="61">
        <f t="shared" si="3"/>
        <v>0.65</v>
      </c>
      <c r="U27" s="62">
        <f t="shared" si="4"/>
        <v>7.1282104217747326</v>
      </c>
    </row>
    <row r="28" spans="2:21" ht="16.5" customHeight="1">
      <c r="B28" s="162"/>
      <c r="C28" s="233"/>
      <c r="D28" s="125"/>
      <c r="E28" s="125"/>
      <c r="F28" s="172"/>
      <c r="G28" s="172"/>
      <c r="H28" s="237"/>
      <c r="I28" s="155"/>
      <c r="J28" s="125"/>
      <c r="L28" s="125"/>
      <c r="M28" s="125"/>
      <c r="N28" s="125"/>
      <c r="O28" s="188">
        <v>5.2</v>
      </c>
      <c r="P28" s="166">
        <v>-1121.9228746668214</v>
      </c>
      <c r="Q28" s="125"/>
      <c r="R28" s="185">
        <v>0.67500000000000004</v>
      </c>
      <c r="S28" s="166">
        <v>6.9002415172645568</v>
      </c>
      <c r="T28" s="61">
        <f t="shared" si="3"/>
        <v>0.67500000000000004</v>
      </c>
      <c r="U28" s="62">
        <f t="shared" si="4"/>
        <v>6.9002415172645568</v>
      </c>
    </row>
    <row r="29" spans="2:21" ht="16.5" customHeight="1">
      <c r="B29" s="163" t="s">
        <v>48</v>
      </c>
      <c r="C29" s="128" t="s">
        <v>2</v>
      </c>
      <c r="D29" s="150" t="s">
        <v>387</v>
      </c>
      <c r="E29" s="150" t="s">
        <v>32</v>
      </c>
      <c r="F29" s="150" t="s">
        <v>33</v>
      </c>
      <c r="G29" s="150" t="s">
        <v>233</v>
      </c>
      <c r="H29" s="150" t="s">
        <v>144</v>
      </c>
      <c r="I29" s="150" t="s">
        <v>214</v>
      </c>
      <c r="J29" s="125"/>
      <c r="L29" s="125"/>
      <c r="M29" s="125"/>
      <c r="N29" s="125"/>
      <c r="O29" s="188">
        <v>5.35</v>
      </c>
      <c r="P29" s="166">
        <v>-677.24869497932013</v>
      </c>
      <c r="Q29" s="182"/>
      <c r="R29" s="185">
        <v>0.7</v>
      </c>
      <c r="S29" s="166">
        <v>6.6885561059336816</v>
      </c>
      <c r="T29" s="61">
        <f t="shared" si="3"/>
        <v>0.7</v>
      </c>
      <c r="U29" s="62">
        <f t="shared" si="4"/>
        <v>6.6885561059336816</v>
      </c>
    </row>
    <row r="30" spans="2:21" ht="16.5" customHeight="1">
      <c r="B30" s="138" t="s">
        <v>25</v>
      </c>
      <c r="C30" s="161" t="s">
        <v>81</v>
      </c>
      <c r="D30" s="146"/>
      <c r="E30" s="125"/>
      <c r="F30" s="170">
        <f>'Operating Inputs'!D31*'Capital Inputs'!K40</f>
        <v>2164.8919687500002</v>
      </c>
      <c r="G30" s="170">
        <f>F30/'Capital Inputs'!$D$7</f>
        <v>180.4076640625</v>
      </c>
      <c r="H30" s="235">
        <f t="shared" ref="H30:H36" si="5">F30/$E$5</f>
        <v>5.3454122685185186E-2</v>
      </c>
      <c r="I30" s="185">
        <f t="shared" ref="I30:I36" si="6">F30/$F$5</f>
        <v>6.6817653356481483E-3</v>
      </c>
      <c r="J30" s="125"/>
      <c r="L30" s="125"/>
      <c r="M30" s="125"/>
      <c r="N30" s="125"/>
      <c r="O30" s="188">
        <v>5.5</v>
      </c>
      <c r="P30" s="166">
        <v>-232.57451529181708</v>
      </c>
      <c r="Q30" s="183"/>
      <c r="R30" s="185">
        <v>0.72499999999999998</v>
      </c>
      <c r="S30" s="166">
        <v>6.4914696884876912</v>
      </c>
      <c r="T30" s="61">
        <f t="shared" si="3"/>
        <v>0.72499999999999998</v>
      </c>
      <c r="U30" s="62">
        <f t="shared" si="4"/>
        <v>6.4914696884876912</v>
      </c>
    </row>
    <row r="31" spans="2:21" ht="16.5" customHeight="1">
      <c r="B31" s="138" t="s">
        <v>49</v>
      </c>
      <c r="C31" s="161" t="s">
        <v>81</v>
      </c>
      <c r="D31" s="146"/>
      <c r="E31" s="125"/>
      <c r="F31" s="170">
        <f>'Operating Inputs'!D32</f>
        <v>1500</v>
      </c>
      <c r="G31" s="170">
        <f>F31/'Capital Inputs'!$D$7</f>
        <v>125</v>
      </c>
      <c r="H31" s="235">
        <f t="shared" si="5"/>
        <v>3.7037037037037035E-2</v>
      </c>
      <c r="I31" s="185">
        <f t="shared" si="6"/>
        <v>4.6296296296296294E-3</v>
      </c>
      <c r="J31" s="125"/>
      <c r="L31" s="125"/>
      <c r="M31" s="125"/>
      <c r="N31" s="125"/>
      <c r="O31" s="188">
        <v>5.65</v>
      </c>
      <c r="P31" s="166">
        <v>212.09966439568234</v>
      </c>
      <c r="Q31" s="183"/>
      <c r="R31" s="185">
        <v>0.75</v>
      </c>
      <c r="S31" s="166">
        <v>6.3075223655381016</v>
      </c>
      <c r="T31" s="61">
        <f t="shared" si="3"/>
        <v>0.75</v>
      </c>
      <c r="U31" s="62">
        <f t="shared" si="4"/>
        <v>6.3075223655381016</v>
      </c>
    </row>
    <row r="32" spans="2:21" ht="16.5" customHeight="1">
      <c r="B32" s="138" t="s">
        <v>108</v>
      </c>
      <c r="C32" s="161"/>
      <c r="D32" s="144">
        <f>'Operating Inputs'!D34</f>
        <v>7.2499999999999995E-2</v>
      </c>
      <c r="E32" s="125"/>
      <c r="F32" s="171">
        <f>'Capital Inputs'!L40*ROUND(M5/12,0)</f>
        <v>29946.645980192185</v>
      </c>
      <c r="G32" s="171">
        <f>F32/'Capital Inputs'!$D$7</f>
        <v>2495.5538316826819</v>
      </c>
      <c r="H32" s="236">
        <f t="shared" si="5"/>
        <v>0.7394233575356095</v>
      </c>
      <c r="I32" s="190">
        <f t="shared" si="6"/>
        <v>9.2427919691951188E-2</v>
      </c>
      <c r="J32" s="125"/>
      <c r="L32" s="125"/>
      <c r="M32" s="125"/>
      <c r="N32" s="125"/>
      <c r="O32" s="188">
        <v>5.8</v>
      </c>
      <c r="P32" s="166">
        <v>656.77384408318176</v>
      </c>
      <c r="Q32" s="184"/>
      <c r="R32" s="185">
        <v>0.77500000000000002</v>
      </c>
      <c r="S32" s="166">
        <v>6.1354426118110661</v>
      </c>
      <c r="T32" s="61">
        <f t="shared" si="3"/>
        <v>0.77500000000000002</v>
      </c>
      <c r="U32" s="62">
        <f t="shared" si="4"/>
        <v>6.1354426118110661</v>
      </c>
    </row>
    <row r="33" spans="2:21" ht="16.5" customHeight="1">
      <c r="B33" s="162" t="s">
        <v>50</v>
      </c>
      <c r="C33" s="233"/>
      <c r="D33" s="125"/>
      <c r="E33" s="125"/>
      <c r="F33" s="172">
        <f>SUM(F30:F32)</f>
        <v>33611.537948942183</v>
      </c>
      <c r="G33" s="172">
        <f>SUM(G30:G32)</f>
        <v>2800.9614957451818</v>
      </c>
      <c r="H33" s="237">
        <f t="shared" si="5"/>
        <v>0.82991451725783172</v>
      </c>
      <c r="I33" s="395">
        <f t="shared" si="6"/>
        <v>0.10373931465722896</v>
      </c>
      <c r="J33" s="125"/>
      <c r="L33" s="125"/>
      <c r="M33" s="125"/>
      <c r="N33" s="125"/>
      <c r="O33" s="188">
        <v>5.95</v>
      </c>
      <c r="P33" s="166">
        <v>1101.4480237706812</v>
      </c>
      <c r="Q33" s="184"/>
      <c r="R33" s="185">
        <v>0.8</v>
      </c>
      <c r="S33" s="166">
        <v>5.974117842691971</v>
      </c>
      <c r="T33" s="61">
        <f t="shared" si="3"/>
        <v>0.8</v>
      </c>
      <c r="U33" s="62">
        <f t="shared" si="4"/>
        <v>5.974117842691971</v>
      </c>
    </row>
    <row r="34" spans="2:21" ht="16.5" customHeight="1">
      <c r="B34" s="162"/>
      <c r="C34" s="233"/>
      <c r="D34" s="125"/>
      <c r="E34" s="125"/>
      <c r="F34" s="172"/>
      <c r="G34" s="172"/>
      <c r="H34" s="237"/>
      <c r="I34" s="395"/>
      <c r="J34" s="125"/>
      <c r="L34" s="125"/>
      <c r="M34" s="125"/>
      <c r="N34" s="125"/>
      <c r="O34" s="188">
        <v>6.1</v>
      </c>
      <c r="P34" s="166">
        <v>1546.1222034581806</v>
      </c>
      <c r="Q34" s="184"/>
      <c r="R34" s="185">
        <v>0.82499999999999996</v>
      </c>
      <c r="S34" s="166">
        <v>5.8225703323073654</v>
      </c>
      <c r="T34" s="61">
        <f t="shared" si="3"/>
        <v>0.82499999999999996</v>
      </c>
      <c r="U34" s="62">
        <f t="shared" si="4"/>
        <v>5.8225703323073654</v>
      </c>
    </row>
    <row r="35" spans="2:21" ht="16.5" customHeight="1">
      <c r="B35" s="147" t="s">
        <v>51</v>
      </c>
      <c r="C35" s="211"/>
      <c r="D35" s="134"/>
      <c r="E35" s="134"/>
      <c r="F35" s="284">
        <f>SUM(F33,F27)</f>
        <v>219446.96733691092</v>
      </c>
      <c r="G35" s="284">
        <f>SUM(G33,G27)</f>
        <v>18287.247278075909</v>
      </c>
      <c r="H35" s="304">
        <f t="shared" si="5"/>
        <v>5.4184436379484175</v>
      </c>
      <c r="I35" s="404">
        <f t="shared" si="6"/>
        <v>0.67730545474355219</v>
      </c>
      <c r="J35" s="125"/>
      <c r="L35" s="125"/>
      <c r="M35" s="125"/>
      <c r="N35" s="125"/>
      <c r="O35" s="191">
        <v>6.25</v>
      </c>
      <c r="P35" s="192">
        <v>1990.79638314568</v>
      </c>
      <c r="Q35" s="184"/>
      <c r="R35" s="185">
        <v>0.85</v>
      </c>
      <c r="S35" s="166">
        <v>5.6799373813571483</v>
      </c>
      <c r="T35" s="61">
        <f t="shared" si="3"/>
        <v>0.85</v>
      </c>
      <c r="U35" s="62">
        <f t="shared" si="4"/>
        <v>5.6799373813571483</v>
      </c>
    </row>
    <row r="36" spans="2:21" ht="16.5" customHeight="1">
      <c r="B36" s="145" t="s">
        <v>121</v>
      </c>
      <c r="C36" s="210"/>
      <c r="D36" s="129"/>
      <c r="E36" s="129"/>
      <c r="F36" s="285">
        <f>F7-F35</f>
        <v>86143.941753998137</v>
      </c>
      <c r="G36" s="285">
        <f>G7-G35</f>
        <v>7178.6618128331829</v>
      </c>
      <c r="H36" s="238">
        <f t="shared" si="5"/>
        <v>2.127010907506127</v>
      </c>
      <c r="I36" s="397">
        <f t="shared" si="6"/>
        <v>0.26587636343826587</v>
      </c>
      <c r="J36" s="125"/>
      <c r="L36" s="125"/>
      <c r="M36" s="125"/>
      <c r="N36" s="125"/>
      <c r="O36" s="185"/>
      <c r="P36" s="186"/>
      <c r="Q36" s="184"/>
      <c r="R36" s="185">
        <v>0.875</v>
      </c>
      <c r="S36" s="166">
        <v>5.5454548847469445</v>
      </c>
      <c r="T36" s="61">
        <f t="shared" si="3"/>
        <v>0.875</v>
      </c>
      <c r="U36" s="62">
        <f t="shared" si="4"/>
        <v>5.5454548847469445</v>
      </c>
    </row>
    <row r="37" spans="2:21" ht="16.5" customHeight="1">
      <c r="H37" s="125"/>
      <c r="I37" s="125"/>
      <c r="J37" s="212"/>
      <c r="L37" s="125"/>
      <c r="M37" s="125"/>
      <c r="N37" s="125"/>
      <c r="O37" s="185"/>
      <c r="P37" s="187"/>
      <c r="Q37" s="184"/>
      <c r="R37" s="190">
        <v>0.9</v>
      </c>
      <c r="S37" s="192">
        <v>5.4184436379484175</v>
      </c>
      <c r="T37" s="61">
        <f t="shared" si="3"/>
        <v>0.9</v>
      </c>
      <c r="U37" s="62">
        <f t="shared" si="4"/>
        <v>5.4184436379484175</v>
      </c>
    </row>
    <row r="38" spans="2:21" ht="16.5" customHeight="1">
      <c r="B38" s="308" t="s">
        <v>326</v>
      </c>
      <c r="C38" s="309" cm="1">
        <f t="array" ref="C38">IFERROR(INDEX(_xlfn._xlws.FILTER(B65:B74,F64:F73&gt; 0), 1),"&gt;25 years")</f>
        <v>5</v>
      </c>
      <c r="H38" s="125"/>
      <c r="I38" s="125"/>
      <c r="J38" s="214"/>
      <c r="Q38" s="48"/>
      <c r="R38" s="61">
        <f>R21</f>
        <v>0.5</v>
      </c>
      <c r="S38" s="62">
        <f>S21</f>
        <v>8.9747585483071521</v>
      </c>
      <c r="T38" s="48"/>
      <c r="U38" s="48"/>
    </row>
    <row r="39" spans="2:21" ht="16.5" customHeight="1">
      <c r="B39" s="306" t="s">
        <v>331</v>
      </c>
      <c r="C39" s="307">
        <f>IFERROR(IRR(E64:E74),"High loss")</f>
        <v>0.19407167895310984</v>
      </c>
      <c r="H39" s="125"/>
      <c r="I39" s="125"/>
      <c r="J39" s="125"/>
      <c r="Q39" s="48"/>
      <c r="R39" s="48"/>
      <c r="S39" s="48"/>
      <c r="T39" s="48"/>
      <c r="U39" s="48"/>
    </row>
    <row r="40" spans="2:21" ht="16.5" customHeight="1">
      <c r="B40" s="310" t="str">
        <f>"NPV at " &amp; 100*D32 &amp; " % in 10 years"</f>
        <v>NPV at 7.25 % in 10 years</v>
      </c>
      <c r="C40" s="311">
        <f>NPV(D32,E64:E74)</f>
        <v>302977.39156656258</v>
      </c>
      <c r="D40" s="125"/>
      <c r="E40" s="125"/>
      <c r="F40" s="125"/>
      <c r="G40" s="125"/>
      <c r="H40" s="125"/>
      <c r="I40" s="125"/>
      <c r="J40" s="125"/>
      <c r="Q40" s="48"/>
      <c r="R40" s="48"/>
      <c r="S40" s="48"/>
      <c r="T40" s="48"/>
      <c r="U40" s="48"/>
    </row>
    <row r="41" spans="2:21" ht="16.5" customHeight="1">
      <c r="B41" s="125"/>
      <c r="C41" s="125"/>
      <c r="D41" s="125"/>
      <c r="E41" s="125"/>
      <c r="F41" s="213" t="s">
        <v>36</v>
      </c>
      <c r="G41" s="213"/>
      <c r="H41" s="214"/>
      <c r="I41" s="214">
        <f>F7</f>
        <v>305590.90909090906</v>
      </c>
      <c r="J41" s="125"/>
    </row>
    <row r="42" spans="2:21" ht="33" customHeight="1">
      <c r="B42" s="303"/>
      <c r="C42" s="314" t="s">
        <v>418</v>
      </c>
      <c r="D42" s="314" t="s">
        <v>389</v>
      </c>
      <c r="E42" s="314" t="s">
        <v>391</v>
      </c>
      <c r="F42" s="313"/>
      <c r="G42" s="184"/>
      <c r="H42" s="184"/>
      <c r="I42" s="125"/>
      <c r="J42" s="219"/>
    </row>
    <row r="43" spans="2:21" ht="16.5" customHeight="1">
      <c r="B43" s="127"/>
      <c r="C43" s="301" t="s">
        <v>395</v>
      </c>
      <c r="D43" s="301" t="s">
        <v>415</v>
      </c>
      <c r="E43" s="717" t="s">
        <v>417</v>
      </c>
      <c r="F43" s="717"/>
      <c r="G43" s="184"/>
      <c r="H43" s="184"/>
      <c r="I43" s="218"/>
      <c r="J43" s="219"/>
    </row>
    <row r="44" spans="2:21" ht="16.5" customHeight="1">
      <c r="B44" s="135" t="s">
        <v>52</v>
      </c>
      <c r="C44" s="639">
        <f>H27</f>
        <v>4.5885291206905858</v>
      </c>
      <c r="D44" s="216">
        <f>F27/H7</f>
        <v>24628.791846598266</v>
      </c>
      <c r="E44" s="217">
        <f>D44/M6</f>
        <v>14926.540513089858</v>
      </c>
      <c r="F44" s="13"/>
      <c r="G44" s="184"/>
      <c r="H44" s="184"/>
      <c r="I44" s="218"/>
      <c r="J44" s="18"/>
    </row>
    <row r="45" spans="2:21" ht="16.5" customHeight="1">
      <c r="B45" s="140" t="s">
        <v>53</v>
      </c>
      <c r="C45" s="641">
        <f>H35</f>
        <v>5.4184436379484175</v>
      </c>
      <c r="D45" s="258">
        <f>F35/H7</f>
        <v>29083.333020554463</v>
      </c>
      <c r="E45" s="278">
        <f>D45/M6</f>
        <v>17626.262436699675</v>
      </c>
      <c r="F45" s="312"/>
      <c r="G45" s="13"/>
      <c r="H45" s="13"/>
      <c r="I45" s="23"/>
      <c r="J45" s="18"/>
    </row>
    <row r="46" spans="2:21" ht="15.75" hidden="1" customHeight="1">
      <c r="J46" s="18"/>
    </row>
    <row r="47" spans="2:21" ht="16.5" hidden="1" customHeight="1"/>
    <row r="48" spans="2:21" ht="16.5" hidden="1" customHeight="1"/>
    <row r="49" spans="2:9" ht="16.5" hidden="1" customHeight="1"/>
    <row r="50" spans="2:9" ht="16.5" hidden="1" customHeight="1"/>
    <row r="51" spans="2:9" ht="16.5" hidden="1" customHeight="1"/>
    <row r="52" spans="2:9" ht="16.5" hidden="1" customHeight="1"/>
    <row r="53" spans="2:9" ht="16.5" hidden="1" customHeight="1"/>
    <row r="54" spans="2:9" ht="16.5" hidden="1" customHeight="1">
      <c r="F54" s="4"/>
    </row>
    <row r="55" spans="2:9" ht="16.5" hidden="1" customHeight="1">
      <c r="B55" s="48" t="s">
        <v>103</v>
      </c>
      <c r="C55" s="48"/>
      <c r="D55" s="48"/>
      <c r="E55" s="48"/>
      <c r="F55" s="4"/>
    </row>
    <row r="56" spans="2:9" ht="16.5" hidden="1" customHeight="1">
      <c r="B56" s="48" t="s">
        <v>100</v>
      </c>
      <c r="C56" s="70">
        <v>1068.5999999999999</v>
      </c>
      <c r="D56" s="48" t="s">
        <v>101</v>
      </c>
      <c r="E56" s="48"/>
      <c r="F56" s="4"/>
    </row>
    <row r="57" spans="2:9" ht="16.5" hidden="1" customHeight="1">
      <c r="B57" s="48" t="s">
        <v>104</v>
      </c>
      <c r="C57" s="70">
        <v>325.85000000000002</v>
      </c>
      <c r="D57" s="48" t="s">
        <v>101</v>
      </c>
      <c r="E57" s="48"/>
      <c r="F57" s="4"/>
      <c r="G57"/>
      <c r="H57"/>
      <c r="I57"/>
    </row>
    <row r="58" spans="2:9" customFormat="1" ht="16.5" hidden="1" customHeight="1">
      <c r="B58" s="48" t="s">
        <v>105</v>
      </c>
      <c r="C58" s="48">
        <v>3.28084</v>
      </c>
      <c r="D58" s="48" t="s">
        <v>102</v>
      </c>
      <c r="E58" s="48"/>
      <c r="F58" s="4"/>
      <c r="G58" s="5"/>
      <c r="H58" s="5"/>
      <c r="I58" s="5"/>
    </row>
    <row r="59" spans="2:9" ht="16.5" hidden="1" customHeight="1">
      <c r="B59" s="63" t="s">
        <v>96</v>
      </c>
      <c r="C59" s="64">
        <v>2.2046199999999998</v>
      </c>
      <c r="D59" s="48" t="s">
        <v>40</v>
      </c>
      <c r="E59" s="48"/>
      <c r="F59" s="4"/>
      <c r="G59"/>
      <c r="H59"/>
      <c r="I59"/>
    </row>
    <row r="60" spans="2:9" customFormat="1" ht="17.25" hidden="1">
      <c r="B60" s="63" t="s">
        <v>97</v>
      </c>
      <c r="C60" s="64">
        <v>2.47105</v>
      </c>
      <c r="D60" s="48" t="s">
        <v>29</v>
      </c>
      <c r="E60" s="48"/>
      <c r="F60" s="4"/>
    </row>
    <row r="61" spans="2:9" customFormat="1" ht="17.25" hidden="1">
      <c r="B61" s="63"/>
      <c r="C61" s="64"/>
      <c r="D61" s="48"/>
      <c r="E61" s="48"/>
      <c r="F61" s="4"/>
    </row>
    <row r="62" spans="2:9" customFormat="1" ht="17.25" hidden="1">
      <c r="B62" s="63"/>
      <c r="C62" s="64"/>
      <c r="D62" s="48"/>
      <c r="E62" s="48"/>
      <c r="F62" s="71" t="s">
        <v>322</v>
      </c>
    </row>
    <row r="63" spans="2:9" customFormat="1" ht="17.25" hidden="1">
      <c r="B63" s="71" t="s">
        <v>317</v>
      </c>
      <c r="C63" s="71" t="s">
        <v>319</v>
      </c>
      <c r="D63" s="72" t="s">
        <v>320</v>
      </c>
      <c r="E63" s="72" t="s">
        <v>321</v>
      </c>
      <c r="F63" s="74">
        <f>E64</f>
        <v>-423964</v>
      </c>
    </row>
    <row r="64" spans="2:9" customFormat="1" ht="17.25" hidden="1">
      <c r="B64" s="73">
        <v>0</v>
      </c>
      <c r="C64" s="65">
        <f>'Capital Inputs'!F43</f>
        <v>423964</v>
      </c>
      <c r="D64" s="65">
        <v>0</v>
      </c>
      <c r="E64" s="65">
        <f>D64-C64</f>
        <v>-423964</v>
      </c>
      <c r="F64" s="74">
        <f t="shared" ref="F64:F73" si="7">F63+E65</f>
        <v>-335655.16627725185</v>
      </c>
    </row>
    <row r="65" spans="2:9" customFormat="1" ht="17.25" hidden="1">
      <c r="B65" s="73">
        <v>1</v>
      </c>
      <c r="C65" s="65">
        <f>'Cash flow for investments-  Sto'!C2</f>
        <v>0</v>
      </c>
      <c r="D65" s="65">
        <f>F7-F27-F31-F32</f>
        <v>88308.833722748139</v>
      </c>
      <c r="E65" s="65">
        <f t="shared" ref="E65:E73" si="8">D65-C65</f>
        <v>88308.833722748139</v>
      </c>
      <c r="F65" s="74">
        <f t="shared" si="7"/>
        <v>-247346.33255450369</v>
      </c>
    </row>
    <row r="66" spans="2:9" customFormat="1" ht="17.25" hidden="1">
      <c r="B66" s="73">
        <v>2</v>
      </c>
      <c r="C66" s="65">
        <f>'Cash flow for investments-  Sto'!C3</f>
        <v>0</v>
      </c>
      <c r="D66" s="65">
        <f t="shared" ref="D66:D74" si="9">D65</f>
        <v>88308.833722748139</v>
      </c>
      <c r="E66" s="65">
        <f t="shared" si="8"/>
        <v>88308.833722748139</v>
      </c>
      <c r="F66" s="74">
        <f t="shared" si="7"/>
        <v>-159037.49883175554</v>
      </c>
    </row>
    <row r="67" spans="2:9" customFormat="1" ht="17.25" hidden="1">
      <c r="B67" s="73">
        <v>3</v>
      </c>
      <c r="C67" s="65">
        <f>'Cash flow for investments-  Sto'!C4</f>
        <v>0</v>
      </c>
      <c r="D67" s="65">
        <f t="shared" si="9"/>
        <v>88308.833722748139</v>
      </c>
      <c r="E67" s="65">
        <f t="shared" si="8"/>
        <v>88308.833722748139</v>
      </c>
      <c r="F67" s="74">
        <f t="shared" si="7"/>
        <v>-70728.665109007401</v>
      </c>
    </row>
    <row r="68" spans="2:9" customFormat="1" ht="17.25" hidden="1">
      <c r="B68" s="73">
        <v>4</v>
      </c>
      <c r="C68" s="65">
        <f>'Cash flow for investments-  Sto'!C5</f>
        <v>0</v>
      </c>
      <c r="D68" s="65">
        <f t="shared" si="9"/>
        <v>88308.833722748139</v>
      </c>
      <c r="E68" s="65">
        <f t="shared" si="8"/>
        <v>88308.833722748139</v>
      </c>
      <c r="F68" s="74">
        <f t="shared" si="7"/>
        <v>17580.168613740738</v>
      </c>
    </row>
    <row r="69" spans="2:9" customFormat="1" ht="17.25" hidden="1">
      <c r="B69" s="73">
        <v>5</v>
      </c>
      <c r="C69" s="65">
        <f>'Cash flow for investments-  Sto'!C6</f>
        <v>0</v>
      </c>
      <c r="D69" s="65">
        <f t="shared" si="9"/>
        <v>88308.833722748139</v>
      </c>
      <c r="E69" s="65">
        <f t="shared" si="8"/>
        <v>88308.833722748139</v>
      </c>
      <c r="F69" s="74">
        <f t="shared" si="7"/>
        <v>105889.00233648888</v>
      </c>
    </row>
    <row r="70" spans="2:9" customFormat="1" ht="17.25" hidden="1">
      <c r="B70" s="73">
        <v>6</v>
      </c>
      <c r="C70" s="65">
        <f>'Cash flow for investments-  Sto'!C7</f>
        <v>0</v>
      </c>
      <c r="D70" s="65">
        <f t="shared" si="9"/>
        <v>88308.833722748139</v>
      </c>
      <c r="E70" s="65">
        <f t="shared" si="8"/>
        <v>88308.833722748139</v>
      </c>
      <c r="F70" s="74">
        <f t="shared" si="7"/>
        <v>192197.83605923702</v>
      </c>
    </row>
    <row r="71" spans="2:9" customFormat="1" ht="17.25" hidden="1">
      <c r="B71" s="73">
        <v>7</v>
      </c>
      <c r="C71" s="65">
        <f>'Cash flow for investments-  Sto'!C8</f>
        <v>2000</v>
      </c>
      <c r="D71" s="65">
        <f t="shared" si="9"/>
        <v>88308.833722748139</v>
      </c>
      <c r="E71" s="65">
        <f t="shared" si="8"/>
        <v>86308.833722748139</v>
      </c>
      <c r="F71" s="74">
        <f t="shared" si="7"/>
        <v>278756.66978198517</v>
      </c>
    </row>
    <row r="72" spans="2:9" customFormat="1" ht="17.25" hidden="1">
      <c r="B72" s="73">
        <v>8</v>
      </c>
      <c r="C72" s="65">
        <f>'Cash flow for investments-  Sto'!C9</f>
        <v>1750</v>
      </c>
      <c r="D72" s="65">
        <f t="shared" si="9"/>
        <v>88308.833722748139</v>
      </c>
      <c r="E72" s="65">
        <f t="shared" si="8"/>
        <v>86558.833722748139</v>
      </c>
      <c r="F72" s="74">
        <f t="shared" si="7"/>
        <v>367065.50350473332</v>
      </c>
    </row>
    <row r="73" spans="2:9" customFormat="1" ht="17.25" hidden="1">
      <c r="B73" s="73">
        <v>9</v>
      </c>
      <c r="C73" s="65">
        <f>'Cash flow for investments-  Sto'!C10</f>
        <v>0</v>
      </c>
      <c r="D73" s="65">
        <f t="shared" si="9"/>
        <v>88308.833722748139</v>
      </c>
      <c r="E73" s="65">
        <f t="shared" si="8"/>
        <v>88308.833722748139</v>
      </c>
      <c r="F73" s="74">
        <f t="shared" si="7"/>
        <v>733236.25270367204</v>
      </c>
    </row>
    <row r="74" spans="2:9" customFormat="1" ht="17.25" hidden="1">
      <c r="B74" s="73">
        <v>10</v>
      </c>
      <c r="C74" s="65">
        <f>'Cash flow for investments-  Sto'!C11</f>
        <v>57503.075000000004</v>
      </c>
      <c r="D74" s="65">
        <f t="shared" si="9"/>
        <v>88308.833722748139</v>
      </c>
      <c r="E74" s="65">
        <f>D74-C74+D75</f>
        <v>366170.74919893866</v>
      </c>
      <c r="F74" s="74"/>
    </row>
    <row r="75" spans="2:9" customFormat="1" ht="17.25" hidden="1">
      <c r="B75" s="73" t="s">
        <v>323</v>
      </c>
      <c r="C75" s="65"/>
      <c r="D75" s="65">
        <f>'Cash flow for investments- Food'!C12</f>
        <v>335364.99047619052</v>
      </c>
      <c r="E75" s="65"/>
      <c r="F75" s="5"/>
    </row>
    <row r="76" spans="2:9" customFormat="1" ht="17.25" hidden="1">
      <c r="B76" s="5"/>
      <c r="C76" s="5"/>
      <c r="D76" s="5"/>
      <c r="E76" s="5"/>
      <c r="F76" s="5"/>
      <c r="G76" s="5"/>
      <c r="H76" s="5"/>
      <c r="I76" s="5"/>
    </row>
  </sheetData>
  <sheetProtection sheet="1" objects="1" scenarios="1"/>
  <mergeCells count="2">
    <mergeCell ref="B2:I2"/>
    <mergeCell ref="E43:F43"/>
  </mergeCells>
  <conditionalFormatting sqref="V43:W1048556">
    <cfRule type="duplicateValues" dxfId="3" priority="22"/>
  </conditionalFormatting>
  <hyperlinks>
    <hyperlink ref="N19" r:id="rId1" display="https://srac.msstate.edu/pdfs/Fact Sheets/122 Production Enterprise Budget for Golden Shiners.pdf" xr:uid="{02275622-4D22-4059-85AF-32FFEC8C80E1}"/>
    <hyperlink ref="N16" r:id="rId2" display="https://txmarspecies.tamug.edu/length-weight.cfm" xr:uid="{FE3C352B-1B22-4C08-ABE4-DC434EFD1EDF}"/>
    <hyperlink ref="N13" r:id="rId3" display="https://www.owenandwilliams.com/grass-crap/" xr:uid="{54EF1AC1-3265-4C15-BB2C-9935D914767A}"/>
    <hyperlink ref="N15" r:id="rId4" display="https://www.owenandwilliams.com/grass-crap/" xr:uid="{0EE7E8B3-9C4A-4CB7-B682-072C57807D92}"/>
    <hyperlink ref="N14" r:id="rId5" display="https://txmarspecies.tamug.edu/length-weight.cfm" xr:uid="{1F1C586B-05B5-4692-822E-98B2B6C8C85F}"/>
  </hyperlinks>
  <pageMargins left="0.7" right="0.7" top="0.75" bottom="0.75" header="0.3" footer="0.3"/>
  <pageSetup orientation="portrait" r:id="rId6"/>
  <ignoredErrors>
    <ignoredError sqref="F20" formula="1"/>
    <ignoredError sqref="C38"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7A848-7ABC-4FE0-ADE3-214DAEB44AE2}">
  <sheetPr codeName="Sheet18"/>
  <dimension ref="A1:AQ95"/>
  <sheetViews>
    <sheetView showGridLines="0" zoomScaleNormal="100" workbookViewId="0">
      <selection activeCell="N28" sqref="N28"/>
    </sheetView>
  </sheetViews>
  <sheetFormatPr defaultColWidth="0" defaultRowHeight="0" customHeight="1" zeroHeight="1"/>
  <cols>
    <col min="1" max="1" width="3.33203125" style="5" customWidth="1"/>
    <col min="2" max="2" width="41.109375" style="5" customWidth="1"/>
    <col min="3" max="3" width="11.88671875" style="5" customWidth="1"/>
    <col min="4" max="4" width="13.44140625" style="5" customWidth="1"/>
    <col min="5" max="6" width="10.77734375" style="5" customWidth="1"/>
    <col min="7" max="7" width="8.77734375" style="5" customWidth="1"/>
    <col min="8" max="8" width="9.77734375" style="5" customWidth="1"/>
    <col min="9" max="9" width="14.109375" style="5" customWidth="1"/>
    <col min="10" max="11" width="10.77734375" style="5" customWidth="1"/>
    <col min="12" max="12" width="8.77734375" style="5" customWidth="1"/>
    <col min="13" max="13" width="9.77734375" style="5" customWidth="1"/>
    <col min="14" max="17" width="10.77734375" style="5" customWidth="1"/>
    <col min="18" max="18" width="3.33203125" style="48" customWidth="1"/>
    <col min="19" max="19" width="39" style="5" customWidth="1"/>
    <col min="20" max="21" width="11.77734375" style="5" customWidth="1"/>
    <col min="22" max="22" width="3.33203125" style="5" customWidth="1"/>
    <col min="23" max="23" width="18.33203125" style="5" customWidth="1"/>
    <col min="24" max="25" width="11.77734375" style="5" customWidth="1"/>
    <col min="26" max="26" width="3.44140625" style="5" customWidth="1"/>
    <col min="27" max="27" width="3.33203125" style="5" hidden="1" customWidth="1"/>
    <col min="28" max="39" width="0" style="48" hidden="1" customWidth="1"/>
    <col min="40" max="43" width="0" style="5" hidden="1" customWidth="1"/>
    <col min="44" max="16384" width="12" style="5" hidden="1"/>
  </cols>
  <sheetData>
    <row r="1" spans="2:32" ht="16.5" customHeight="1"/>
    <row r="2" spans="2:32" ht="16.5" customHeight="1">
      <c r="W2" s="724" t="s">
        <v>150</v>
      </c>
      <c r="X2" s="718" t="s">
        <v>426</v>
      </c>
      <c r="Y2" s="718" t="s">
        <v>427</v>
      </c>
      <c r="Z2" s="393"/>
      <c r="AA2" s="48"/>
    </row>
    <row r="3" spans="2:32" ht="21" customHeight="1">
      <c r="B3" s="707" t="s">
        <v>147</v>
      </c>
      <c r="C3" s="707"/>
      <c r="D3" s="707"/>
      <c r="E3" s="707"/>
      <c r="F3" s="707"/>
      <c r="G3" s="707"/>
      <c r="H3" s="707"/>
      <c r="I3" s="707"/>
      <c r="J3" s="707"/>
      <c r="K3" s="707"/>
      <c r="L3" s="707"/>
      <c r="M3" s="707"/>
      <c r="N3" s="707"/>
      <c r="O3" s="707"/>
      <c r="P3" s="707"/>
      <c r="Q3" s="707"/>
      <c r="R3" s="265"/>
      <c r="S3" s="125" t="s">
        <v>425</v>
      </c>
      <c r="T3" s="719"/>
      <c r="U3" s="719"/>
      <c r="V3" s="319"/>
      <c r="W3" s="724"/>
      <c r="X3" s="718"/>
      <c r="Y3" s="718"/>
      <c r="Z3" s="393"/>
      <c r="AA3" s="48"/>
      <c r="AC3" s="88"/>
      <c r="AD3" s="88"/>
      <c r="AE3" s="89"/>
      <c r="AF3" s="89"/>
    </row>
    <row r="4" spans="2:32" ht="16.5" customHeight="1">
      <c r="B4" s="355"/>
      <c r="C4" s="388"/>
      <c r="D4" s="721" t="s">
        <v>168</v>
      </c>
      <c r="E4" s="722"/>
      <c r="F4" s="722"/>
      <c r="G4" s="722"/>
      <c r="H4" s="723"/>
      <c r="I4" s="721" t="s">
        <v>169</v>
      </c>
      <c r="J4" s="722"/>
      <c r="K4" s="722"/>
      <c r="L4" s="722"/>
      <c r="M4" s="723"/>
      <c r="N4" s="721" t="s">
        <v>141</v>
      </c>
      <c r="O4" s="722"/>
      <c r="P4" s="722"/>
      <c r="Q4" s="723"/>
      <c r="R4" s="181"/>
      <c r="S4" s="377"/>
      <c r="T4" s="720" t="s">
        <v>34</v>
      </c>
      <c r="U4" s="720"/>
      <c r="V4" s="175"/>
      <c r="W4" s="394" t="s">
        <v>383</v>
      </c>
      <c r="X4" s="394" t="s">
        <v>395</v>
      </c>
      <c r="Y4" s="394" t="s">
        <v>395</v>
      </c>
      <c r="Z4" s="98"/>
      <c r="AA4" s="58"/>
      <c r="AB4" s="77"/>
      <c r="AC4" s="77"/>
      <c r="AD4" s="77"/>
      <c r="AF4" s="88"/>
    </row>
    <row r="5" spans="2:32" ht="16.5" customHeight="1">
      <c r="B5" s="357" t="s">
        <v>31</v>
      </c>
      <c r="C5" s="324" t="s">
        <v>2</v>
      </c>
      <c r="D5" s="391" t="s">
        <v>143</v>
      </c>
      <c r="E5" s="150" t="s">
        <v>32</v>
      </c>
      <c r="F5" s="150" t="s">
        <v>33</v>
      </c>
      <c r="G5" s="150" t="s">
        <v>144</v>
      </c>
      <c r="H5" s="392" t="s">
        <v>214</v>
      </c>
      <c r="I5" s="391" t="s">
        <v>143</v>
      </c>
      <c r="J5" s="150" t="s">
        <v>32</v>
      </c>
      <c r="K5" s="150" t="s">
        <v>33</v>
      </c>
      <c r="L5" s="150" t="s">
        <v>144</v>
      </c>
      <c r="M5" s="392" t="s">
        <v>214</v>
      </c>
      <c r="N5" s="391" t="s">
        <v>126</v>
      </c>
      <c r="O5" s="150" t="s">
        <v>127</v>
      </c>
      <c r="P5" s="150" t="s">
        <v>424</v>
      </c>
      <c r="Q5" s="392" t="s">
        <v>214</v>
      </c>
      <c r="R5" s="181"/>
      <c r="S5" s="246" t="s">
        <v>31</v>
      </c>
      <c r="T5" s="254" t="s">
        <v>126</v>
      </c>
      <c r="U5" s="254" t="s">
        <v>127</v>
      </c>
      <c r="V5" s="379"/>
      <c r="W5" s="249">
        <f t="shared" ref="W5:W37" si="0">AB25</f>
        <v>0.1</v>
      </c>
      <c r="X5" s="383">
        <f t="shared" ref="X5:X37" si="1">AC25</f>
        <v>9.774563796320777</v>
      </c>
      <c r="Y5" s="383">
        <f t="shared" ref="Y5:Y37" si="2">AF25</f>
        <v>35.626411325794436</v>
      </c>
      <c r="Z5" s="383"/>
      <c r="AA5" s="52" t="s">
        <v>138</v>
      </c>
      <c r="AB5" s="76"/>
      <c r="AC5" s="77"/>
      <c r="AD5" s="77"/>
      <c r="AF5" s="77"/>
    </row>
    <row r="6" spans="2:32" ht="16.5" customHeight="1">
      <c r="B6" s="343" t="s">
        <v>88</v>
      </c>
      <c r="C6" s="327"/>
      <c r="D6" s="342"/>
      <c r="E6" s="125"/>
      <c r="F6" s="138"/>
      <c r="G6" s="138"/>
      <c r="H6" s="326"/>
      <c r="I6" s="332"/>
      <c r="J6" s="138"/>
      <c r="K6" s="125"/>
      <c r="L6" s="125"/>
      <c r="M6" s="326"/>
      <c r="N6" s="344" t="str">
        <f>ROUND(C43,2) &amp; " acres"</f>
        <v>2.76 acres</v>
      </c>
      <c r="O6" s="318" t="str">
        <f>ROUND(D43,2) &amp; " acres"</f>
        <v>9.24 acres</v>
      </c>
      <c r="P6" s="318" t="str">
        <f>ROUND(E43,2) &amp; " acres"</f>
        <v>12 acres</v>
      </c>
      <c r="Q6" s="326"/>
      <c r="R6" s="266">
        <f>P7/12</f>
        <v>19714.942528735635</v>
      </c>
      <c r="S6" s="193" t="s">
        <v>124</v>
      </c>
      <c r="T6" s="684">
        <v>13400</v>
      </c>
      <c r="U6" s="684">
        <v>4000</v>
      </c>
      <c r="V6" s="380"/>
      <c r="W6" s="249">
        <f t="shared" si="0"/>
        <v>0.125</v>
      </c>
      <c r="X6" s="383">
        <f t="shared" si="1"/>
        <v>7.8914449786928715</v>
      </c>
      <c r="Y6" s="383">
        <f t="shared" si="2"/>
        <v>28.726443316790427</v>
      </c>
      <c r="Z6" s="383"/>
      <c r="AA6" s="52" t="s">
        <v>138</v>
      </c>
      <c r="AB6" s="75"/>
      <c r="AC6" s="76"/>
      <c r="AD6" s="76"/>
      <c r="AF6" s="77"/>
    </row>
    <row r="7" spans="2:32" ht="16.5" customHeight="1">
      <c r="B7" s="332" t="s">
        <v>285</v>
      </c>
      <c r="C7" s="349" t="s">
        <v>41</v>
      </c>
      <c r="D7" s="364">
        <f>T17</f>
        <v>1.75</v>
      </c>
      <c r="E7" s="138">
        <f>E12*T13</f>
        <v>11390</v>
      </c>
      <c r="F7" s="170">
        <f>D7*E7</f>
        <v>19932.5</v>
      </c>
      <c r="G7" s="239">
        <f>D7</f>
        <v>1.75</v>
      </c>
      <c r="H7" s="398">
        <f>F7/$F$7</f>
        <v>1</v>
      </c>
      <c r="I7" s="367">
        <f>U17</f>
        <v>8</v>
      </c>
      <c r="J7" s="138">
        <f>J12*U13</f>
        <v>3200</v>
      </c>
      <c r="K7" s="170">
        <f>I7*J7</f>
        <v>25600</v>
      </c>
      <c r="L7" s="239">
        <f>K7/$J$7</f>
        <v>8</v>
      </c>
      <c r="M7" s="398">
        <f>K7/$K$7</f>
        <v>1</v>
      </c>
      <c r="N7" s="368"/>
      <c r="O7" s="170"/>
      <c r="P7" s="369">
        <f>K7*$D$43</f>
        <v>236579.31034482762</v>
      </c>
      <c r="Q7" s="398">
        <f>P7/$P$7</f>
        <v>1</v>
      </c>
      <c r="R7" s="266">
        <f t="shared" ref="R7:R34" si="3">P8/12</f>
        <v>887.1724137931036</v>
      </c>
      <c r="S7" s="193" t="s">
        <v>140</v>
      </c>
      <c r="T7" s="685">
        <v>6</v>
      </c>
      <c r="U7" s="685">
        <v>5</v>
      </c>
      <c r="V7" s="381"/>
      <c r="W7" s="249">
        <f t="shared" si="0"/>
        <v>0.15</v>
      </c>
      <c r="X7" s="383">
        <f t="shared" si="1"/>
        <v>6.6360324336076015</v>
      </c>
      <c r="Y7" s="383">
        <f t="shared" si="2"/>
        <v>24.126464644121089</v>
      </c>
      <c r="Z7" s="383"/>
      <c r="AA7" s="52" t="s">
        <v>138</v>
      </c>
      <c r="AB7" s="75"/>
      <c r="AC7" s="75"/>
      <c r="AD7" s="76"/>
      <c r="AF7" s="76"/>
    </row>
    <row r="8" spans="2:32" ht="16.5" customHeight="1">
      <c r="B8" s="332" t="s">
        <v>35</v>
      </c>
      <c r="C8" s="349" t="s">
        <v>16</v>
      </c>
      <c r="D8" s="364">
        <f>'Operating Inputs'!$D$25</f>
        <v>1.5</v>
      </c>
      <c r="E8" s="138">
        <f>E7*T14/T19*T20</f>
        <v>1506.6373079999998</v>
      </c>
      <c r="F8" s="170">
        <f>D8*E8</f>
        <v>2259.955962</v>
      </c>
      <c r="G8" s="239">
        <f>F8/$E$7</f>
        <v>0.1984158</v>
      </c>
      <c r="H8" s="398">
        <f t="shared" ref="H8:H36" si="4">F8/$F$7</f>
        <v>0.11338045714285715</v>
      </c>
      <c r="I8" s="364">
        <f>'Operating Inputs'!$D$25</f>
        <v>1.5</v>
      </c>
      <c r="J8" s="137">
        <f>J7*U14/U19*U20</f>
        <v>768</v>
      </c>
      <c r="K8" s="170">
        <f>I8*J8</f>
        <v>1152</v>
      </c>
      <c r="L8" s="239">
        <f>K8/$J$7</f>
        <v>0.36</v>
      </c>
      <c r="M8" s="398">
        <f t="shared" ref="M8:M36" si="5">K8/$K$7</f>
        <v>4.4999999999999998E-2</v>
      </c>
      <c r="N8" s="370"/>
      <c r="O8" s="171"/>
      <c r="P8" s="371">
        <f>K8*$D$43</f>
        <v>10646.068965517243</v>
      </c>
      <c r="Q8" s="399">
        <f t="shared" ref="Q8:Q36" si="6">P8/$P$7</f>
        <v>4.4999999999999998E-2</v>
      </c>
      <c r="R8" s="266">
        <f t="shared" si="3"/>
        <v>18827.77011494253</v>
      </c>
      <c r="S8" s="125" t="s">
        <v>130</v>
      </c>
      <c r="T8" s="686">
        <v>2.4</v>
      </c>
      <c r="U8" s="686">
        <v>2.4</v>
      </c>
      <c r="V8" s="379"/>
      <c r="W8" s="249">
        <f t="shared" si="0"/>
        <v>0.17499999999999999</v>
      </c>
      <c r="X8" s="383">
        <f t="shared" si="1"/>
        <v>5.7393091871181232</v>
      </c>
      <c r="Y8" s="383">
        <f t="shared" si="2"/>
        <v>20.840765592214421</v>
      </c>
      <c r="Z8" s="383"/>
      <c r="AA8" s="52"/>
      <c r="AB8" s="76"/>
      <c r="AC8" s="75"/>
      <c r="AD8" s="75"/>
      <c r="AF8" s="76"/>
    </row>
    <row r="9" spans="2:32" ht="16.5" customHeight="1">
      <c r="B9" s="358" t="s">
        <v>89</v>
      </c>
      <c r="C9" s="328"/>
      <c r="D9" s="364"/>
      <c r="E9" s="138"/>
      <c r="F9" s="305">
        <f>F7-F8</f>
        <v>17672.544038</v>
      </c>
      <c r="G9" s="241">
        <f>F9/$E$7</f>
        <v>1.5515842</v>
      </c>
      <c r="H9" s="400">
        <f t="shared" si="4"/>
        <v>0.88661954285714284</v>
      </c>
      <c r="I9" s="390"/>
      <c r="J9" s="153"/>
      <c r="K9" s="305">
        <f>K7-K8</f>
        <v>24448</v>
      </c>
      <c r="L9" s="241">
        <f>K9/$J$7</f>
        <v>7.64</v>
      </c>
      <c r="M9" s="400">
        <f t="shared" si="5"/>
        <v>0.95499999999999996</v>
      </c>
      <c r="N9" s="368"/>
      <c r="O9" s="170"/>
      <c r="P9" s="372">
        <f>P7-P8</f>
        <v>225933.24137931038</v>
      </c>
      <c r="Q9" s="400">
        <f t="shared" si="6"/>
        <v>0.95499999999999996</v>
      </c>
      <c r="R9" s="266">
        <f t="shared" si="3"/>
        <v>0</v>
      </c>
      <c r="S9" s="125" t="s">
        <v>213</v>
      </c>
      <c r="T9" s="684">
        <v>2000</v>
      </c>
      <c r="U9" s="684">
        <v>1800</v>
      </c>
      <c r="V9" s="381"/>
      <c r="W9" s="249">
        <f t="shared" si="0"/>
        <v>0.2</v>
      </c>
      <c r="X9" s="383">
        <f t="shared" si="1"/>
        <v>5.0667667522510129</v>
      </c>
      <c r="Y9" s="383">
        <f t="shared" si="2"/>
        <v>18.376491303284414</v>
      </c>
      <c r="Z9" s="383"/>
      <c r="AA9" s="52" t="s">
        <v>138</v>
      </c>
      <c r="AB9" s="76"/>
      <c r="AC9" s="76"/>
      <c r="AE9" s="84"/>
    </row>
    <row r="10" spans="2:32" ht="16.5" customHeight="1">
      <c r="B10" s="339" t="s">
        <v>37</v>
      </c>
      <c r="C10" s="328"/>
      <c r="D10" s="364"/>
      <c r="E10" s="138"/>
      <c r="F10" s="170"/>
      <c r="G10" s="241"/>
      <c r="H10" s="400"/>
      <c r="I10" s="367"/>
      <c r="J10" s="138"/>
      <c r="K10" s="133"/>
      <c r="L10" s="166"/>
      <c r="M10" s="400"/>
      <c r="N10" s="368"/>
      <c r="O10" s="170"/>
      <c r="P10" s="372"/>
      <c r="Q10" s="400"/>
      <c r="R10" s="266">
        <f t="shared" si="3"/>
        <v>4516.1246358196395</v>
      </c>
      <c r="S10" s="193" t="s">
        <v>119</v>
      </c>
      <c r="T10" s="686">
        <v>0</v>
      </c>
      <c r="U10" s="686">
        <v>0</v>
      </c>
      <c r="V10" s="379"/>
      <c r="W10" s="249">
        <f t="shared" si="0"/>
        <v>0.22500000000000001</v>
      </c>
      <c r="X10" s="383">
        <f t="shared" si="1"/>
        <v>4.5436781917988176</v>
      </c>
      <c r="Y10" s="383">
        <f t="shared" si="2"/>
        <v>16.459833523005525</v>
      </c>
      <c r="Z10" s="383"/>
      <c r="AA10" s="59"/>
      <c r="AB10" s="76"/>
      <c r="AC10" s="76"/>
      <c r="AD10" s="48" t="s">
        <v>103</v>
      </c>
    </row>
    <row r="11" spans="2:32" ht="16.5" customHeight="1">
      <c r="B11" s="332" t="s">
        <v>38</v>
      </c>
      <c r="C11" s="349" t="s">
        <v>39</v>
      </c>
      <c r="D11" s="364">
        <f>T9</f>
        <v>2000</v>
      </c>
      <c r="E11" s="138">
        <f>AVERAGE(E7,E12)*T14*T8/AE14/1000</f>
        <v>2.9748000000000001</v>
      </c>
      <c r="F11" s="170">
        <f>D11*E11</f>
        <v>5949.6</v>
      </c>
      <c r="G11" s="239">
        <f>F11/$E$7</f>
        <v>0.52235294117647058</v>
      </c>
      <c r="H11" s="398">
        <f t="shared" si="4"/>
        <v>0.29848739495798321</v>
      </c>
      <c r="I11" s="367">
        <f>U9</f>
        <v>1800</v>
      </c>
      <c r="J11" s="138">
        <f>AVERAGE(J7,J12)*(U14-T14)*U8/AE14/1000</f>
        <v>2.2712341900191424</v>
      </c>
      <c r="K11" s="170">
        <f>I11*J11</f>
        <v>4088.2215420344564</v>
      </c>
      <c r="L11" s="239">
        <f>K11/$J$7</f>
        <v>1.2775692318857677</v>
      </c>
      <c r="M11" s="398">
        <f t="shared" si="5"/>
        <v>0.15969615398572096</v>
      </c>
      <c r="N11" s="368">
        <f t="shared" ref="N11:N17" si="7">F11*$C$43</f>
        <v>16412.689655172417</v>
      </c>
      <c r="O11" s="170">
        <f>K11*$D$43</f>
        <v>37780.805974663257</v>
      </c>
      <c r="P11" s="369">
        <f>SUM(N11:O11)</f>
        <v>54193.49562983567</v>
      </c>
      <c r="Q11" s="398">
        <f t="shared" si="6"/>
        <v>0.22907115398572092</v>
      </c>
      <c r="R11" s="266">
        <f t="shared" si="3"/>
        <v>1185.977011494253</v>
      </c>
      <c r="S11" s="193" t="s">
        <v>137</v>
      </c>
      <c r="T11" s="684">
        <v>1000</v>
      </c>
      <c r="U11" s="684">
        <v>500</v>
      </c>
      <c r="V11" s="379"/>
      <c r="W11" s="249">
        <f t="shared" si="0"/>
        <v>0.25</v>
      </c>
      <c r="X11" s="383">
        <f t="shared" si="1"/>
        <v>4.1252073434370606</v>
      </c>
      <c r="Y11" s="383">
        <f t="shared" si="2"/>
        <v>14.926507298782408</v>
      </c>
      <c r="Z11" s="383"/>
      <c r="AA11" s="59" t="s">
        <v>118</v>
      </c>
      <c r="AB11" s="76"/>
      <c r="AC11" s="76"/>
      <c r="AD11" s="48" t="s">
        <v>100</v>
      </c>
      <c r="AE11" s="70">
        <v>1068.5999999999999</v>
      </c>
      <c r="AF11" s="48" t="s">
        <v>101</v>
      </c>
    </row>
    <row r="12" spans="2:32" ht="16.5" customHeight="1">
      <c r="B12" s="332" t="s">
        <v>125</v>
      </c>
      <c r="C12" s="349" t="s">
        <v>41</v>
      </c>
      <c r="D12" s="364">
        <f>T16</f>
        <v>0.38500000000000001</v>
      </c>
      <c r="E12" s="138">
        <f>T6</f>
        <v>13400</v>
      </c>
      <c r="F12" s="170">
        <f>E12*T16</f>
        <v>5159</v>
      </c>
      <c r="G12" s="239">
        <f>F12/$E$7</f>
        <v>0.45294117647058824</v>
      </c>
      <c r="H12" s="398">
        <f t="shared" si="4"/>
        <v>0.25882352941176473</v>
      </c>
      <c r="I12" s="367">
        <f>T17</f>
        <v>1.75</v>
      </c>
      <c r="J12" s="138">
        <f>U6</f>
        <v>4000</v>
      </c>
      <c r="K12" s="365">
        <f>I12*J12</f>
        <v>7000</v>
      </c>
      <c r="L12" s="239">
        <f t="shared" ref="L12:L17" si="8">K12/$J$7</f>
        <v>2.1875</v>
      </c>
      <c r="M12" s="398">
        <f t="shared" si="5"/>
        <v>0.2734375</v>
      </c>
      <c r="N12" s="368">
        <f t="shared" si="7"/>
        <v>14231.724137931036</v>
      </c>
      <c r="O12" s="170"/>
      <c r="P12" s="369">
        <f>N12</f>
        <v>14231.724137931036</v>
      </c>
      <c r="Q12" s="398">
        <f t="shared" si="6"/>
        <v>6.0156250000000001E-2</v>
      </c>
      <c r="R12" s="266">
        <f t="shared" si="3"/>
        <v>150.00000000000003</v>
      </c>
      <c r="S12" s="193" t="s">
        <v>271</v>
      </c>
      <c r="T12" s="684">
        <v>1000</v>
      </c>
      <c r="U12" s="684">
        <f>T12</f>
        <v>1000</v>
      </c>
      <c r="V12" s="382"/>
      <c r="W12" s="249">
        <f t="shared" si="0"/>
        <v>0.27500000000000002</v>
      </c>
      <c r="X12" s="383">
        <f t="shared" si="1"/>
        <v>3.7828221038683507</v>
      </c>
      <c r="Y12" s="383">
        <f t="shared" si="2"/>
        <v>13.67196766078168</v>
      </c>
      <c r="Z12" s="383"/>
      <c r="AA12" s="52" t="s">
        <v>207</v>
      </c>
      <c r="AB12" s="76"/>
      <c r="AC12" s="76"/>
      <c r="AD12" s="48" t="s">
        <v>104</v>
      </c>
      <c r="AE12" s="70">
        <v>325.85000000000002</v>
      </c>
      <c r="AF12" s="48" t="s">
        <v>101</v>
      </c>
    </row>
    <row r="13" spans="2:32" ht="16.5" customHeight="1">
      <c r="B13" s="332" t="s">
        <v>6</v>
      </c>
      <c r="C13" s="349"/>
      <c r="D13" s="364"/>
      <c r="E13" s="138"/>
      <c r="F13" s="170">
        <f>'Operating Inputs'!D7</f>
        <v>150</v>
      </c>
      <c r="G13" s="239">
        <f>F13/$E$7</f>
        <v>1.3169446883230905E-2</v>
      </c>
      <c r="H13" s="398">
        <f t="shared" si="4"/>
        <v>7.5253982189890881E-3</v>
      </c>
      <c r="I13" s="367"/>
      <c r="J13" s="138"/>
      <c r="K13" s="366">
        <f>'Operating Inputs'!D7</f>
        <v>150</v>
      </c>
      <c r="L13" s="239">
        <f t="shared" si="8"/>
        <v>4.6875E-2</v>
      </c>
      <c r="M13" s="398">
        <f t="shared" si="5"/>
        <v>5.859375E-3</v>
      </c>
      <c r="N13" s="368">
        <f t="shared" si="7"/>
        <v>413.79310344827587</v>
      </c>
      <c r="O13" s="170">
        <f>K13*$D$43</f>
        <v>1386.2068965517244</v>
      </c>
      <c r="P13" s="369">
        <f t="shared" ref="P13:P34" si="9">SUM(N13:O13)</f>
        <v>1800.0000000000002</v>
      </c>
      <c r="Q13" s="398">
        <f t="shared" si="6"/>
        <v>7.6084421641791043E-3</v>
      </c>
      <c r="R13" s="266">
        <f t="shared" si="3"/>
        <v>0</v>
      </c>
      <c r="S13" s="193" t="s">
        <v>120</v>
      </c>
      <c r="T13" s="687">
        <v>0.85</v>
      </c>
      <c r="U13" s="688">
        <v>0.8</v>
      </c>
      <c r="V13" s="381"/>
      <c r="W13" s="249">
        <f t="shared" si="0"/>
        <v>0.3</v>
      </c>
      <c r="X13" s="383">
        <f t="shared" si="1"/>
        <v>3.4975010708944252</v>
      </c>
      <c r="Y13" s="383">
        <f t="shared" si="2"/>
        <v>12.626517962447739</v>
      </c>
      <c r="Z13" s="383"/>
      <c r="AA13" s="48"/>
      <c r="AB13" s="76"/>
      <c r="AC13" s="76"/>
      <c r="AD13" s="48" t="s">
        <v>105</v>
      </c>
      <c r="AE13" s="48">
        <v>3.28084</v>
      </c>
      <c r="AF13" s="48" t="s">
        <v>102</v>
      </c>
    </row>
    <row r="14" spans="2:32" ht="16.5" customHeight="1">
      <c r="B14" s="342" t="s">
        <v>200</v>
      </c>
      <c r="C14" s="350" t="s">
        <v>40</v>
      </c>
      <c r="D14" s="364">
        <f>'Operating Inputs'!D14</f>
        <v>0.4</v>
      </c>
      <c r="E14" s="138">
        <f>T10*T7/24</f>
        <v>0</v>
      </c>
      <c r="F14" s="170">
        <f>D14*E14</f>
        <v>0</v>
      </c>
      <c r="G14" s="166"/>
      <c r="H14" s="401">
        <f t="shared" si="4"/>
        <v>0</v>
      </c>
      <c r="I14" s="367">
        <f>D14</f>
        <v>0.4</v>
      </c>
      <c r="J14" s="138">
        <f>U10*U7/24</f>
        <v>0</v>
      </c>
      <c r="K14" s="365">
        <f>I14*J14</f>
        <v>0</v>
      </c>
      <c r="L14" s="239">
        <f t="shared" si="8"/>
        <v>0</v>
      </c>
      <c r="M14" s="401">
        <f t="shared" si="5"/>
        <v>0</v>
      </c>
      <c r="N14" s="368">
        <f t="shared" si="7"/>
        <v>0</v>
      </c>
      <c r="O14" s="170">
        <f>K14*$D$43</f>
        <v>0</v>
      </c>
      <c r="P14" s="369">
        <f t="shared" si="9"/>
        <v>0</v>
      </c>
      <c r="Q14" s="401">
        <f t="shared" si="6"/>
        <v>0</v>
      </c>
      <c r="R14" s="266">
        <f t="shared" si="3"/>
        <v>485.94252873563227</v>
      </c>
      <c r="S14" s="125" t="s">
        <v>128</v>
      </c>
      <c r="T14" s="689">
        <f>100*0.00220462</f>
        <v>0.22046199999999999</v>
      </c>
      <c r="U14" s="686">
        <v>0.8</v>
      </c>
      <c r="V14" s="381"/>
      <c r="W14" s="249">
        <f t="shared" si="0"/>
        <v>0.32500000000000001</v>
      </c>
      <c r="X14" s="383">
        <f t="shared" si="1"/>
        <v>3.2560755814549505</v>
      </c>
      <c r="Y14" s="383">
        <f t="shared" si="2"/>
        <v>11.741906679242097</v>
      </c>
      <c r="Z14" s="383"/>
      <c r="AA14" s="48"/>
      <c r="AC14" s="76"/>
      <c r="AD14" s="63" t="s">
        <v>96</v>
      </c>
      <c r="AE14" s="64">
        <v>2.2046199999999998</v>
      </c>
      <c r="AF14" s="48" t="s">
        <v>40</v>
      </c>
    </row>
    <row r="15" spans="2:32" ht="16.5" customHeight="1">
      <c r="B15" s="332" t="s">
        <v>42</v>
      </c>
      <c r="C15" s="349"/>
      <c r="D15" s="364"/>
      <c r="E15" s="138"/>
      <c r="F15" s="170">
        <f>'Operating Inputs'!$D9*F7</f>
        <v>398.65000000000003</v>
      </c>
      <c r="G15" s="239">
        <f>F15/$E$7</f>
        <v>3.5000000000000003E-2</v>
      </c>
      <c r="H15" s="398">
        <f t="shared" si="4"/>
        <v>0.02</v>
      </c>
      <c r="I15" s="367"/>
      <c r="J15" s="138"/>
      <c r="K15" s="365">
        <f>'Operating Inputs'!$D9*K7</f>
        <v>512</v>
      </c>
      <c r="L15" s="239">
        <f t="shared" si="8"/>
        <v>0.16</v>
      </c>
      <c r="M15" s="398">
        <f t="shared" si="5"/>
        <v>0.02</v>
      </c>
      <c r="N15" s="368">
        <f t="shared" si="7"/>
        <v>1099.7241379310346</v>
      </c>
      <c r="O15" s="170">
        <f>K15*$D$43</f>
        <v>4731.5862068965525</v>
      </c>
      <c r="P15" s="369">
        <f t="shared" si="9"/>
        <v>5831.310344827587</v>
      </c>
      <c r="Q15" s="398">
        <f t="shared" si="6"/>
        <v>2.4648437499999998E-2</v>
      </c>
      <c r="R15" s="266">
        <f t="shared" si="3"/>
        <v>96.125000000000014</v>
      </c>
      <c r="S15" s="194" t="s">
        <v>164</v>
      </c>
      <c r="T15" s="689">
        <v>10</v>
      </c>
      <c r="U15" s="686">
        <v>10</v>
      </c>
      <c r="V15" s="381"/>
      <c r="W15" s="249">
        <f t="shared" si="0"/>
        <v>0.35</v>
      </c>
      <c r="X15" s="383">
        <f t="shared" si="1"/>
        <v>3.0491394476496865</v>
      </c>
      <c r="Y15" s="383">
        <f t="shared" si="2"/>
        <v>10.983668436494403</v>
      </c>
      <c r="Z15" s="383"/>
      <c r="AA15" s="52" t="s">
        <v>123</v>
      </c>
      <c r="AB15" s="84" t="s">
        <v>129</v>
      </c>
      <c r="AD15" s="63" t="s">
        <v>97</v>
      </c>
      <c r="AE15" s="64">
        <v>2.47105</v>
      </c>
      <c r="AF15" s="48" t="s">
        <v>29</v>
      </c>
    </row>
    <row r="16" spans="2:32" ht="16.5" customHeight="1">
      <c r="B16" s="332" t="s">
        <v>11</v>
      </c>
      <c r="C16" s="349"/>
      <c r="D16" s="364"/>
      <c r="E16" s="138"/>
      <c r="F16" s="170">
        <f>('Operating Inputs'!D15*'Operating Inputs'!C42/2000+'Operating Inputs'!C43*'Operating Inputs'!D16+'Operating Inputs'!C44)</f>
        <v>96.125</v>
      </c>
      <c r="G16" s="239">
        <f>F16/$E$7</f>
        <v>8.4394205443371374E-3</v>
      </c>
      <c r="H16" s="398">
        <f t="shared" si="4"/>
        <v>4.8225260253355077E-3</v>
      </c>
      <c r="I16" s="367"/>
      <c r="J16" s="138"/>
      <c r="K16" s="365">
        <f>('Operating Inputs'!D15*'Operating Inputs'!C42/2000+'Operating Inputs'!C43*'Operating Inputs'!D16+'Operating Inputs'!C44)</f>
        <v>96.125</v>
      </c>
      <c r="L16" s="239">
        <f t="shared" si="8"/>
        <v>3.0039062500000002E-2</v>
      </c>
      <c r="M16" s="398">
        <f t="shared" si="5"/>
        <v>3.7548828125000002E-3</v>
      </c>
      <c r="N16" s="368">
        <f t="shared" si="7"/>
        <v>265.17241379310349</v>
      </c>
      <c r="O16" s="170">
        <f>K16*$D$43</f>
        <v>888.32758620689674</v>
      </c>
      <c r="P16" s="369">
        <f t="shared" si="9"/>
        <v>1153.5000000000002</v>
      </c>
      <c r="Q16" s="398">
        <f t="shared" si="6"/>
        <v>4.875743353544776E-3</v>
      </c>
      <c r="R16" s="266">
        <f t="shared" si="3"/>
        <v>237.01690174010221</v>
      </c>
      <c r="S16" s="193" t="s">
        <v>122</v>
      </c>
      <c r="T16" s="449">
        <f>1.1*0.35</f>
        <v>0.38500000000000001</v>
      </c>
      <c r="U16" s="686">
        <f>T17</f>
        <v>1.75</v>
      </c>
      <c r="V16" s="381"/>
      <c r="W16" s="249">
        <f t="shared" si="0"/>
        <v>0.375</v>
      </c>
      <c r="X16" s="383">
        <f t="shared" si="1"/>
        <v>2.8697947983517906</v>
      </c>
      <c r="Y16" s="383">
        <f t="shared" si="2"/>
        <v>10.32652862611307</v>
      </c>
      <c r="Z16" s="383"/>
      <c r="AA16" s="48"/>
      <c r="AB16" s="84" t="s">
        <v>252</v>
      </c>
      <c r="AC16" s="76"/>
    </row>
    <row r="17" spans="2:43" ht="16.5" customHeight="1">
      <c r="B17" s="332" t="s">
        <v>43</v>
      </c>
      <c r="C17" s="349"/>
      <c r="D17" s="364"/>
      <c r="E17" s="138"/>
      <c r="F17" s="170">
        <f>'Capital Inputs'!G40/'Capital Inputs'!D7*'8-Stocking- Hybrid striped bass'!T7/12</f>
        <v>271.91829166666668</v>
      </c>
      <c r="G17" s="239">
        <f>F17/$E$7</f>
        <v>2.3873423324553701E-2</v>
      </c>
      <c r="H17" s="398">
        <f t="shared" si="4"/>
        <v>1.3641956185459259E-2</v>
      </c>
      <c r="I17" s="367"/>
      <c r="J17" s="138"/>
      <c r="K17" s="366">
        <f>'Capital Inputs'!G40/'Capital Inputs'!D7*'8-Stocking- Hybrid striped bass'!U7/12</f>
        <v>226.59857638888889</v>
      </c>
      <c r="L17" s="239">
        <f t="shared" si="8"/>
        <v>7.0812055121527773E-2</v>
      </c>
      <c r="M17" s="398">
        <f t="shared" si="5"/>
        <v>8.8515068901909716E-3</v>
      </c>
      <c r="N17" s="368">
        <f t="shared" si="7"/>
        <v>750.11942528735642</v>
      </c>
      <c r="O17" s="170">
        <f>K17*$D$43</f>
        <v>2094.0833955938701</v>
      </c>
      <c r="P17" s="369">
        <f>SUM(N17:O17)</f>
        <v>2844.2028208812267</v>
      </c>
      <c r="Q17" s="398">
        <f t="shared" si="6"/>
        <v>1.2022195925483262E-2</v>
      </c>
      <c r="R17" s="266">
        <f t="shared" si="3"/>
        <v>796.97485632183918</v>
      </c>
      <c r="S17" s="125" t="s">
        <v>131</v>
      </c>
      <c r="T17" s="686">
        <v>1.75</v>
      </c>
      <c r="U17" s="686">
        <v>8</v>
      </c>
      <c r="V17" s="381"/>
      <c r="W17" s="249">
        <f t="shared" si="0"/>
        <v>0.4</v>
      </c>
      <c r="X17" s="383">
        <f t="shared" si="1"/>
        <v>2.7128682302161313</v>
      </c>
      <c r="Y17" s="383">
        <f t="shared" si="2"/>
        <v>9.7515312920294015</v>
      </c>
      <c r="Z17" s="383"/>
      <c r="AA17" s="52"/>
      <c r="AD17" s="66"/>
      <c r="AE17" s="67"/>
      <c r="AF17" s="85"/>
    </row>
    <row r="18" spans="2:43" ht="16.5" customHeight="1">
      <c r="B18" s="332" t="s">
        <v>44</v>
      </c>
      <c r="C18" s="349"/>
      <c r="D18" s="364"/>
      <c r="E18" s="138"/>
      <c r="F18" s="170">
        <f>SUM(F19:F22)</f>
        <v>952.875</v>
      </c>
      <c r="G18" s="239">
        <f>F18/$E$7</f>
        <v>8.3658911325724325E-2</v>
      </c>
      <c r="H18" s="398">
        <f t="shared" si="4"/>
        <v>4.7805092186128183E-2</v>
      </c>
      <c r="I18" s="367"/>
      <c r="J18" s="138"/>
      <c r="K18" s="170">
        <f>SUM(K19:K22)</f>
        <v>750.4375</v>
      </c>
      <c r="L18" s="239">
        <f>K18/$J$7</f>
        <v>0.23451171874999999</v>
      </c>
      <c r="M18" s="398">
        <f t="shared" si="5"/>
        <v>2.9313964843749998E-2</v>
      </c>
      <c r="N18" s="368">
        <f>SUM(N19:N22)</f>
        <v>2628.6206896551726</v>
      </c>
      <c r="O18" s="170">
        <f>SUM(O19:O22)</f>
        <v>6935.0775862068976</v>
      </c>
      <c r="P18" s="365">
        <f>SUM(P19:P22)</f>
        <v>9563.6982758620707</v>
      </c>
      <c r="Q18" s="398">
        <f t="shared" si="6"/>
        <v>4.0424914004197759E-2</v>
      </c>
      <c r="R18" s="266">
        <f t="shared" si="3"/>
        <v>206.85129310344828</v>
      </c>
      <c r="S18" s="125" t="s">
        <v>116</v>
      </c>
      <c r="T18" s="686">
        <v>3</v>
      </c>
      <c r="U18" s="686">
        <v>3</v>
      </c>
      <c r="V18" s="380"/>
      <c r="W18" s="249">
        <f t="shared" si="0"/>
        <v>0.42499999999999999</v>
      </c>
      <c r="X18" s="383">
        <f t="shared" si="1"/>
        <v>2.5744036112729032</v>
      </c>
      <c r="Y18" s="383">
        <f t="shared" si="2"/>
        <v>9.2441807031320469</v>
      </c>
      <c r="Z18" s="383"/>
      <c r="AA18" s="48"/>
      <c r="AD18" s="48" t="s">
        <v>132</v>
      </c>
      <c r="AE18" s="4">
        <v>19.25</v>
      </c>
      <c r="AF18" s="84" t="s">
        <v>133</v>
      </c>
    </row>
    <row r="19" spans="2:43" ht="16.5" customHeight="1">
      <c r="B19" s="359" t="s">
        <v>113</v>
      </c>
      <c r="C19" s="350" t="s">
        <v>73</v>
      </c>
      <c r="D19" s="364">
        <f>'Operating Inputs'!D22</f>
        <v>0.15</v>
      </c>
      <c r="E19" s="138">
        <f>'Operating Inputs'!D19*0.7475*T11</f>
        <v>2242.5</v>
      </c>
      <c r="F19" s="133">
        <f>E19*'Operating Inputs'!D22</f>
        <v>336.375</v>
      </c>
      <c r="G19" s="239">
        <f t="shared" ref="G19:G23" si="10">F19/$E$7</f>
        <v>2.9532484635645301E-2</v>
      </c>
      <c r="H19" s="398">
        <f t="shared" ref="H19:H23" si="11">F19/$F$7</f>
        <v>1.6875705506083031E-2</v>
      </c>
      <c r="I19" s="364">
        <f>D19</f>
        <v>0.15</v>
      </c>
      <c r="J19" s="138">
        <f>'Operating Inputs'!D19*0.7475*U11</f>
        <v>1121.25</v>
      </c>
      <c r="K19" s="366">
        <f>J19*'Operating Inputs'!D22</f>
        <v>168.1875</v>
      </c>
      <c r="L19" s="239">
        <f t="shared" ref="L19:L24" si="12">K19/$J$7</f>
        <v>5.255859375E-2</v>
      </c>
      <c r="M19" s="398">
        <f t="shared" ref="M19:M24" si="13">K19/$K$7</f>
        <v>6.56982421875E-3</v>
      </c>
      <c r="N19" s="368">
        <f>F19*$C$43</f>
        <v>927.93103448275872</v>
      </c>
      <c r="O19" s="170">
        <f t="shared" ref="O19:O27" si="14">K19*$D$43</f>
        <v>1554.2844827586209</v>
      </c>
      <c r="P19" s="369">
        <f>SUM(N19:O19)</f>
        <v>2482.2155172413795</v>
      </c>
      <c r="Q19" s="398">
        <f t="shared" si="6"/>
        <v>1.0492107334421642E-2</v>
      </c>
      <c r="R19" s="266">
        <f t="shared" si="3"/>
        <v>411.00000000000006</v>
      </c>
      <c r="S19" s="125" t="s">
        <v>210</v>
      </c>
      <c r="T19" s="685">
        <v>250</v>
      </c>
      <c r="U19" s="685">
        <v>500</v>
      </c>
      <c r="V19" s="380"/>
      <c r="W19" s="249">
        <f t="shared" si="0"/>
        <v>0.45</v>
      </c>
      <c r="X19" s="383">
        <f t="shared" si="1"/>
        <v>2.4513239499900337</v>
      </c>
      <c r="Y19" s="383">
        <f t="shared" si="2"/>
        <v>8.7932024018899568</v>
      </c>
      <c r="Z19" s="383"/>
      <c r="AA19" s="48"/>
      <c r="AD19" s="4" t="s">
        <v>135</v>
      </c>
      <c r="AE19" s="4">
        <v>38</v>
      </c>
      <c r="AF19" s="84" t="s">
        <v>134</v>
      </c>
    </row>
    <row r="20" spans="2:43" ht="16.5" customHeight="1">
      <c r="B20" s="359" t="s">
        <v>184</v>
      </c>
      <c r="C20" s="350" t="s">
        <v>73</v>
      </c>
      <c r="D20" s="364">
        <f>'Operating Inputs'!D22</f>
        <v>0.15</v>
      </c>
      <c r="E20" s="138">
        <f>T15*'Operating Inputs'!D28*'Operating Inputs'!D29</f>
        <v>2740</v>
      </c>
      <c r="F20" s="133">
        <f>D20*E20</f>
        <v>411</v>
      </c>
      <c r="G20" s="239">
        <f t="shared" si="10"/>
        <v>3.6084284460052678E-2</v>
      </c>
      <c r="H20" s="398">
        <f t="shared" si="11"/>
        <v>2.06195911200301E-2</v>
      </c>
      <c r="I20" s="364">
        <f>D20</f>
        <v>0.15</v>
      </c>
      <c r="J20" s="138">
        <f>U15*'Operating Inputs'!D28*'Operating Inputs'!D29</f>
        <v>2740</v>
      </c>
      <c r="K20" s="366">
        <f>J20*I20</f>
        <v>411</v>
      </c>
      <c r="L20" s="239">
        <f t="shared" si="12"/>
        <v>0.12843750000000001</v>
      </c>
      <c r="M20" s="398">
        <f t="shared" si="13"/>
        <v>1.6054687500000001E-2</v>
      </c>
      <c r="N20" s="368">
        <f>F20*$C$43</f>
        <v>1133.793103448276</v>
      </c>
      <c r="O20" s="170">
        <f t="shared" si="14"/>
        <v>3798.2068965517246</v>
      </c>
      <c r="P20" s="369">
        <f>SUM(N20:O20)</f>
        <v>4932.0000000000009</v>
      </c>
      <c r="Q20" s="398">
        <f t="shared" si="6"/>
        <v>2.0847131529850748E-2</v>
      </c>
      <c r="R20" s="266">
        <f t="shared" si="3"/>
        <v>76.269157088122611</v>
      </c>
      <c r="S20" s="125" t="s">
        <v>211</v>
      </c>
      <c r="T20" s="685">
        <v>150</v>
      </c>
      <c r="U20" s="685">
        <v>150</v>
      </c>
      <c r="V20" s="382"/>
      <c r="W20" s="249">
        <f t="shared" si="0"/>
        <v>0.47499999999999998</v>
      </c>
      <c r="X20" s="383">
        <f t="shared" si="1"/>
        <v>2.3412000425264132</v>
      </c>
      <c r="Y20" s="383">
        <f t="shared" si="2"/>
        <v>8.3896955007786094</v>
      </c>
      <c r="Z20" s="383"/>
      <c r="AD20" s="66"/>
      <c r="AE20" s="67"/>
      <c r="AF20" s="85"/>
    </row>
    <row r="21" spans="2:43" ht="16.5" customHeight="1" thickBot="1">
      <c r="B21" s="359" t="s">
        <v>162</v>
      </c>
      <c r="C21" s="350" t="s">
        <v>226</v>
      </c>
      <c r="D21" s="364">
        <f>'Operating Inputs'!D23</f>
        <v>3.5</v>
      </c>
      <c r="E21" s="138">
        <f>'Operating Inputs'!D26*T7/'Capital Inputs'!D7</f>
        <v>25</v>
      </c>
      <c r="F21" s="133">
        <f>D21*E21</f>
        <v>87.5</v>
      </c>
      <c r="G21" s="239">
        <f t="shared" si="10"/>
        <v>7.6821773485513606E-3</v>
      </c>
      <c r="H21" s="398">
        <f t="shared" si="11"/>
        <v>4.3898156277436349E-3</v>
      </c>
      <c r="I21" s="364">
        <f>D21</f>
        <v>3.5</v>
      </c>
      <c r="J21" s="138">
        <f>'Operating Inputs'!D26*U7/'Capital Inputs'!D7</f>
        <v>20.833333333333332</v>
      </c>
      <c r="K21" s="366">
        <f>I21*J21</f>
        <v>72.916666666666657</v>
      </c>
      <c r="L21" s="239">
        <f t="shared" si="12"/>
        <v>2.2786458333333329E-2</v>
      </c>
      <c r="M21" s="398">
        <f t="shared" si="13"/>
        <v>2.8483072916666661E-3</v>
      </c>
      <c r="N21" s="368">
        <f>F21*$C$43</f>
        <v>241.37931034482762</v>
      </c>
      <c r="O21" s="170">
        <f t="shared" si="14"/>
        <v>673.85057471264372</v>
      </c>
      <c r="P21" s="369">
        <f>SUM(N21:O21)</f>
        <v>915.22988505747139</v>
      </c>
      <c r="Q21" s="401">
        <f t="shared" si="6"/>
        <v>3.868596470771144E-3</v>
      </c>
      <c r="R21" s="266">
        <f t="shared" si="3"/>
        <v>102.85440613026822</v>
      </c>
      <c r="S21" s="129" t="s">
        <v>215</v>
      </c>
      <c r="T21" s="690">
        <v>0.05</v>
      </c>
      <c r="U21" s="690">
        <v>0.05</v>
      </c>
      <c r="V21" s="125"/>
      <c r="W21" s="249">
        <f t="shared" si="0"/>
        <v>0.5</v>
      </c>
      <c r="X21" s="383">
        <f t="shared" si="1"/>
        <v>2.2420885258091556</v>
      </c>
      <c r="Y21" s="383">
        <f t="shared" si="2"/>
        <v>8.0265392897783983</v>
      </c>
      <c r="Z21" s="383"/>
    </row>
    <row r="22" spans="2:43" ht="16.5" customHeight="1" thickBot="1">
      <c r="B22" s="359" t="s">
        <v>114</v>
      </c>
      <c r="C22" s="350"/>
      <c r="D22" s="364"/>
      <c r="E22" s="138"/>
      <c r="F22" s="133">
        <f>('Operating Inputs'!D24*'Operating Inputs'!D22 + 'Operating Inputs'!D21)*T7/'Capital Inputs'!D7</f>
        <v>118</v>
      </c>
      <c r="G22" s="239">
        <f t="shared" si="10"/>
        <v>1.0359964881474977E-2</v>
      </c>
      <c r="H22" s="398">
        <f t="shared" si="11"/>
        <v>5.919979932271416E-3</v>
      </c>
      <c r="I22" s="364"/>
      <c r="J22" s="138"/>
      <c r="K22" s="366">
        <f>('Operating Inputs'!D24*'Operating Inputs'!D22 + 'Operating Inputs'!D21)*U7/'Capital Inputs'!D7</f>
        <v>98.333333333333329</v>
      </c>
      <c r="L22" s="239">
        <f t="shared" si="12"/>
        <v>3.0729166666666665E-2</v>
      </c>
      <c r="M22" s="398">
        <f t="shared" si="13"/>
        <v>3.8411458333333331E-3</v>
      </c>
      <c r="N22" s="368">
        <f>F22*$C$43</f>
        <v>325.51724137931035</v>
      </c>
      <c r="O22" s="170">
        <f t="shared" si="14"/>
        <v>908.73563218390814</v>
      </c>
      <c r="P22" s="369">
        <f t="shared" si="9"/>
        <v>1234.2528735632186</v>
      </c>
      <c r="Q22" s="398">
        <f t="shared" si="6"/>
        <v>5.2170786691542285E-3</v>
      </c>
      <c r="R22" s="266">
        <f t="shared" si="3"/>
        <v>115.51724137931036</v>
      </c>
      <c r="S22" s="152"/>
      <c r="T22" s="125"/>
      <c r="U22" s="125"/>
      <c r="V22" s="125"/>
      <c r="W22" s="249">
        <f t="shared" si="0"/>
        <v>0.52500000000000002</v>
      </c>
      <c r="X22" s="383">
        <f t="shared" si="1"/>
        <v>2.1524162011602073</v>
      </c>
      <c r="Y22" s="383">
        <f t="shared" si="2"/>
        <v>7.6979693845877319</v>
      </c>
      <c r="Z22" s="383"/>
      <c r="AB22" s="57" t="s">
        <v>126</v>
      </c>
      <c r="AC22" s="57"/>
      <c r="AE22" s="57" t="s">
        <v>127</v>
      </c>
      <c r="AF22" s="57"/>
      <c r="AH22" s="57" t="s">
        <v>126</v>
      </c>
      <c r="AI22" s="57"/>
      <c r="AK22" s="57" t="s">
        <v>273</v>
      </c>
      <c r="AL22" s="57"/>
      <c r="AP22" s="28" t="s">
        <v>127</v>
      </c>
      <c r="AQ22" s="37"/>
    </row>
    <row r="23" spans="2:43" ht="16.5" customHeight="1">
      <c r="B23" s="332" t="s">
        <v>112</v>
      </c>
      <c r="C23" s="350"/>
      <c r="D23" s="364">
        <f>'Operating Inputs'!D27</f>
        <v>50</v>
      </c>
      <c r="E23" s="138">
        <f>T18</f>
        <v>3</v>
      </c>
      <c r="F23" s="133">
        <f>D23*E23</f>
        <v>150</v>
      </c>
      <c r="G23" s="239">
        <f t="shared" si="10"/>
        <v>1.3169446883230905E-2</v>
      </c>
      <c r="H23" s="398">
        <f t="shared" si="11"/>
        <v>7.5253982189890881E-3</v>
      </c>
      <c r="I23" s="364">
        <f>D23</f>
        <v>50</v>
      </c>
      <c r="J23" s="138">
        <f>U18</f>
        <v>3</v>
      </c>
      <c r="K23" s="366">
        <f>I23*J23</f>
        <v>150</v>
      </c>
      <c r="L23" s="239">
        <f t="shared" si="12"/>
        <v>4.6875E-2</v>
      </c>
      <c r="M23" s="398">
        <f t="shared" si="13"/>
        <v>5.859375E-3</v>
      </c>
      <c r="N23" s="368"/>
      <c r="O23" s="170">
        <f t="shared" si="14"/>
        <v>1386.2068965517244</v>
      </c>
      <c r="P23" s="369">
        <f>O23</f>
        <v>1386.2068965517244</v>
      </c>
      <c r="Q23" s="401">
        <f t="shared" si="6"/>
        <v>5.859375E-3</v>
      </c>
      <c r="R23" s="266">
        <f t="shared" si="3"/>
        <v>1364.4636015325675</v>
      </c>
      <c r="S23" s="152"/>
      <c r="T23" s="125"/>
      <c r="U23" s="125"/>
      <c r="V23" s="125"/>
      <c r="W23" s="249">
        <f t="shared" si="0"/>
        <v>0.55000000000000004</v>
      </c>
      <c r="X23" s="383">
        <f t="shared" si="1"/>
        <v>2.0708959060248002</v>
      </c>
      <c r="Y23" s="383">
        <f t="shared" si="2"/>
        <v>7.3992694707780338</v>
      </c>
      <c r="Z23" s="383"/>
      <c r="AB23" s="76" t="s">
        <v>120</v>
      </c>
      <c r="AC23" s="78" t="s">
        <v>148</v>
      </c>
      <c r="AE23" s="76" t="s">
        <v>120</v>
      </c>
      <c r="AF23" s="78" t="s">
        <v>148</v>
      </c>
      <c r="AH23" s="76" t="s">
        <v>231</v>
      </c>
      <c r="AI23" s="79" t="s">
        <v>232</v>
      </c>
      <c r="AK23" s="76" t="s">
        <v>272</v>
      </c>
      <c r="AL23" s="78" t="s">
        <v>148</v>
      </c>
      <c r="AP23" s="31" t="s">
        <v>231</v>
      </c>
      <c r="AQ23" s="40" t="s">
        <v>232</v>
      </c>
    </row>
    <row r="24" spans="2:43" ht="16.5" customHeight="1">
      <c r="B24" s="332" t="s">
        <v>90</v>
      </c>
      <c r="C24" s="349" t="s">
        <v>270</v>
      </c>
      <c r="D24" s="364"/>
      <c r="E24" s="138">
        <f>T12/'Capital Inputs'!D7</f>
        <v>83.333333333333329</v>
      </c>
      <c r="F24" s="170">
        <f>'Operating Inputs'!D5*T12/'Capital Inputs'!D7*T7/12</f>
        <v>770.83333333333337</v>
      </c>
      <c r="G24" s="239">
        <f t="shared" ref="G24:G29" si="15">F24/$E$7</f>
        <v>6.7676324261047707E-2</v>
      </c>
      <c r="H24" s="398">
        <f t="shared" si="4"/>
        <v>3.8672185292027261E-2</v>
      </c>
      <c r="I24" s="367"/>
      <c r="J24" s="138">
        <f>U12/'Capital Inputs'!D7</f>
        <v>83.333333333333329</v>
      </c>
      <c r="K24" s="366">
        <f>'Operating Inputs'!D5*U12/'Capital Inputs'!D7</f>
        <v>1541.6666666666667</v>
      </c>
      <c r="L24" s="239">
        <f t="shared" si="12"/>
        <v>0.48177083333333337</v>
      </c>
      <c r="M24" s="398">
        <f t="shared" si="13"/>
        <v>6.0221354166666671E-2</v>
      </c>
      <c r="N24" s="368">
        <f>F24*$C$43</f>
        <v>2126.4367816091958</v>
      </c>
      <c r="O24" s="170">
        <f t="shared" si="14"/>
        <v>14247.126436781613</v>
      </c>
      <c r="P24" s="369">
        <f t="shared" si="9"/>
        <v>16373.563218390809</v>
      </c>
      <c r="Q24" s="398">
        <f t="shared" si="6"/>
        <v>6.9209615982587069E-2</v>
      </c>
      <c r="R24" s="266">
        <f t="shared" si="3"/>
        <v>87.164750957854423</v>
      </c>
      <c r="S24" s="125"/>
      <c r="T24" s="125"/>
      <c r="U24" s="125"/>
      <c r="V24" s="125"/>
      <c r="W24" s="249">
        <f t="shared" si="0"/>
        <v>0.57499999999999996</v>
      </c>
      <c r="X24" s="383">
        <f t="shared" si="1"/>
        <v>1.996464332205516</v>
      </c>
      <c r="Y24" s="383">
        <f t="shared" si="2"/>
        <v>7.1265434625170068</v>
      </c>
      <c r="Z24" s="383"/>
      <c r="AC24" s="47">
        <f>G35</f>
        <v>1.4666866597270767</v>
      </c>
      <c r="AF24" s="47">
        <f>L35</f>
        <v>5.4390512864018952</v>
      </c>
      <c r="AI24" s="47">
        <f>F36</f>
        <v>966.98298370859629</v>
      </c>
      <c r="AL24" s="47">
        <f>E45</f>
        <v>4.7481717317700838</v>
      </c>
      <c r="AP24" s="6"/>
      <c r="AQ24" s="19">
        <f>K36</f>
        <v>7043.0358835139341</v>
      </c>
    </row>
    <row r="25" spans="2:43" ht="16.5" customHeight="1">
      <c r="B25" s="332" t="s">
        <v>74</v>
      </c>
      <c r="C25" s="349"/>
      <c r="D25" s="342"/>
      <c r="E25" s="125"/>
      <c r="F25" s="170">
        <f>'Operating Inputs'!D11/'Capital Inputs'!D7*T7/12</f>
        <v>100</v>
      </c>
      <c r="G25" s="239">
        <f t="shared" si="15"/>
        <v>8.7796312554872698E-3</v>
      </c>
      <c r="H25" s="398">
        <f t="shared" si="4"/>
        <v>5.0169321459927257E-3</v>
      </c>
      <c r="I25" s="332"/>
      <c r="J25" s="138"/>
      <c r="K25" s="366">
        <f>'Operating Inputs'!D11/'Capital Inputs'!D7*U7/12</f>
        <v>83.333333333333329</v>
      </c>
      <c r="L25" s="239">
        <f>K25/$E$7</f>
        <v>7.3163593795727245E-3</v>
      </c>
      <c r="M25" s="398">
        <f t="shared" si="5"/>
        <v>3.255208333333333E-3</v>
      </c>
      <c r="N25" s="368">
        <f>F25*$C$43</f>
        <v>275.86206896551727</v>
      </c>
      <c r="O25" s="170">
        <f t="shared" si="14"/>
        <v>770.1149425287357</v>
      </c>
      <c r="P25" s="369">
        <f t="shared" si="9"/>
        <v>1045.977011494253</v>
      </c>
      <c r="Q25" s="398">
        <f t="shared" si="6"/>
        <v>4.4212531094527359E-3</v>
      </c>
      <c r="R25" s="266">
        <f t="shared" si="3"/>
        <v>941.3885057471266</v>
      </c>
      <c r="S25" s="125"/>
      <c r="T25" s="125"/>
      <c r="U25" s="125"/>
      <c r="V25" s="125"/>
      <c r="W25" s="249">
        <f t="shared" si="0"/>
        <v>0.6</v>
      </c>
      <c r="X25" s="383">
        <f t="shared" si="1"/>
        <v>1.9282353895378381</v>
      </c>
      <c r="Y25" s="383">
        <f t="shared" si="2"/>
        <v>6.8765446216110631</v>
      </c>
      <c r="Z25" s="383"/>
      <c r="AB25" s="80">
        <v>0.1</v>
      </c>
      <c r="AC25" s="62">
        <f t="dataTable" ref="AC25:AC57" dt2D="0" dtr="0" r1="T13"/>
        <v>9.774563796320777</v>
      </c>
      <c r="AE25" s="80">
        <v>0.1</v>
      </c>
      <c r="AF25" s="62">
        <f t="dataTable" ref="AF25:AF57" dt2D="0" dtr="0" r1="U13"/>
        <v>35.626411325794436</v>
      </c>
      <c r="AH25" s="90">
        <v>0.5</v>
      </c>
      <c r="AI25" s="62">
        <f t="dataTable" ref="AI25:AI57" dt2D="0" dtr="0" r1="T17" ca="1"/>
        <v>-12255.828188166404</v>
      </c>
      <c r="AK25" s="80">
        <v>0.1</v>
      </c>
      <c r="AL25" s="62">
        <f t="dataTable" ref="AL25:AL57" dt2D="0" dtr="0" r1="U13" ca="1"/>
        <v>29.958567929275262</v>
      </c>
      <c r="AP25" s="39">
        <v>10</v>
      </c>
      <c r="AQ25" s="32">
        <f t="dataTable" ref="AQ25:AQ57" dt2D="0" dtr="0" r1="U17" ca="1"/>
        <v>12988.269216847271</v>
      </c>
    </row>
    <row r="26" spans="2:43" ht="16.5" customHeight="1">
      <c r="B26" s="332" t="s">
        <v>8</v>
      </c>
      <c r="C26" s="349"/>
      <c r="D26" s="353">
        <f>T21</f>
        <v>0.05</v>
      </c>
      <c r="E26" s="132">
        <f>F9</f>
        <v>17672.544038</v>
      </c>
      <c r="F26" s="170">
        <f>D26*E26</f>
        <v>883.62720190000005</v>
      </c>
      <c r="G26" s="239">
        <f t="shared" si="15"/>
        <v>7.757921000000001E-2</v>
      </c>
      <c r="H26" s="398">
        <f t="shared" si="4"/>
        <v>4.4330977142857143E-2</v>
      </c>
      <c r="I26" s="353">
        <f>U21</f>
        <v>0.05</v>
      </c>
      <c r="J26" s="132">
        <f>K9</f>
        <v>24448</v>
      </c>
      <c r="K26" s="365">
        <f>I26*J26</f>
        <v>1222.4000000000001</v>
      </c>
      <c r="L26" s="239">
        <f>K26/$J$7</f>
        <v>0.38200000000000001</v>
      </c>
      <c r="M26" s="398">
        <f t="shared" si="5"/>
        <v>4.7750000000000001E-2</v>
      </c>
      <c r="N26" s="368"/>
      <c r="O26" s="170">
        <f t="shared" si="14"/>
        <v>11296.662068965519</v>
      </c>
      <c r="P26" s="369">
        <f t="shared" si="9"/>
        <v>11296.662068965519</v>
      </c>
      <c r="Q26" s="398">
        <f t="shared" si="6"/>
        <v>4.7750000000000001E-2</v>
      </c>
      <c r="R26" s="266">
        <f t="shared" si="3"/>
        <v>0</v>
      </c>
      <c r="V26" s="378"/>
      <c r="W26" s="249">
        <f t="shared" si="0"/>
        <v>0.625</v>
      </c>
      <c r="X26" s="383">
        <f t="shared" si="1"/>
        <v>1.8654647622835743</v>
      </c>
      <c r="Y26" s="383">
        <f t="shared" si="2"/>
        <v>6.6465456879775973</v>
      </c>
      <c r="Z26" s="383"/>
      <c r="AB26" s="80">
        <v>0.125</v>
      </c>
      <c r="AC26" s="62">
        <v>7.8914449786928715</v>
      </c>
      <c r="AE26" s="80">
        <v>0.125</v>
      </c>
      <c r="AF26" s="62">
        <v>28.726443316790427</v>
      </c>
      <c r="AH26" s="90">
        <v>0.6</v>
      </c>
      <c r="AI26" s="62">
        <v>-11198.003294416405</v>
      </c>
      <c r="AK26" s="80">
        <v>0.125</v>
      </c>
      <c r="AL26" s="62">
        <v>24.196191655559783</v>
      </c>
      <c r="AP26" s="39">
        <v>10.25</v>
      </c>
      <c r="AQ26" s="32">
        <v>13731.423383513931</v>
      </c>
    </row>
    <row r="27" spans="2:43" ht="16.5" customHeight="1">
      <c r="B27" s="389" t="s">
        <v>45</v>
      </c>
      <c r="C27" s="349"/>
      <c r="D27" s="342"/>
      <c r="E27" s="125"/>
      <c r="F27" s="546">
        <v>0</v>
      </c>
      <c r="G27" s="239">
        <f t="shared" si="15"/>
        <v>0</v>
      </c>
      <c r="H27" s="398">
        <f t="shared" si="4"/>
        <v>0</v>
      </c>
      <c r="I27" s="332"/>
      <c r="J27" s="138"/>
      <c r="K27" s="628">
        <v>0</v>
      </c>
      <c r="L27" s="239">
        <f>K27/$J$7</f>
        <v>0</v>
      </c>
      <c r="M27" s="398">
        <f t="shared" si="5"/>
        <v>0</v>
      </c>
      <c r="N27" s="368">
        <f>F27*C43</f>
        <v>0</v>
      </c>
      <c r="O27" s="170">
        <f t="shared" si="14"/>
        <v>0</v>
      </c>
      <c r="P27" s="369">
        <f t="shared" si="9"/>
        <v>0</v>
      </c>
      <c r="Q27" s="398">
        <f t="shared" si="6"/>
        <v>0</v>
      </c>
      <c r="R27" s="266">
        <f t="shared" si="3"/>
        <v>331.51726205826418</v>
      </c>
      <c r="V27" s="250"/>
      <c r="W27" s="249">
        <f t="shared" si="0"/>
        <v>0.65</v>
      </c>
      <c r="X27" s="383">
        <f t="shared" si="1"/>
        <v>1.8075226448181003</v>
      </c>
      <c r="Y27" s="383">
        <f t="shared" si="2"/>
        <v>6.434238980008244</v>
      </c>
      <c r="Z27" s="383"/>
      <c r="AB27" s="80">
        <v>0.15</v>
      </c>
      <c r="AC27" s="62">
        <v>6.6360324336076015</v>
      </c>
      <c r="AE27" s="80">
        <v>0.15</v>
      </c>
      <c r="AF27" s="62">
        <v>24.126464644121089</v>
      </c>
      <c r="AH27" s="90">
        <v>0.7</v>
      </c>
      <c r="AI27" s="62">
        <v>-10140.178400666406</v>
      </c>
      <c r="AK27" s="80">
        <v>0.15</v>
      </c>
      <c r="AL27" s="62">
        <v>20.354607473082812</v>
      </c>
      <c r="AP27" s="39">
        <v>10.5</v>
      </c>
      <c r="AQ27" s="32">
        <v>14474.577550180598</v>
      </c>
    </row>
    <row r="28" spans="2:43" ht="16.5" customHeight="1">
      <c r="B28" s="332" t="s">
        <v>46</v>
      </c>
      <c r="C28" s="349" t="s">
        <v>14</v>
      </c>
      <c r="D28" s="341">
        <f>'Operating Inputs'!D12</f>
        <v>7.2499999999999995E-2</v>
      </c>
      <c r="E28" s="125"/>
      <c r="F28" s="170">
        <f>SUM(F11:F18,F23:F27)*(1-'Operating Inputs'!D13)*D28*T7/12</f>
        <v>269.74764748756252</v>
      </c>
      <c r="G28" s="239">
        <f t="shared" si="15"/>
        <v>2.3682848769759658E-2</v>
      </c>
      <c r="H28" s="398">
        <f t="shared" si="4"/>
        <v>1.3533056439862662E-2</v>
      </c>
      <c r="I28" s="338">
        <f>D28</f>
        <v>7.2499999999999995E-2</v>
      </c>
      <c r="J28" s="138"/>
      <c r="K28" s="170">
        <f>SUM(K11:K18,K23:K27)*(1-'Operating Inputs'!D13)*I28*U7/12</f>
        <v>238.95973746576928</v>
      </c>
      <c r="L28" s="239">
        <f>K28/$J$7</f>
        <v>7.4674917958052894E-2</v>
      </c>
      <c r="M28" s="398">
        <f t="shared" si="5"/>
        <v>9.3343647447566118E-3</v>
      </c>
      <c r="N28" s="370"/>
      <c r="O28" s="171"/>
      <c r="P28" s="371">
        <f>SUM(P11:P18,P23:P27)*(1-'Operating Inputs'!D13)*I28*(T7+U7)/12</f>
        <v>3978.2071446991704</v>
      </c>
      <c r="Q28" s="399">
        <f t="shared" si="6"/>
        <v>1.6815532765315402E-2</v>
      </c>
      <c r="R28" s="266">
        <f t="shared" si="3"/>
        <v>10308.212295786592</v>
      </c>
      <c r="V28" s="250"/>
      <c r="W28" s="249">
        <f t="shared" si="0"/>
        <v>0.67500000000000004</v>
      </c>
      <c r="X28" s="383">
        <f t="shared" si="1"/>
        <v>1.7538725360537726</v>
      </c>
      <c r="Y28" s="383">
        <f t="shared" si="2"/>
        <v>6.2376586948514339</v>
      </c>
      <c r="Z28" s="383"/>
      <c r="AB28" s="80">
        <v>0.17499999999999999</v>
      </c>
      <c r="AC28" s="62">
        <v>5.7393091871181232</v>
      </c>
      <c r="AE28" s="80">
        <v>0.17499999999999999</v>
      </c>
      <c r="AF28" s="62">
        <v>20.840765592214421</v>
      </c>
      <c r="AH28" s="90">
        <v>0.8</v>
      </c>
      <c r="AI28" s="62">
        <v>-9082.3535069164027</v>
      </c>
      <c r="AK28" s="80">
        <v>0.17499999999999999</v>
      </c>
      <c r="AL28" s="62">
        <v>17.610618771313543</v>
      </c>
      <c r="AP28" s="39">
        <v>10.75</v>
      </c>
      <c r="AQ28" s="32">
        <v>15217.731716847265</v>
      </c>
    </row>
    <row r="29" spans="2:43" ht="16.5" customHeight="1">
      <c r="B29" s="360" t="s">
        <v>47</v>
      </c>
      <c r="C29" s="330"/>
      <c r="D29" s="342"/>
      <c r="E29" s="125"/>
      <c r="F29" s="172">
        <f>SUM(F11:F18,F23:F28)</f>
        <v>15152.376474387564</v>
      </c>
      <c r="G29" s="241">
        <f t="shared" si="15"/>
        <v>1.3303227808944305</v>
      </c>
      <c r="H29" s="400">
        <f t="shared" si="4"/>
        <v>0.76018444622538883</v>
      </c>
      <c r="I29" s="339"/>
      <c r="J29" s="156"/>
      <c r="K29" s="172">
        <f>SUM(K11:K18,K23:K28)</f>
        <v>16059.742355889115</v>
      </c>
      <c r="L29" s="352">
        <f>K29/$J$7</f>
        <v>5.018669486215348</v>
      </c>
      <c r="M29" s="400">
        <f t="shared" si="5"/>
        <v>0.6273336857769185</v>
      </c>
      <c r="N29" s="373">
        <f>SUM(N11:N18,N23:N28)</f>
        <v>38204.14241379311</v>
      </c>
      <c r="O29" s="172">
        <f>SUM(O11:O18,O23:O28)</f>
        <v>81516.197990946792</v>
      </c>
      <c r="P29" s="372">
        <f>SUM(P11:P18,P23:P28)</f>
        <v>123698.5475494391</v>
      </c>
      <c r="Q29" s="400">
        <f t="shared" si="6"/>
        <v>0.52286291379048122</v>
      </c>
      <c r="R29" s="266">
        <f t="shared" si="3"/>
        <v>0</v>
      </c>
      <c r="V29" s="250"/>
      <c r="W29" s="249">
        <f t="shared" si="0"/>
        <v>0.7</v>
      </c>
      <c r="X29" s="383">
        <f t="shared" si="1"/>
        <v>1.7040545779154683</v>
      </c>
      <c r="Y29" s="383">
        <f t="shared" si="2"/>
        <v>6.0551198586343968</v>
      </c>
      <c r="Z29" s="383"/>
      <c r="AB29" s="80">
        <v>0.2</v>
      </c>
      <c r="AC29" s="62">
        <v>5.0667667522510129</v>
      </c>
      <c r="AE29" s="80">
        <v>0.2</v>
      </c>
      <c r="AF29" s="62">
        <v>18.376491303284414</v>
      </c>
      <c r="AH29" s="90">
        <v>0.9</v>
      </c>
      <c r="AI29" s="62">
        <v>-8024.5286131664034</v>
      </c>
      <c r="AK29" s="80">
        <v>0.2</v>
      </c>
      <c r="AL29" s="62">
        <v>15.552627244986585</v>
      </c>
      <c r="AP29" s="39">
        <v>11</v>
      </c>
      <c r="AQ29" s="32">
        <v>15960.885883513933</v>
      </c>
    </row>
    <row r="30" spans="2:43" ht="16.5" customHeight="1">
      <c r="B30" s="339" t="s">
        <v>48</v>
      </c>
      <c r="C30" s="328"/>
      <c r="D30" s="342"/>
      <c r="E30" s="125"/>
      <c r="F30" s="170"/>
      <c r="G30" s="239"/>
      <c r="H30" s="398"/>
      <c r="I30" s="332"/>
      <c r="J30" s="138"/>
      <c r="K30" s="133"/>
      <c r="L30" s="166"/>
      <c r="M30" s="398"/>
      <c r="N30" s="368"/>
      <c r="O30" s="170"/>
      <c r="P30" s="372"/>
      <c r="Q30" s="398"/>
      <c r="R30" s="266">
        <f t="shared" si="3"/>
        <v>180.4076640625</v>
      </c>
      <c r="V30" s="250"/>
      <c r="W30" s="249">
        <f t="shared" si="0"/>
        <v>0.72499999999999998</v>
      </c>
      <c r="X30" s="383">
        <f t="shared" si="1"/>
        <v>1.6576723410280811</v>
      </c>
      <c r="Y30" s="383">
        <f t="shared" si="2"/>
        <v>5.8851699076737063</v>
      </c>
      <c r="Z30" s="383"/>
      <c r="AB30" s="80">
        <v>0.22500000000000001</v>
      </c>
      <c r="AC30" s="62">
        <v>4.5436781917988176</v>
      </c>
      <c r="AE30" s="80">
        <v>0.22500000000000001</v>
      </c>
      <c r="AF30" s="62">
        <v>16.459833523005525</v>
      </c>
      <c r="AH30" s="90">
        <v>1</v>
      </c>
      <c r="AI30" s="62">
        <v>-6966.7037194164041</v>
      </c>
      <c r="AK30" s="80">
        <v>0.22500000000000001</v>
      </c>
      <c r="AL30" s="62">
        <v>13.951967168954514</v>
      </c>
      <c r="AP30" s="39">
        <v>11.25</v>
      </c>
      <c r="AQ30" s="32">
        <v>16704.0400501806</v>
      </c>
    </row>
    <row r="31" spans="2:43" ht="16.5" customHeight="1">
      <c r="B31" s="332" t="s">
        <v>25</v>
      </c>
      <c r="C31" s="349" t="s">
        <v>81</v>
      </c>
      <c r="D31" s="340"/>
      <c r="E31" s="125"/>
      <c r="F31" s="170">
        <f>'Operating Inputs'!D31*'Capital Inputs'!K40/'Capital Inputs'!D7</f>
        <v>180.4076640625</v>
      </c>
      <c r="G31" s="239">
        <f t="shared" ref="G31:G34" si="16">F31/$E$7</f>
        <v>1.5839127661325725E-2</v>
      </c>
      <c r="H31" s="398">
        <f t="shared" si="4"/>
        <v>9.050930092186129E-3</v>
      </c>
      <c r="I31" s="340"/>
      <c r="J31" s="125"/>
      <c r="K31" s="170">
        <f>'Operating Inputs'!D31*'Capital Inputs'!K40/'Capital Inputs'!D7</f>
        <v>180.4076640625</v>
      </c>
      <c r="L31" s="239">
        <f t="shared" ref="L31:L36" si="17">K31/$J$7</f>
        <v>5.6377395019531248E-2</v>
      </c>
      <c r="M31" s="398">
        <f t="shared" si="5"/>
        <v>7.0471743774414061E-3</v>
      </c>
      <c r="N31" s="368">
        <f>$P31*C$43/$E$43</f>
        <v>497.67631465517246</v>
      </c>
      <c r="O31" s="170">
        <f>$P31*D$43/$E$43</f>
        <v>1667.2156540948279</v>
      </c>
      <c r="P31" s="369">
        <f>'Operating Inputs'!D31*'Capital Inputs'!K40</f>
        <v>2164.8919687500002</v>
      </c>
      <c r="Q31" s="398">
        <f t="shared" si="6"/>
        <v>9.1508085199612284E-3</v>
      </c>
      <c r="R31" s="266">
        <f t="shared" si="3"/>
        <v>125</v>
      </c>
      <c r="V31" s="250"/>
      <c r="W31" s="249">
        <f t="shared" si="0"/>
        <v>0.75</v>
      </c>
      <c r="X31" s="383">
        <f t="shared" si="1"/>
        <v>1.6143822532665202</v>
      </c>
      <c r="Y31" s="383">
        <f t="shared" si="2"/>
        <v>5.7265499534437296</v>
      </c>
      <c r="Z31" s="383"/>
      <c r="AB31" s="80">
        <v>0.25</v>
      </c>
      <c r="AC31" s="62">
        <v>4.1252073434370606</v>
      </c>
      <c r="AE31" s="80">
        <v>0.25</v>
      </c>
      <c r="AF31" s="62">
        <v>14.926507298782408</v>
      </c>
      <c r="AH31" s="90">
        <v>1.1000000000000001</v>
      </c>
      <c r="AI31" s="62">
        <v>-5908.8788256664029</v>
      </c>
      <c r="AK31" s="80">
        <v>0.25</v>
      </c>
      <c r="AL31" s="62">
        <v>12.671439108128853</v>
      </c>
      <c r="AP31" s="39">
        <v>11.5</v>
      </c>
      <c r="AQ31" s="32">
        <v>17447.194216847267</v>
      </c>
    </row>
    <row r="32" spans="2:43" ht="16.5" customHeight="1">
      <c r="B32" s="332" t="s">
        <v>49</v>
      </c>
      <c r="C32" s="349" t="s">
        <v>81</v>
      </c>
      <c r="D32" s="340"/>
      <c r="E32" s="125"/>
      <c r="F32" s="170">
        <f>N32/$C$43</f>
        <v>124.99999999999997</v>
      </c>
      <c r="G32" s="239">
        <f t="shared" si="16"/>
        <v>1.0974539069359085E-2</v>
      </c>
      <c r="H32" s="398">
        <f t="shared" si="4"/>
        <v>6.2711651824909056E-3</v>
      </c>
      <c r="I32" s="340"/>
      <c r="J32" s="125"/>
      <c r="K32" s="170">
        <f>O32/$D$43</f>
        <v>124.99999999999999</v>
      </c>
      <c r="L32" s="239">
        <f t="shared" si="17"/>
        <v>3.9062499999999993E-2</v>
      </c>
      <c r="M32" s="398">
        <f t="shared" si="5"/>
        <v>4.8828124999999991E-3</v>
      </c>
      <c r="N32" s="368">
        <f>$P32*C$43/$E$43</f>
        <v>344.82758620689651</v>
      </c>
      <c r="O32" s="170">
        <f>$P32*D$43/$E$43</f>
        <v>1155.1724137931035</v>
      </c>
      <c r="P32" s="369">
        <f>'Operating Inputs'!D32</f>
        <v>1500</v>
      </c>
      <c r="Q32" s="398">
        <f t="shared" si="6"/>
        <v>6.3403684701492527E-3</v>
      </c>
      <c r="R32" s="266">
        <f t="shared" si="3"/>
        <v>1087.6216412027015</v>
      </c>
      <c r="V32" s="250"/>
      <c r="W32" s="249">
        <f t="shared" si="0"/>
        <v>0.77500000000000002</v>
      </c>
      <c r="X32" s="383">
        <f t="shared" si="1"/>
        <v>1.5738850743928019</v>
      </c>
      <c r="Y32" s="383">
        <f t="shared" si="2"/>
        <v>5.5781635446479445</v>
      </c>
      <c r="Z32" s="383"/>
      <c r="AB32" s="80">
        <v>0.27500000000000002</v>
      </c>
      <c r="AC32" s="62">
        <v>3.7828221038683507</v>
      </c>
      <c r="AE32" s="80">
        <v>0.27500000000000002</v>
      </c>
      <c r="AF32" s="62">
        <v>13.67196766078168</v>
      </c>
      <c r="AH32" s="90">
        <v>1.2</v>
      </c>
      <c r="AI32" s="62">
        <v>-4851.0539319164054</v>
      </c>
      <c r="AK32" s="80">
        <v>0.27500000000000002</v>
      </c>
      <c r="AL32" s="62">
        <v>11.623734331089677</v>
      </c>
      <c r="AP32" s="39">
        <v>11.75</v>
      </c>
      <c r="AQ32" s="32">
        <v>18190.348383513934</v>
      </c>
    </row>
    <row r="33" spans="2:43" ht="16.5" customHeight="1">
      <c r="B33" s="332" t="s">
        <v>108</v>
      </c>
      <c r="C33" s="328"/>
      <c r="D33" s="341">
        <f>'Operating Inputs'!D34</f>
        <v>7.2499999999999995E-2</v>
      </c>
      <c r="E33" s="125"/>
      <c r="F33" s="170">
        <f>'Capital Inputs'!$L40/'Capital Inputs'!D7*$T7/12</f>
        <v>1247.776915841341</v>
      </c>
      <c r="G33" s="239">
        <f t="shared" si="16"/>
        <v>0.10955021210196145</v>
      </c>
      <c r="H33" s="398">
        <f t="shared" si="4"/>
        <v>6.2600121201120837E-2</v>
      </c>
      <c r="I33" s="341">
        <f>'Operating Inputs'!D34</f>
        <v>7.2499999999999995E-2</v>
      </c>
      <c r="J33" s="125"/>
      <c r="K33" s="170">
        <f>'Capital Inputs'!$L40/'Capital Inputs'!D7*$U7/12</f>
        <v>1039.8140965344508</v>
      </c>
      <c r="L33" s="239">
        <f t="shared" si="17"/>
        <v>0.32494190516701588</v>
      </c>
      <c r="M33" s="398">
        <f t="shared" si="5"/>
        <v>4.0617738145876985E-2</v>
      </c>
      <c r="N33" s="368">
        <f>F33*$C$43</f>
        <v>3442.1432161140442</v>
      </c>
      <c r="O33" s="170">
        <f>K33*$D$43</f>
        <v>9609.3164783183747</v>
      </c>
      <c r="P33" s="369">
        <f t="shared" si="9"/>
        <v>13051.459694432418</v>
      </c>
      <c r="Q33" s="398">
        <f t="shared" si="6"/>
        <v>5.5167375690668735E-2</v>
      </c>
      <c r="R33" s="266">
        <f t="shared" si="3"/>
        <v>1393.0293052652016</v>
      </c>
      <c r="V33" s="250"/>
      <c r="W33" s="249">
        <f t="shared" si="0"/>
        <v>0.8</v>
      </c>
      <c r="X33" s="383">
        <f t="shared" si="1"/>
        <v>1.535918969198691</v>
      </c>
      <c r="Y33" s="383">
        <f t="shared" si="2"/>
        <v>5.4390512864018952</v>
      </c>
      <c r="Z33" s="383"/>
      <c r="AB33" s="80">
        <v>0.3</v>
      </c>
      <c r="AC33" s="62">
        <v>3.4975010708944252</v>
      </c>
      <c r="AE33" s="80">
        <v>0.3</v>
      </c>
      <c r="AF33" s="62">
        <v>12.626517962447739</v>
      </c>
      <c r="AH33" s="90">
        <v>1.3</v>
      </c>
      <c r="AI33" s="62">
        <v>-3793.2290381664025</v>
      </c>
      <c r="AK33" s="80">
        <v>0.3</v>
      </c>
      <c r="AL33" s="62">
        <v>10.750647016890364</v>
      </c>
      <c r="AP33" s="39">
        <v>12</v>
      </c>
      <c r="AQ33" s="32">
        <v>18933.502550180601</v>
      </c>
    </row>
    <row r="34" spans="2:43" ht="16.5" customHeight="1">
      <c r="B34" s="360" t="s">
        <v>50</v>
      </c>
      <c r="C34" s="330"/>
      <c r="D34" s="342"/>
      <c r="E34" s="125"/>
      <c r="F34" s="172">
        <f>SUM(F31:F33)</f>
        <v>1553.184579903841</v>
      </c>
      <c r="G34" s="241">
        <f t="shared" si="16"/>
        <v>0.13636387883264628</v>
      </c>
      <c r="H34" s="400">
        <f t="shared" si="4"/>
        <v>7.7922216475797876E-2</v>
      </c>
      <c r="I34" s="342"/>
      <c r="J34" s="125"/>
      <c r="K34" s="172">
        <f>SUM(K31:K33)</f>
        <v>1345.2217605969508</v>
      </c>
      <c r="L34" s="241">
        <f t="shared" si="17"/>
        <v>0.42038180018654714</v>
      </c>
      <c r="M34" s="400">
        <f t="shared" si="5"/>
        <v>5.2547725023318392E-2</v>
      </c>
      <c r="N34" s="374">
        <f>F34*$C$43</f>
        <v>4284.6471169761135</v>
      </c>
      <c r="O34" s="173">
        <f>K34*$D$43</f>
        <v>12431.704546206307</v>
      </c>
      <c r="P34" s="372">
        <f t="shared" si="9"/>
        <v>16716.35166318242</v>
      </c>
      <c r="Q34" s="400">
        <f t="shared" si="6"/>
        <v>7.0658552680779224E-2</v>
      </c>
      <c r="R34" s="266">
        <f t="shared" si="3"/>
        <v>11701.241601051794</v>
      </c>
      <c r="V34" s="250"/>
      <c r="W34" s="249">
        <f t="shared" si="0"/>
        <v>0.82499999999999996</v>
      </c>
      <c r="X34" s="383">
        <f t="shared" si="1"/>
        <v>1.5002538400769501</v>
      </c>
      <c r="Y34" s="383">
        <f t="shared" si="2"/>
        <v>5.3083700741101527</v>
      </c>
      <c r="Z34" s="383"/>
      <c r="AB34" s="80">
        <v>0.32500000000000001</v>
      </c>
      <c r="AC34" s="62">
        <v>3.2560755814549505</v>
      </c>
      <c r="AE34" s="80">
        <v>0.32500000000000001</v>
      </c>
      <c r="AF34" s="62">
        <v>11.741906679242097</v>
      </c>
      <c r="AH34" s="90">
        <v>1.4</v>
      </c>
      <c r="AI34" s="62">
        <v>-2735.404144416405</v>
      </c>
      <c r="AK34" s="80">
        <v>0.32500000000000001</v>
      </c>
      <c r="AL34" s="62">
        <v>10.011880827952485</v>
      </c>
      <c r="AP34" s="39">
        <v>12.25</v>
      </c>
      <c r="AQ34" s="32">
        <v>19676.656716847268</v>
      </c>
    </row>
    <row r="35" spans="2:43" ht="16.5" customHeight="1">
      <c r="B35" s="361" t="s">
        <v>51</v>
      </c>
      <c r="C35" s="345"/>
      <c r="D35" s="363"/>
      <c r="E35" s="134"/>
      <c r="F35" s="284">
        <f>SUM(F34,F29)</f>
        <v>16705.561054291404</v>
      </c>
      <c r="G35" s="286">
        <f>F35/$E$7</f>
        <v>1.4666866597270767</v>
      </c>
      <c r="H35" s="402">
        <f t="shared" si="4"/>
        <v>0.83810666270118672</v>
      </c>
      <c r="I35" s="346"/>
      <c r="J35" s="148"/>
      <c r="K35" s="284">
        <f>SUM(K34,K29)</f>
        <v>17404.964116486066</v>
      </c>
      <c r="L35" s="286">
        <f t="shared" si="17"/>
        <v>5.4390512864018952</v>
      </c>
      <c r="M35" s="402">
        <f t="shared" si="5"/>
        <v>0.6798814108002369</v>
      </c>
      <c r="N35" s="375">
        <f>SUM(N34,N29)</f>
        <v>42488.789530769223</v>
      </c>
      <c r="O35" s="284">
        <f>SUM(O34,O29)</f>
        <v>93947.902537153102</v>
      </c>
      <c r="P35" s="284">
        <f>SUM(P34,P29)</f>
        <v>140414.89921262153</v>
      </c>
      <c r="Q35" s="402">
        <f t="shared" si="6"/>
        <v>0.59352146647126047</v>
      </c>
      <c r="R35" s="181"/>
      <c r="V35" s="250"/>
      <c r="W35" s="249">
        <f t="shared" si="0"/>
        <v>0.85</v>
      </c>
      <c r="X35" s="383">
        <f t="shared" si="1"/>
        <v>1.4666866597270767</v>
      </c>
      <c r="Y35" s="383">
        <f t="shared" si="2"/>
        <v>5.1853759919532179</v>
      </c>
      <c r="Z35" s="383"/>
      <c r="AB35" s="80">
        <v>0.35</v>
      </c>
      <c r="AC35" s="62">
        <v>3.0491394476496865</v>
      </c>
      <c r="AE35" s="80">
        <v>0.35</v>
      </c>
      <c r="AF35" s="62">
        <v>10.983668436494403</v>
      </c>
      <c r="AH35" s="90">
        <v>1.5</v>
      </c>
      <c r="AI35" s="62">
        <v>-1677.5792506664075</v>
      </c>
      <c r="AK35" s="80">
        <v>0.35</v>
      </c>
      <c r="AL35" s="62">
        <v>9.3786526660057277</v>
      </c>
      <c r="AP35" s="39">
        <v>12.5</v>
      </c>
      <c r="AQ35" s="32">
        <v>20419.810883513936</v>
      </c>
    </row>
    <row r="36" spans="2:43" ht="17.25">
      <c r="B36" s="362" t="s">
        <v>121</v>
      </c>
      <c r="C36" s="347"/>
      <c r="D36" s="354"/>
      <c r="E36" s="129"/>
      <c r="F36" s="285">
        <f>F9-F35</f>
        <v>966.98298370859629</v>
      </c>
      <c r="G36" s="287">
        <f>F36/$E$7</f>
        <v>8.4897540272923289E-2</v>
      </c>
      <c r="H36" s="403">
        <f t="shared" si="4"/>
        <v>4.8512880155956166E-2</v>
      </c>
      <c r="I36" s="348"/>
      <c r="J36" s="149"/>
      <c r="K36" s="285">
        <f>K9-K35</f>
        <v>7043.0358835139341</v>
      </c>
      <c r="L36" s="287">
        <f t="shared" si="17"/>
        <v>2.2009487135981045</v>
      </c>
      <c r="M36" s="403">
        <f t="shared" si="5"/>
        <v>0.27511858919976306</v>
      </c>
      <c r="N36" s="376"/>
      <c r="O36" s="285"/>
      <c r="P36" s="285">
        <f>P9-P35</f>
        <v>85518.342166688846</v>
      </c>
      <c r="Q36" s="403">
        <f t="shared" si="6"/>
        <v>0.36147853352873954</v>
      </c>
      <c r="R36" s="181"/>
      <c r="V36" s="250"/>
      <c r="W36" s="249">
        <f t="shared" si="0"/>
        <v>0.875</v>
      </c>
      <c r="X36" s="383">
        <f t="shared" si="1"/>
        <v>1.4350376039686246</v>
      </c>
      <c r="Y36" s="383">
        <f t="shared" si="2"/>
        <v>5.0694101430623952</v>
      </c>
      <c r="Z36" s="383"/>
      <c r="AB36" s="80">
        <v>0.375</v>
      </c>
      <c r="AC36" s="62">
        <v>2.8697947983517906</v>
      </c>
      <c r="AE36" s="80">
        <v>0.375</v>
      </c>
      <c r="AF36" s="62">
        <v>10.32652862611307</v>
      </c>
      <c r="AH36" s="90">
        <v>1.6</v>
      </c>
      <c r="AI36" s="62">
        <v>-619.7543569164045</v>
      </c>
      <c r="AK36" s="80">
        <v>0.375</v>
      </c>
      <c r="AL36" s="62">
        <v>8.8298549256518726</v>
      </c>
      <c r="AP36" s="39">
        <v>12.75</v>
      </c>
      <c r="AQ36" s="32">
        <v>21162.965050180603</v>
      </c>
    </row>
    <row r="37" spans="2:43" ht="16.5" customHeight="1">
      <c r="B37" s="125"/>
      <c r="C37" s="125"/>
      <c r="D37" s="125"/>
      <c r="E37" s="125"/>
      <c r="F37" s="125"/>
      <c r="G37" s="142"/>
      <c r="H37" s="125"/>
      <c r="I37" s="125"/>
      <c r="J37" s="125"/>
      <c r="K37" s="125"/>
      <c r="L37" s="266">
        <f>SUM(L11:L18,L23:L28)</f>
        <v>4.9999441789282537</v>
      </c>
      <c r="M37" s="125"/>
      <c r="P37" s="125"/>
      <c r="Q37" s="125"/>
      <c r="R37" s="181"/>
      <c r="V37" s="250"/>
      <c r="W37" s="255">
        <f t="shared" si="0"/>
        <v>0.9</v>
      </c>
      <c r="X37" s="384">
        <f t="shared" si="1"/>
        <v>1.4051468290856421</v>
      </c>
      <c r="Y37" s="384">
        <f t="shared" si="2"/>
        <v>4.9598868413321728</v>
      </c>
      <c r="Z37" s="383"/>
      <c r="AB37" s="80">
        <v>0.4</v>
      </c>
      <c r="AC37" s="62">
        <v>2.7128682302161313</v>
      </c>
      <c r="AE37" s="80">
        <v>0.4</v>
      </c>
      <c r="AF37" s="62">
        <v>9.7515312920294015</v>
      </c>
      <c r="AH37" s="90">
        <v>1.7</v>
      </c>
      <c r="AI37" s="62">
        <v>438.07053683359482</v>
      </c>
      <c r="AK37" s="80">
        <v>0.4</v>
      </c>
      <c r="AL37" s="62">
        <v>8.3496569028422503</v>
      </c>
      <c r="AP37" s="39">
        <v>13</v>
      </c>
      <c r="AQ37" s="32">
        <v>21906.11921684727</v>
      </c>
    </row>
    <row r="38" spans="2:43" ht="16.5" customHeight="1">
      <c r="B38" s="290" t="s">
        <v>326</v>
      </c>
      <c r="C38" s="291" cm="1">
        <f t="array" ref="C38">IFERROR(INDEX(_xlfn._xlws.FILTER(B67:B76, F67:F76&gt;0), 1),"&gt;25 years")</f>
        <v>5</v>
      </c>
      <c r="F38" s="158"/>
      <c r="G38" s="125"/>
      <c r="H38" s="125"/>
      <c r="I38" s="125"/>
      <c r="J38" s="125"/>
      <c r="K38" s="125"/>
      <c r="L38" s="125"/>
      <c r="M38" s="125"/>
      <c r="P38" s="125"/>
      <c r="Q38" s="125"/>
      <c r="R38" s="212"/>
      <c r="V38" s="250"/>
      <c r="W38" s="250"/>
      <c r="X38" s="250"/>
      <c r="Y38" s="250"/>
      <c r="Z38" s="250"/>
      <c r="AB38" s="80">
        <v>0.42499999999999999</v>
      </c>
      <c r="AC38" s="62">
        <v>2.5744036112729032</v>
      </c>
      <c r="AE38" s="80">
        <v>0.42499999999999999</v>
      </c>
      <c r="AF38" s="62">
        <v>9.2441807031320469</v>
      </c>
      <c r="AH38" s="90">
        <v>1.8</v>
      </c>
      <c r="AI38" s="62">
        <v>1495.8954305835941</v>
      </c>
      <c r="AK38" s="80">
        <v>0.42499999999999999</v>
      </c>
      <c r="AL38" s="62">
        <v>7.9259527650690549</v>
      </c>
      <c r="AP38" s="39">
        <v>13.25</v>
      </c>
      <c r="AQ38" s="32">
        <v>22649.273383513937</v>
      </c>
    </row>
    <row r="39" spans="2:43" ht="16.5" customHeight="1">
      <c r="B39" s="159" t="s">
        <v>327</v>
      </c>
      <c r="C39" s="288">
        <f>IFERROR(IRR(E66:E76),"High loss")</f>
        <v>0.2198563754867835</v>
      </c>
      <c r="F39" s="125"/>
      <c r="G39" s="125"/>
      <c r="H39" s="125"/>
      <c r="I39" s="125"/>
      <c r="J39" s="125"/>
      <c r="K39" s="125"/>
      <c r="L39" s="125"/>
      <c r="M39" s="125"/>
      <c r="P39" s="125"/>
      <c r="Q39" s="125"/>
      <c r="R39" s="263"/>
      <c r="V39" s="250"/>
      <c r="W39" s="250"/>
      <c r="X39" s="250"/>
      <c r="Y39" s="250"/>
      <c r="Z39" s="250"/>
      <c r="AB39" s="80">
        <v>0.45</v>
      </c>
      <c r="AC39" s="62">
        <v>2.4513239499900337</v>
      </c>
      <c r="AE39" s="80">
        <v>0.45</v>
      </c>
      <c r="AF39" s="62">
        <v>8.7932024018899568</v>
      </c>
      <c r="AH39" s="90">
        <v>1.9</v>
      </c>
      <c r="AI39" s="62">
        <v>2553.7203243335971</v>
      </c>
      <c r="AK39" s="80">
        <v>0.45</v>
      </c>
      <c r="AL39" s="62">
        <v>7.5493268648262131</v>
      </c>
      <c r="AP39" s="39">
        <v>13.5</v>
      </c>
      <c r="AQ39" s="32">
        <v>23392.427550180604</v>
      </c>
    </row>
    <row r="40" spans="2:43" ht="16.5" customHeight="1">
      <c r="B40" s="164" t="str">
        <f>"NPV at " &amp; 100*D33 &amp; " % in 10 years"</f>
        <v>NPV at 7.25 % in 10 years</v>
      </c>
      <c r="C40" s="289">
        <f>NPV(D35,E66:E76)</f>
        <v>835431.93408740312</v>
      </c>
      <c r="F40" s="125"/>
      <c r="G40" s="125"/>
      <c r="H40" s="125"/>
      <c r="I40" s="125"/>
      <c r="J40" s="125"/>
      <c r="K40" s="125"/>
      <c r="L40" s="125"/>
      <c r="M40" s="125"/>
      <c r="N40" s="125"/>
      <c r="O40" s="125"/>
      <c r="P40" s="125"/>
      <c r="Q40" s="125"/>
      <c r="R40" s="181"/>
      <c r="V40" s="250"/>
      <c r="W40" s="250"/>
      <c r="X40" s="250"/>
      <c r="Y40" s="250"/>
      <c r="Z40" s="250"/>
      <c r="AB40" s="80">
        <v>0.47499999999999998</v>
      </c>
      <c r="AC40" s="62">
        <v>2.3412000425264132</v>
      </c>
      <c r="AE40" s="80">
        <v>0.47499999999999998</v>
      </c>
      <c r="AF40" s="62">
        <v>8.3896955007786094</v>
      </c>
      <c r="AH40" s="90">
        <v>2</v>
      </c>
      <c r="AI40" s="62">
        <v>3611.5452180835928</v>
      </c>
      <c r="AK40" s="80">
        <v>0.47499999999999998</v>
      </c>
      <c r="AL40" s="62">
        <v>7.2123457961878827</v>
      </c>
      <c r="AP40" s="39">
        <v>13.75</v>
      </c>
      <c r="AQ40" s="32">
        <v>24135.581716847271</v>
      </c>
    </row>
    <row r="41" spans="2:43" ht="16.5" customHeight="1">
      <c r="F41" s="260"/>
      <c r="G41" s="260"/>
      <c r="H41" s="260"/>
      <c r="I41" s="261"/>
      <c r="J41" s="261"/>
      <c r="K41" s="262"/>
      <c r="L41" s="262"/>
      <c r="M41" s="260"/>
      <c r="N41" s="263">
        <f>F9</f>
        <v>17672.544038</v>
      </c>
      <c r="O41" s="263"/>
      <c r="P41" s="263"/>
      <c r="Q41" s="263"/>
      <c r="R41" s="181"/>
      <c r="V41" s="250"/>
      <c r="W41" s="250"/>
      <c r="X41" s="250"/>
      <c r="Y41" s="250"/>
      <c r="Z41" s="250"/>
      <c r="AB41" s="80">
        <v>0.5</v>
      </c>
      <c r="AC41" s="62">
        <v>2.2420885258091556</v>
      </c>
      <c r="AE41" s="80">
        <v>0.5</v>
      </c>
      <c r="AF41" s="62">
        <v>8.0265392897783983</v>
      </c>
      <c r="AH41" s="90">
        <v>2.1</v>
      </c>
      <c r="AI41" s="62">
        <v>4669.3701118335957</v>
      </c>
      <c r="AK41" s="80">
        <v>0.5</v>
      </c>
      <c r="AL41" s="62">
        <v>6.9090628344133815</v>
      </c>
      <c r="AP41" s="39">
        <v>14</v>
      </c>
      <c r="AQ41" s="32">
        <v>24878.735883513931</v>
      </c>
    </row>
    <row r="42" spans="2:43" ht="33" customHeight="1">
      <c r="B42" s="387"/>
      <c r="C42" s="320" t="s">
        <v>126</v>
      </c>
      <c r="D42" s="320" t="s">
        <v>127</v>
      </c>
      <c r="E42" s="320" t="s">
        <v>151</v>
      </c>
      <c r="F42" s="125"/>
      <c r="G42" s="125"/>
      <c r="H42" s="125"/>
      <c r="I42" s="125"/>
      <c r="J42" s="125"/>
      <c r="K42" s="125"/>
      <c r="L42" s="262"/>
      <c r="M42" s="125"/>
      <c r="N42" s="125"/>
      <c r="O42" s="132"/>
      <c r="P42" s="125"/>
      <c r="Q42" s="125"/>
      <c r="R42" s="181"/>
      <c r="V42" s="250"/>
      <c r="W42" s="250"/>
      <c r="X42" s="250"/>
      <c r="Y42" s="250"/>
      <c r="Z42" s="250"/>
      <c r="AB42" s="80">
        <v>0.52500000000000002</v>
      </c>
      <c r="AC42" s="62">
        <v>2.1524162011602073</v>
      </c>
      <c r="AE42" s="80">
        <v>0.52500000000000002</v>
      </c>
      <c r="AF42" s="62">
        <v>7.6979693845877319</v>
      </c>
      <c r="AH42" s="90">
        <v>2.2000000000000002</v>
      </c>
      <c r="AI42" s="62">
        <v>5727.1950055835987</v>
      </c>
      <c r="AK42" s="80">
        <v>0.52500000000000002</v>
      </c>
      <c r="AL42" s="62">
        <v>6.6346639642364558</v>
      </c>
      <c r="AP42" s="39">
        <v>14.25</v>
      </c>
      <c r="AQ42" s="32">
        <v>25621.890050180598</v>
      </c>
    </row>
    <row r="43" spans="2:43" ht="16.5" customHeight="1">
      <c r="B43" s="127" t="s">
        <v>142</v>
      </c>
      <c r="C43" s="385">
        <f>'Capital Inputs'!$D$7/(1+$E$12/$J$12)</f>
        <v>2.7586206896551726</v>
      </c>
      <c r="D43" s="385">
        <f>($E$12/$J$12)*'Capital Inputs'!$D$7/(1+$E$12/$J$12)</f>
        <v>9.2413793103448292</v>
      </c>
      <c r="E43" s="385">
        <f>SUM(C43:D43)</f>
        <v>12.000000000000002</v>
      </c>
      <c r="F43" s="260"/>
      <c r="G43" s="260"/>
      <c r="H43" s="260"/>
      <c r="I43" s="125"/>
      <c r="J43" s="125"/>
      <c r="K43" s="125"/>
      <c r="L43" s="262"/>
      <c r="M43" s="260"/>
      <c r="N43" s="125"/>
      <c r="O43" s="125"/>
      <c r="P43" s="125"/>
      <c r="Q43" s="125"/>
      <c r="R43" s="232"/>
      <c r="V43" s="250"/>
      <c r="W43" s="250"/>
      <c r="X43" s="250"/>
      <c r="Y43" s="250"/>
      <c r="Z43" s="250"/>
      <c r="AB43" s="80">
        <v>0.55000000000000004</v>
      </c>
      <c r="AC43" s="62">
        <v>2.0708959060248002</v>
      </c>
      <c r="AE43" s="80">
        <v>0.55000000000000004</v>
      </c>
      <c r="AF43" s="62">
        <v>7.3992694707780338</v>
      </c>
      <c r="AH43" s="90">
        <v>2.2999999999999998</v>
      </c>
      <c r="AI43" s="62">
        <v>6785.0198993335907</v>
      </c>
      <c r="AK43" s="80">
        <v>0.55000000000000004</v>
      </c>
      <c r="AL43" s="62">
        <v>6.3852104458937946</v>
      </c>
      <c r="AP43" s="39">
        <v>14.5</v>
      </c>
      <c r="AQ43" s="32">
        <v>26365.044216847265</v>
      </c>
    </row>
    <row r="44" spans="2:43" ht="16.5" customHeight="1">
      <c r="B44" s="127" t="s">
        <v>422</v>
      </c>
      <c r="C44" s="386"/>
      <c r="D44" s="386"/>
      <c r="E44" s="386">
        <f>P9/P35</f>
        <v>1.6090403699766487</v>
      </c>
      <c r="F44" s="261"/>
      <c r="G44" s="261"/>
      <c r="H44" s="261"/>
      <c r="I44" s="261"/>
      <c r="J44" s="261"/>
      <c r="K44" s="261"/>
      <c r="L44" s="261"/>
      <c r="M44" s="261"/>
      <c r="N44" s="125"/>
      <c r="O44" s="125"/>
      <c r="P44" s="125"/>
      <c r="Q44" s="125"/>
      <c r="R44" s="232"/>
      <c r="V44" s="250"/>
      <c r="W44" s="250"/>
      <c r="X44" s="250"/>
      <c r="Y44" s="250"/>
      <c r="Z44" s="250"/>
      <c r="AB44" s="80">
        <v>0.57499999999999996</v>
      </c>
      <c r="AC44" s="62">
        <v>1.996464332205516</v>
      </c>
      <c r="AE44" s="80">
        <v>0.57499999999999996</v>
      </c>
      <c r="AF44" s="62">
        <v>7.1265434625170068</v>
      </c>
      <c r="AH44" s="90">
        <v>2.4</v>
      </c>
      <c r="AI44" s="62">
        <v>7842.8447930835973</v>
      </c>
      <c r="AK44" s="80">
        <v>0.57499999999999996</v>
      </c>
      <c r="AL44" s="62">
        <v>6.1574485378418</v>
      </c>
      <c r="AP44" s="39">
        <v>14.75</v>
      </c>
      <c r="AQ44" s="32">
        <v>27108.198383513933</v>
      </c>
    </row>
    <row r="45" spans="2:43" ht="16.5" customHeight="1">
      <c r="B45" s="127" t="s">
        <v>146</v>
      </c>
      <c r="C45" s="691">
        <f>G35</f>
        <v>1.4666866597270767</v>
      </c>
      <c r="D45" s="691">
        <f>L35</f>
        <v>5.4390512864018952</v>
      </c>
      <c r="E45" s="691">
        <f>(P35)/(D43*J7)</f>
        <v>4.7481717317700838</v>
      </c>
      <c r="F45" s="261"/>
      <c r="G45" s="261"/>
      <c r="H45" s="261"/>
      <c r="I45" s="261"/>
      <c r="J45" s="261"/>
      <c r="K45" s="261"/>
      <c r="L45" s="261"/>
      <c r="M45" s="261"/>
      <c r="N45" s="264"/>
      <c r="O45" s="264"/>
      <c r="P45" s="264"/>
      <c r="Q45" s="264"/>
      <c r="R45" s="232"/>
      <c r="V45" s="250"/>
      <c r="W45" s="250"/>
      <c r="X45" s="250"/>
      <c r="Y45" s="250"/>
      <c r="Z45" s="250"/>
      <c r="AB45" s="80">
        <v>0.6</v>
      </c>
      <c r="AC45" s="62">
        <v>1.9282353895378381</v>
      </c>
      <c r="AE45" s="80">
        <v>0.6</v>
      </c>
      <c r="AF45" s="62">
        <v>6.8765446216110631</v>
      </c>
      <c r="AH45" s="90">
        <v>2.5</v>
      </c>
      <c r="AI45" s="62">
        <v>8900.669686833593</v>
      </c>
      <c r="AK45" s="80">
        <v>0.6</v>
      </c>
      <c r="AL45" s="62">
        <v>5.9486667887941378</v>
      </c>
      <c r="AP45" s="39">
        <v>15</v>
      </c>
      <c r="AQ45" s="32">
        <v>27851.3525501806</v>
      </c>
    </row>
    <row r="46" spans="2:43" ht="17.25">
      <c r="B46" s="130" t="s">
        <v>145</v>
      </c>
      <c r="C46" s="267">
        <f>F35/G9</f>
        <v>10766.776984640217</v>
      </c>
      <c r="D46" s="267">
        <f>K35/L9</f>
        <v>2278.1366644615268</v>
      </c>
      <c r="E46" s="267">
        <f>P35/L9/D43</f>
        <v>1988.7630290136476</v>
      </c>
      <c r="F46" s="263"/>
      <c r="G46" s="263"/>
      <c r="H46" s="263"/>
      <c r="I46" s="263"/>
      <c r="J46" s="263"/>
      <c r="K46" s="261"/>
      <c r="L46" s="261"/>
      <c r="M46" s="263"/>
      <c r="N46" s="264"/>
      <c r="O46" s="264"/>
      <c r="P46" s="264"/>
      <c r="Q46" s="264"/>
      <c r="R46" s="232"/>
      <c r="V46" s="250"/>
      <c r="W46" s="250"/>
      <c r="X46" s="250"/>
      <c r="Y46" s="250"/>
      <c r="Z46" s="250"/>
      <c r="AB46" s="80">
        <v>0.625</v>
      </c>
      <c r="AC46" s="62">
        <v>1.8654647622835743</v>
      </c>
      <c r="AE46" s="80">
        <v>0.625</v>
      </c>
      <c r="AF46" s="62">
        <v>6.6465456879775973</v>
      </c>
      <c r="AH46" s="90">
        <v>2.6</v>
      </c>
      <c r="AI46" s="62">
        <v>9958.494580583596</v>
      </c>
      <c r="AK46" s="80">
        <v>0.625</v>
      </c>
      <c r="AL46" s="62">
        <v>5.756587579670291</v>
      </c>
      <c r="AP46" s="39">
        <v>15.25</v>
      </c>
      <c r="AQ46" s="32">
        <v>28594.506716847267</v>
      </c>
    </row>
    <row r="47" spans="2:43" ht="17.25" hidden="1">
      <c r="B47" s="125"/>
      <c r="C47" s="125"/>
      <c r="D47" s="125"/>
      <c r="E47" s="125"/>
      <c r="F47" s="263"/>
      <c r="G47" s="263"/>
      <c r="H47" s="263"/>
      <c r="I47" s="263"/>
      <c r="J47" s="263"/>
      <c r="K47" s="261"/>
      <c r="L47" s="261"/>
      <c r="M47" s="263"/>
      <c r="N47" s="264"/>
      <c r="O47" s="264"/>
      <c r="P47" s="264"/>
      <c r="Q47" s="264"/>
      <c r="R47" s="232"/>
      <c r="V47" s="250"/>
      <c r="W47" s="250"/>
      <c r="X47" s="250"/>
      <c r="Y47" s="250"/>
      <c r="Z47" s="250"/>
      <c r="AB47" s="80">
        <v>0.65</v>
      </c>
      <c r="AC47" s="62">
        <v>1.8075226448181003</v>
      </c>
      <c r="AE47" s="80">
        <v>0.65</v>
      </c>
      <c r="AF47" s="62">
        <v>6.434238980008244</v>
      </c>
      <c r="AH47" s="90">
        <v>2.7</v>
      </c>
      <c r="AI47" s="62">
        <v>11016.319474333599</v>
      </c>
      <c r="AK47" s="80">
        <v>0.65</v>
      </c>
      <c r="AL47" s="62">
        <v>5.5792836943251984</v>
      </c>
      <c r="AP47" s="39">
        <v>15.5</v>
      </c>
      <c r="AQ47" s="32">
        <v>29337.660883513934</v>
      </c>
    </row>
    <row r="48" spans="2:43" ht="17.25" hidden="1">
      <c r="B48" s="125"/>
      <c r="C48" s="125"/>
      <c r="D48" s="125"/>
      <c r="E48" s="125"/>
      <c r="F48" s="261"/>
      <c r="G48" s="261"/>
      <c r="H48" s="261"/>
      <c r="I48" s="261"/>
      <c r="J48" s="261"/>
      <c r="K48" s="261"/>
      <c r="L48" s="261"/>
      <c r="M48" s="261"/>
      <c r="N48" s="264"/>
      <c r="O48" s="264"/>
      <c r="P48" s="264"/>
      <c r="Q48" s="264"/>
      <c r="R48" s="181"/>
      <c r="V48" s="250"/>
      <c r="W48" s="250"/>
      <c r="X48" s="250"/>
      <c r="Y48" s="250"/>
      <c r="Z48" s="250"/>
      <c r="AB48" s="80">
        <v>0.67500000000000004</v>
      </c>
      <c r="AC48" s="62">
        <v>1.7538725360537726</v>
      </c>
      <c r="AE48" s="80">
        <v>0.67500000000000004</v>
      </c>
      <c r="AF48" s="62">
        <v>6.2376586948514339</v>
      </c>
      <c r="AH48" s="90">
        <v>2.8</v>
      </c>
      <c r="AI48" s="62">
        <v>12074.144368083591</v>
      </c>
      <c r="AK48" s="80">
        <v>0.67500000000000004</v>
      </c>
      <c r="AL48" s="62">
        <v>5.4151134301167785</v>
      </c>
      <c r="AP48" s="39">
        <v>15.75</v>
      </c>
      <c r="AQ48" s="32">
        <v>30080.815050180601</v>
      </c>
    </row>
    <row r="49" spans="2:43" ht="17.25" hidden="1">
      <c r="B49" s="125"/>
      <c r="C49" s="125"/>
      <c r="D49" s="125"/>
      <c r="E49" s="125"/>
      <c r="F49" s="261"/>
      <c r="G49" s="261"/>
      <c r="H49" s="261"/>
      <c r="I49" s="261"/>
      <c r="J49" s="261"/>
      <c r="K49" s="261"/>
      <c r="L49" s="261"/>
      <c r="M49" s="261"/>
      <c r="N49" s="264"/>
      <c r="O49" s="264"/>
      <c r="P49" s="264"/>
      <c r="Q49" s="264"/>
      <c r="R49" s="181"/>
      <c r="V49" s="250"/>
      <c r="W49" s="250"/>
      <c r="X49" s="250"/>
      <c r="Y49" s="250"/>
      <c r="Z49" s="250"/>
      <c r="AB49" s="80">
        <v>0.7</v>
      </c>
      <c r="AC49" s="62">
        <v>1.7040545779154683</v>
      </c>
      <c r="AD49" s="82"/>
      <c r="AE49" s="80">
        <v>0.7</v>
      </c>
      <c r="AF49" s="62">
        <v>6.0551198586343968</v>
      </c>
      <c r="AH49" s="90">
        <v>2.9</v>
      </c>
      <c r="AI49" s="62">
        <v>13131.969261833594</v>
      </c>
      <c r="AJ49" s="82"/>
      <c r="AK49" s="80">
        <v>0.7</v>
      </c>
      <c r="AL49" s="62">
        <v>5.2626696133518207</v>
      </c>
      <c r="AM49" s="82"/>
      <c r="AN49" s="26"/>
      <c r="AO49" s="26"/>
      <c r="AP49" s="39">
        <v>16</v>
      </c>
      <c r="AQ49" s="32">
        <v>30823.969216847268</v>
      </c>
    </row>
    <row r="50" spans="2:43" ht="17.25" hidden="1">
      <c r="B50" s="125"/>
      <c r="C50" s="125"/>
      <c r="D50" s="125"/>
      <c r="E50" s="125"/>
      <c r="F50" s="261"/>
      <c r="G50" s="261"/>
      <c r="H50" s="261"/>
      <c r="I50" s="261"/>
      <c r="J50" s="261"/>
      <c r="K50" s="261"/>
      <c r="L50" s="261"/>
      <c r="M50" s="261"/>
      <c r="N50" s="125"/>
      <c r="O50" s="125"/>
      <c r="P50" s="125"/>
      <c r="Q50" s="125"/>
      <c r="R50" s="181"/>
      <c r="V50" s="250"/>
      <c r="W50" s="250"/>
      <c r="X50" s="250"/>
      <c r="Y50" s="250"/>
      <c r="Z50" s="250"/>
      <c r="AB50" s="80">
        <v>0.72499999999999998</v>
      </c>
      <c r="AC50" s="62">
        <v>1.6576723410280811</v>
      </c>
      <c r="AD50" s="83"/>
      <c r="AE50" s="80">
        <v>0.72499999999999998</v>
      </c>
      <c r="AF50" s="62">
        <v>5.8851699076737063</v>
      </c>
      <c r="AH50" s="90">
        <v>3</v>
      </c>
      <c r="AI50" s="62">
        <v>14189.794155583593</v>
      </c>
      <c r="AJ50" s="83"/>
      <c r="AK50" s="80">
        <v>0.72499999999999998</v>
      </c>
      <c r="AL50" s="62">
        <v>5.1207391632603061</v>
      </c>
      <c r="AM50" s="83"/>
      <c r="AN50" s="25"/>
      <c r="AO50" s="25"/>
      <c r="AP50" s="39">
        <v>16.25</v>
      </c>
      <c r="AQ50" s="32">
        <v>31567.123383513936</v>
      </c>
    </row>
    <row r="51" spans="2:43" ht="17.25" hidden="1">
      <c r="B51" s="125"/>
      <c r="C51" s="125"/>
      <c r="D51" s="125"/>
      <c r="E51" s="125"/>
      <c r="F51" s="261"/>
      <c r="G51" s="261"/>
      <c r="H51" s="261"/>
      <c r="I51" s="261"/>
      <c r="J51" s="261"/>
      <c r="K51" s="261"/>
      <c r="L51" s="261"/>
      <c r="M51" s="261"/>
      <c r="N51" s="125"/>
      <c r="O51" s="125"/>
      <c r="P51" s="125"/>
      <c r="Q51" s="125"/>
      <c r="R51" s="181"/>
      <c r="V51" s="250"/>
      <c r="W51" s="250"/>
      <c r="X51" s="250"/>
      <c r="Y51" s="250"/>
      <c r="Z51" s="250"/>
      <c r="AB51" s="80">
        <v>0.75</v>
      </c>
      <c r="AC51" s="62">
        <v>1.6143822532665202</v>
      </c>
      <c r="AD51" s="83"/>
      <c r="AE51" s="80">
        <v>0.75</v>
      </c>
      <c r="AF51" s="62">
        <v>5.7265499534437296</v>
      </c>
      <c r="AH51" s="90">
        <v>3.1</v>
      </c>
      <c r="AI51" s="62">
        <v>15247.619049333596</v>
      </c>
      <c r="AJ51" s="83"/>
      <c r="AK51" s="80">
        <v>0.75</v>
      </c>
      <c r="AL51" s="62">
        <v>4.9882707431748932</v>
      </c>
      <c r="AM51" s="83"/>
      <c r="AN51" s="25"/>
      <c r="AO51" s="25"/>
      <c r="AP51" s="39">
        <v>16.5</v>
      </c>
      <c r="AQ51" s="32">
        <v>32310.277550180603</v>
      </c>
    </row>
    <row r="52" spans="2:43" ht="17.25" hidden="1">
      <c r="B52" s="125"/>
      <c r="C52" s="125"/>
      <c r="D52" s="125"/>
      <c r="E52" s="125"/>
      <c r="F52" s="125"/>
      <c r="G52" s="125"/>
      <c r="H52" s="125"/>
      <c r="I52" s="125"/>
      <c r="J52" s="125"/>
      <c r="K52" s="125"/>
      <c r="L52" s="125"/>
      <c r="M52" s="125"/>
      <c r="N52" s="125"/>
      <c r="O52" s="125"/>
      <c r="P52" s="125"/>
      <c r="Q52" s="125"/>
      <c r="R52" s="181"/>
      <c r="V52" s="250"/>
      <c r="W52" s="250"/>
      <c r="X52" s="250"/>
      <c r="Y52" s="250"/>
      <c r="Z52" s="250"/>
      <c r="AB52" s="80">
        <v>0.77500000000000002</v>
      </c>
      <c r="AC52" s="62">
        <v>1.5738850743928019</v>
      </c>
      <c r="AD52" s="4"/>
      <c r="AE52" s="80">
        <v>0.77500000000000002</v>
      </c>
      <c r="AF52" s="62">
        <v>5.5781635446479445</v>
      </c>
      <c r="AH52" s="90">
        <v>3.2</v>
      </c>
      <c r="AI52" s="62">
        <v>16305.443943083596</v>
      </c>
      <c r="AJ52" s="4"/>
      <c r="AK52" s="80">
        <v>0.77500000000000002</v>
      </c>
      <c r="AL52" s="62">
        <v>4.8643486727724099</v>
      </c>
      <c r="AM52" s="4"/>
      <c r="AN52" s="13"/>
      <c r="AO52" s="13"/>
      <c r="AP52" s="39">
        <v>16.75</v>
      </c>
      <c r="AQ52" s="32">
        <v>33053.43171684727</v>
      </c>
    </row>
    <row r="53" spans="2:43" ht="17.25" hidden="1">
      <c r="B53" s="125"/>
      <c r="C53" s="125"/>
      <c r="D53" s="125"/>
      <c r="E53" s="125"/>
      <c r="F53" s="125"/>
      <c r="G53" s="125"/>
      <c r="H53" s="125"/>
      <c r="I53" s="125"/>
      <c r="J53" s="125"/>
      <c r="K53" s="125"/>
      <c r="L53" s="125"/>
      <c r="M53" s="125"/>
      <c r="N53" s="125"/>
      <c r="O53" s="125"/>
      <c r="P53" s="125"/>
      <c r="Q53" s="125"/>
      <c r="R53" s="181"/>
      <c r="V53" s="250"/>
      <c r="W53" s="250"/>
      <c r="X53" s="250"/>
      <c r="Y53" s="250"/>
      <c r="Z53" s="250"/>
      <c r="AB53" s="80">
        <v>0.8</v>
      </c>
      <c r="AC53" s="62">
        <v>1.535918969198691</v>
      </c>
      <c r="AD53" s="4"/>
      <c r="AE53" s="80">
        <v>0.8</v>
      </c>
      <c r="AF53" s="62">
        <v>5.4390512864018952</v>
      </c>
      <c r="AH53" s="90">
        <v>3.3</v>
      </c>
      <c r="AI53" s="62">
        <v>17363.268836833595</v>
      </c>
      <c r="AJ53" s="4"/>
      <c r="AK53" s="80">
        <v>0.8</v>
      </c>
      <c r="AL53" s="62">
        <v>4.7481717317700838</v>
      </c>
      <c r="AM53" s="4"/>
      <c r="AN53" s="13"/>
      <c r="AO53" s="13"/>
      <c r="AP53" s="39">
        <v>17</v>
      </c>
      <c r="AQ53" s="32">
        <v>33796.585883513937</v>
      </c>
    </row>
    <row r="54" spans="2:43" ht="17.25" hidden="1">
      <c r="B54" s="125"/>
      <c r="C54" s="125"/>
      <c r="D54" s="125"/>
      <c r="E54" s="125"/>
      <c r="F54" s="125"/>
      <c r="G54" s="125"/>
      <c r="H54" s="125"/>
      <c r="I54" s="125"/>
      <c r="J54" s="125"/>
      <c r="K54" s="125"/>
      <c r="L54" s="125"/>
      <c r="M54" s="125"/>
      <c r="N54" s="125"/>
      <c r="O54" s="125"/>
      <c r="P54" s="125"/>
      <c r="Q54" s="125"/>
      <c r="R54" s="181"/>
      <c r="V54" s="250"/>
      <c r="W54" s="250"/>
      <c r="X54" s="250"/>
      <c r="Y54" s="250"/>
      <c r="Z54" s="250"/>
      <c r="AB54" s="80">
        <v>0.82499999999999996</v>
      </c>
      <c r="AC54" s="62">
        <v>1.5002538400769501</v>
      </c>
      <c r="AD54" s="4"/>
      <c r="AE54" s="80">
        <v>0.82499999999999996</v>
      </c>
      <c r="AF54" s="62">
        <v>5.3083700741101527</v>
      </c>
      <c r="AH54" s="90">
        <v>3.4</v>
      </c>
      <c r="AI54" s="62">
        <v>18421.093730583594</v>
      </c>
      <c r="AJ54" s="4"/>
      <c r="AK54" s="80">
        <v>0.82499999999999996</v>
      </c>
      <c r="AL54" s="62">
        <v>4.6390358174951682</v>
      </c>
      <c r="AM54" s="4"/>
      <c r="AN54" s="13"/>
      <c r="AO54" s="13"/>
      <c r="AP54" s="39">
        <v>17.25</v>
      </c>
      <c r="AQ54" s="32">
        <v>34539.740050180604</v>
      </c>
    </row>
    <row r="55" spans="2:43" ht="17.25" hidden="1">
      <c r="B55" s="125"/>
      <c r="C55" s="125"/>
      <c r="D55" s="125"/>
      <c r="E55" s="125"/>
      <c r="F55" s="125"/>
      <c r="G55" s="125"/>
      <c r="H55" s="125"/>
      <c r="I55" s="125"/>
      <c r="J55" s="125"/>
      <c r="K55" s="125"/>
      <c r="L55" s="125"/>
      <c r="M55" s="125"/>
      <c r="N55" s="125"/>
      <c r="O55" s="125"/>
      <c r="P55" s="125"/>
      <c r="Q55" s="125"/>
      <c r="R55" s="181"/>
      <c r="V55" s="250"/>
      <c r="W55" s="250"/>
      <c r="X55" s="250"/>
      <c r="Y55" s="250"/>
      <c r="Z55" s="250"/>
      <c r="AB55" s="80">
        <v>0.85</v>
      </c>
      <c r="AC55" s="62">
        <v>1.4666866597270767</v>
      </c>
      <c r="AD55" s="4"/>
      <c r="AE55" s="80">
        <v>0.85</v>
      </c>
      <c r="AF55" s="62">
        <v>5.1853759919532179</v>
      </c>
      <c r="AH55" s="90">
        <v>3.5</v>
      </c>
      <c r="AI55" s="62">
        <v>19478.918624333593</v>
      </c>
      <c r="AJ55" s="4"/>
      <c r="AK55" s="80">
        <v>0.85</v>
      </c>
      <c r="AL55" s="62">
        <v>4.5363196628834839</v>
      </c>
      <c r="AM55" s="4"/>
      <c r="AN55" s="13"/>
      <c r="AO55" s="13"/>
      <c r="AP55" s="39">
        <v>17.5</v>
      </c>
      <c r="AQ55" s="32">
        <v>35282.894216847271</v>
      </c>
    </row>
    <row r="56" spans="2:43" ht="17.25" hidden="1">
      <c r="B56" s="125"/>
      <c r="C56" s="125"/>
      <c r="D56" s="125"/>
      <c r="E56" s="125"/>
      <c r="F56" s="125"/>
      <c r="G56" s="125"/>
      <c r="H56" s="125"/>
      <c r="I56" s="125"/>
      <c r="J56" s="125"/>
      <c r="K56" s="125"/>
      <c r="L56" s="125"/>
      <c r="M56" s="125"/>
      <c r="N56" s="125"/>
      <c r="O56" s="125"/>
      <c r="P56" s="125"/>
      <c r="Q56" s="125"/>
      <c r="R56" s="181"/>
      <c r="V56" s="250"/>
      <c r="W56" s="250"/>
      <c r="X56" s="250"/>
      <c r="Y56" s="250"/>
      <c r="Z56" s="250"/>
      <c r="AB56" s="80">
        <v>0.875</v>
      </c>
      <c r="AC56" s="62">
        <v>1.4350376039686246</v>
      </c>
      <c r="AD56" s="4"/>
      <c r="AE56" s="80">
        <v>0.875</v>
      </c>
      <c r="AF56" s="62">
        <v>5.0694101430623952</v>
      </c>
      <c r="AH56" s="90">
        <v>3.6</v>
      </c>
      <c r="AI56" s="62">
        <v>20536.743518083596</v>
      </c>
      <c r="AJ56" s="4"/>
      <c r="AK56" s="80">
        <v>0.875</v>
      </c>
      <c r="AL56" s="62">
        <v>4.4394730028210398</v>
      </c>
      <c r="AM56" s="4"/>
      <c r="AN56" s="13"/>
      <c r="AO56" s="13"/>
      <c r="AP56" s="39">
        <v>17.75</v>
      </c>
      <c r="AQ56" s="32">
        <v>36026.048383513931</v>
      </c>
    </row>
    <row r="57" spans="2:43" ht="18" hidden="1" thickBot="1">
      <c r="B57" s="125"/>
      <c r="C57" s="125"/>
      <c r="D57" s="125"/>
      <c r="E57" s="125"/>
      <c r="F57" s="125"/>
      <c r="G57" s="125"/>
      <c r="H57" s="125"/>
      <c r="I57" s="125"/>
      <c r="J57" s="125"/>
      <c r="K57" s="125"/>
      <c r="L57" s="125"/>
      <c r="M57" s="125"/>
      <c r="N57" s="125"/>
      <c r="O57" s="125"/>
      <c r="P57" s="125"/>
      <c r="Q57" s="125"/>
      <c r="R57" s="181"/>
      <c r="V57" s="250"/>
      <c r="W57" s="250"/>
      <c r="X57" s="250"/>
      <c r="Y57" s="250"/>
      <c r="Z57" s="250"/>
      <c r="AB57" s="80">
        <v>0.9</v>
      </c>
      <c r="AC57" s="62">
        <v>1.4051468290856421</v>
      </c>
      <c r="AD57" s="4"/>
      <c r="AE57" s="80">
        <v>0.9</v>
      </c>
      <c r="AF57" s="62">
        <v>4.9598868413321728</v>
      </c>
      <c r="AH57" s="90">
        <v>3.7</v>
      </c>
      <c r="AI57" s="62">
        <v>21594.568411833596</v>
      </c>
      <c r="AJ57" s="4"/>
      <c r="AK57" s="80">
        <v>0.9</v>
      </c>
      <c r="AL57" s="62">
        <v>4.3480067127620643</v>
      </c>
      <c r="AM57" s="4"/>
      <c r="AN57" s="13"/>
      <c r="AO57" s="13"/>
      <c r="AP57" s="39">
        <v>18</v>
      </c>
      <c r="AQ57" s="33">
        <v>36769.202550180598</v>
      </c>
    </row>
    <row r="58" spans="2:43" ht="17.25" hidden="1">
      <c r="B58" s="125"/>
      <c r="C58" s="125"/>
      <c r="D58" s="125"/>
      <c r="E58" s="125"/>
      <c r="F58" s="125"/>
      <c r="G58" s="125"/>
      <c r="H58" s="125"/>
      <c r="I58" s="125"/>
      <c r="J58" s="125"/>
      <c r="K58" s="125"/>
      <c r="L58" s="125"/>
      <c r="M58" s="125"/>
      <c r="N58" s="125"/>
      <c r="O58" s="125"/>
      <c r="P58" s="125"/>
      <c r="Q58" s="125"/>
      <c r="R58" s="181"/>
      <c r="V58" s="250"/>
      <c r="W58" s="250"/>
      <c r="X58" s="250"/>
      <c r="Y58" s="250"/>
      <c r="Z58" s="250"/>
      <c r="AA58" s="13"/>
      <c r="AB58" s="4"/>
      <c r="AC58" s="4"/>
      <c r="AD58" s="4"/>
      <c r="AE58" s="4"/>
      <c r="AF58" s="4"/>
    </row>
    <row r="59" spans="2:43" ht="17.25" hidden="1">
      <c r="B59" s="125"/>
      <c r="C59" s="125"/>
      <c r="D59" s="125"/>
      <c r="E59" s="125"/>
      <c r="F59" s="125"/>
      <c r="G59" s="125"/>
      <c r="H59" s="125"/>
      <c r="I59" s="125"/>
      <c r="J59" s="125"/>
      <c r="K59" s="125"/>
      <c r="L59" s="125"/>
      <c r="M59" s="125"/>
      <c r="N59" s="125"/>
      <c r="O59" s="125"/>
      <c r="P59" s="125"/>
      <c r="Q59" s="125"/>
      <c r="R59" s="181"/>
      <c r="V59" s="250"/>
      <c r="W59" s="250"/>
      <c r="X59" s="250"/>
      <c r="Y59" s="250"/>
      <c r="Z59" s="250"/>
      <c r="AA59" s="13"/>
      <c r="AB59" s="4"/>
      <c r="AC59" s="4"/>
      <c r="AD59" s="4"/>
      <c r="AE59" s="4"/>
      <c r="AF59" s="4"/>
    </row>
    <row r="60" spans="2:43" ht="17.25" hidden="1">
      <c r="B60" s="125"/>
      <c r="C60" s="125"/>
      <c r="D60" s="125"/>
      <c r="E60" s="125"/>
      <c r="F60" s="125"/>
      <c r="G60" s="125"/>
      <c r="H60" s="125"/>
      <c r="I60" s="125"/>
      <c r="J60" s="125"/>
      <c r="K60" s="125"/>
      <c r="L60" s="125"/>
      <c r="M60" s="125"/>
      <c r="N60" s="125"/>
      <c r="O60" s="125"/>
      <c r="P60" s="125"/>
      <c r="Q60" s="125"/>
      <c r="R60" s="181"/>
      <c r="S60" s="249"/>
      <c r="T60" s="250"/>
      <c r="U60" s="250"/>
      <c r="V60" s="250"/>
      <c r="W60" s="250"/>
      <c r="X60" s="250"/>
      <c r="Y60" s="250"/>
      <c r="Z60" s="250"/>
      <c r="AA60" s="13"/>
      <c r="AB60" s="4"/>
      <c r="AC60" s="4"/>
      <c r="AD60" s="4"/>
      <c r="AE60" s="4"/>
      <c r="AF60" s="4"/>
    </row>
    <row r="61" spans="2:43" ht="17.25" hidden="1">
      <c r="B61" s="125"/>
      <c r="C61" s="125"/>
      <c r="D61" s="125"/>
      <c r="E61" s="125"/>
      <c r="F61" s="125"/>
      <c r="G61" s="125"/>
      <c r="H61" s="125"/>
      <c r="I61" s="125"/>
      <c r="J61" s="125"/>
      <c r="K61" s="125"/>
      <c r="L61" s="125"/>
      <c r="M61" s="125"/>
      <c r="N61" s="125"/>
      <c r="O61" s="125"/>
      <c r="P61" s="125"/>
      <c r="Q61" s="125"/>
      <c r="R61" s="181"/>
      <c r="S61" s="249"/>
      <c r="T61" s="250"/>
      <c r="U61" s="250"/>
      <c r="V61" s="250"/>
      <c r="W61" s="250"/>
      <c r="X61" s="250"/>
      <c r="Y61" s="250"/>
      <c r="Z61" s="250"/>
      <c r="AA61" s="13"/>
      <c r="AB61" s="4"/>
      <c r="AC61" s="4"/>
      <c r="AD61" s="4"/>
      <c r="AE61" s="4"/>
      <c r="AF61" s="4"/>
    </row>
    <row r="62" spans="2:43" ht="17.25" hidden="1">
      <c r="B62" s="125"/>
      <c r="C62" s="125"/>
      <c r="D62" s="125"/>
      <c r="E62" s="125"/>
      <c r="F62" s="125"/>
      <c r="G62" s="125"/>
      <c r="H62" s="125"/>
      <c r="I62" s="125"/>
      <c r="J62" s="125"/>
      <c r="K62" s="125"/>
      <c r="L62" s="125"/>
      <c r="M62" s="125"/>
      <c r="N62" s="125"/>
      <c r="O62" s="125"/>
      <c r="P62" s="125"/>
      <c r="Q62" s="125"/>
      <c r="R62" s="181"/>
      <c r="S62" s="249"/>
      <c r="T62" s="250"/>
      <c r="U62" s="250"/>
      <c r="V62" s="250"/>
      <c r="W62" s="250"/>
      <c r="X62" s="250"/>
      <c r="Y62" s="250"/>
      <c r="Z62" s="250"/>
      <c r="AA62" s="13"/>
      <c r="AB62" s="4"/>
      <c r="AC62" s="4"/>
      <c r="AD62" s="4"/>
      <c r="AE62" s="4"/>
      <c r="AF62" s="4"/>
    </row>
    <row r="63" spans="2:43" ht="17.25" hidden="1">
      <c r="B63" s="125"/>
      <c r="C63" s="125"/>
      <c r="D63" s="125"/>
      <c r="E63" s="125"/>
      <c r="F63" s="125"/>
      <c r="G63" s="125"/>
      <c r="H63" s="125"/>
      <c r="I63" s="125"/>
      <c r="J63" s="125"/>
      <c r="K63" s="125"/>
      <c r="L63" s="125"/>
      <c r="M63" s="125"/>
      <c r="N63" s="125"/>
      <c r="O63" s="125"/>
      <c r="P63" s="125"/>
      <c r="Q63" s="125"/>
      <c r="R63" s="181"/>
      <c r="S63" s="249"/>
      <c r="T63" s="250"/>
      <c r="U63" s="250"/>
      <c r="V63" s="250"/>
      <c r="W63" s="250"/>
      <c r="X63" s="250"/>
      <c r="Y63" s="250"/>
      <c r="Z63" s="250"/>
      <c r="AA63" s="13"/>
      <c r="AB63" s="4"/>
      <c r="AC63" s="4"/>
      <c r="AD63" s="4"/>
      <c r="AE63" s="4"/>
      <c r="AF63" s="4"/>
    </row>
    <row r="64" spans="2:43" ht="18" hidden="1" thickBot="1">
      <c r="B64" s="125"/>
      <c r="C64" s="125"/>
      <c r="D64" s="125"/>
      <c r="E64" s="125"/>
      <c r="F64" s="125"/>
      <c r="G64" s="125"/>
      <c r="H64" s="125"/>
      <c r="I64" s="125"/>
      <c r="J64" s="125"/>
      <c r="K64" s="125"/>
      <c r="L64" s="125"/>
      <c r="M64" s="125"/>
      <c r="N64" s="125"/>
      <c r="O64" s="125"/>
      <c r="P64" s="125"/>
      <c r="Q64" s="125"/>
      <c r="R64" s="181"/>
      <c r="S64" s="249"/>
      <c r="T64" s="250"/>
      <c r="U64" s="250"/>
      <c r="V64" s="250"/>
      <c r="W64" s="250"/>
      <c r="X64" s="250"/>
      <c r="Y64" s="250"/>
      <c r="Z64" s="250"/>
      <c r="AA64" s="13"/>
      <c r="AB64" s="4"/>
      <c r="AC64" s="4"/>
      <c r="AD64" s="4"/>
      <c r="AE64" s="4"/>
      <c r="AF64" s="4"/>
    </row>
    <row r="65" spans="2:32" ht="17.25" hidden="1">
      <c r="B65" s="268" t="s">
        <v>317</v>
      </c>
      <c r="C65" s="269" t="s">
        <v>319</v>
      </c>
      <c r="D65" s="270" t="s">
        <v>320</v>
      </c>
      <c r="E65" s="270" t="s">
        <v>321</v>
      </c>
      <c r="F65" s="271" t="s">
        <v>322</v>
      </c>
      <c r="G65" s="125"/>
      <c r="H65" s="125"/>
      <c r="I65" s="125"/>
      <c r="J65" s="125"/>
      <c r="K65" s="125"/>
      <c r="L65" s="125"/>
      <c r="M65" s="125"/>
      <c r="N65" s="125"/>
      <c r="O65" s="125"/>
      <c r="P65" s="125"/>
      <c r="Q65" s="125"/>
      <c r="R65" s="181"/>
      <c r="S65" s="249"/>
      <c r="T65" s="250"/>
      <c r="U65" s="250"/>
      <c r="V65" s="250"/>
      <c r="W65" s="250"/>
      <c r="X65" s="250"/>
      <c r="Y65" s="250"/>
      <c r="Z65" s="250"/>
      <c r="AA65" s="13"/>
      <c r="AB65" s="4"/>
      <c r="AC65" s="4"/>
      <c r="AD65" s="4"/>
      <c r="AE65" s="4"/>
      <c r="AF65" s="4"/>
    </row>
    <row r="66" spans="2:32" ht="17.25" hidden="1">
      <c r="B66" s="272">
        <v>0</v>
      </c>
      <c r="C66" s="273">
        <f>'Capital Inputs'!F43</f>
        <v>423964</v>
      </c>
      <c r="D66" s="273">
        <v>0</v>
      </c>
      <c r="E66" s="273">
        <f>D66-C66</f>
        <v>-423964</v>
      </c>
      <c r="F66" s="274">
        <f>E66</f>
        <v>-423964</v>
      </c>
      <c r="G66" s="125"/>
      <c r="H66" s="125"/>
      <c r="I66" s="125"/>
      <c r="J66" s="125"/>
      <c r="K66" s="125"/>
      <c r="L66" s="125"/>
      <c r="M66" s="125"/>
      <c r="N66" s="125"/>
      <c r="O66" s="125"/>
      <c r="P66" s="125"/>
      <c r="Q66" s="125"/>
    </row>
    <row r="67" spans="2:32" ht="17.25" hidden="1">
      <c r="B67" s="272">
        <v>1</v>
      </c>
      <c r="C67" s="273">
        <f>'Cash flow for investments- Food'!C2</f>
        <v>0</v>
      </c>
      <c r="D67" s="273">
        <f>P9-P29-P31-P32</f>
        <v>98569.801861121276</v>
      </c>
      <c r="E67" s="273">
        <f t="shared" ref="E67:E75" si="18">D67-C67</f>
        <v>98569.801861121276</v>
      </c>
      <c r="F67" s="274">
        <f t="shared" ref="F67:F76" si="19">F66+E67</f>
        <v>-325394.19813887874</v>
      </c>
    </row>
    <row r="68" spans="2:32" ht="17.25" hidden="1">
      <c r="B68" s="272">
        <v>2</v>
      </c>
      <c r="C68" s="273">
        <f>'Cash flow for investments- Food'!C3</f>
        <v>0</v>
      </c>
      <c r="D68" s="273">
        <f t="shared" ref="D68:D76" si="20">D67</f>
        <v>98569.801861121276</v>
      </c>
      <c r="E68" s="273">
        <f t="shared" si="18"/>
        <v>98569.801861121276</v>
      </c>
      <c r="F68" s="274">
        <f t="shared" si="19"/>
        <v>-226824.39627775748</v>
      </c>
    </row>
    <row r="69" spans="2:32" ht="17.25" hidden="1">
      <c r="B69" s="272">
        <v>3</v>
      </c>
      <c r="C69" s="273">
        <f>'Cash flow for investments- Food'!C4</f>
        <v>0</v>
      </c>
      <c r="D69" s="273">
        <f t="shared" si="20"/>
        <v>98569.801861121276</v>
      </c>
      <c r="E69" s="273">
        <f t="shared" si="18"/>
        <v>98569.801861121276</v>
      </c>
      <c r="F69" s="274">
        <f t="shared" si="19"/>
        <v>-128254.5944166362</v>
      </c>
    </row>
    <row r="70" spans="2:32" ht="17.25" hidden="1">
      <c r="B70" s="272">
        <v>4</v>
      </c>
      <c r="C70" s="273">
        <f>'Cash flow for investments- Food'!C5</f>
        <v>0</v>
      </c>
      <c r="D70" s="273">
        <f t="shared" si="20"/>
        <v>98569.801861121276</v>
      </c>
      <c r="E70" s="273">
        <f t="shared" si="18"/>
        <v>98569.801861121276</v>
      </c>
      <c r="F70" s="274">
        <f t="shared" si="19"/>
        <v>-29684.792555514927</v>
      </c>
    </row>
    <row r="71" spans="2:32" ht="17.25" hidden="1">
      <c r="B71" s="272">
        <v>5</v>
      </c>
      <c r="C71" s="273">
        <f>'Cash flow for investments- Food'!C6</f>
        <v>414</v>
      </c>
      <c r="D71" s="273">
        <f t="shared" si="20"/>
        <v>98569.801861121276</v>
      </c>
      <c r="E71" s="273">
        <f t="shared" si="18"/>
        <v>98155.801861121276</v>
      </c>
      <c r="F71" s="274">
        <f t="shared" si="19"/>
        <v>68471.009305606349</v>
      </c>
    </row>
    <row r="72" spans="2:32" ht="17.25" hidden="1">
      <c r="B72" s="272">
        <v>6</v>
      </c>
      <c r="C72" s="273">
        <f>'Cash flow for investments- Food'!C7</f>
        <v>0</v>
      </c>
      <c r="D72" s="273">
        <f t="shared" si="20"/>
        <v>98569.801861121276</v>
      </c>
      <c r="E72" s="273">
        <f t="shared" si="18"/>
        <v>98569.801861121276</v>
      </c>
      <c r="F72" s="274">
        <f t="shared" si="19"/>
        <v>167040.81116672762</v>
      </c>
    </row>
    <row r="73" spans="2:32" ht="17.25" hidden="1">
      <c r="B73" s="272">
        <v>7</v>
      </c>
      <c r="C73" s="273">
        <f>'Cash flow for investments- Food'!C8</f>
        <v>2000</v>
      </c>
      <c r="D73" s="273">
        <f t="shared" si="20"/>
        <v>98569.801861121276</v>
      </c>
      <c r="E73" s="273">
        <f t="shared" si="18"/>
        <v>96569.801861121276</v>
      </c>
      <c r="F73" s="274">
        <f t="shared" si="19"/>
        <v>263610.61302784889</v>
      </c>
    </row>
    <row r="74" spans="2:32" ht="17.25" hidden="1">
      <c r="B74" s="272">
        <v>8</v>
      </c>
      <c r="C74" s="273">
        <f>'Cash flow for investments- Food'!C9</f>
        <v>1750</v>
      </c>
      <c r="D74" s="273">
        <f t="shared" si="20"/>
        <v>98569.801861121276</v>
      </c>
      <c r="E74" s="273">
        <f t="shared" si="18"/>
        <v>96819.801861121276</v>
      </c>
      <c r="F74" s="274">
        <f t="shared" si="19"/>
        <v>360430.41488897015</v>
      </c>
    </row>
    <row r="75" spans="2:32" ht="17.25" hidden="1">
      <c r="B75" s="272">
        <v>9</v>
      </c>
      <c r="C75" s="273">
        <f>'Cash flow for investments- Food'!C10</f>
        <v>0</v>
      </c>
      <c r="D75" s="273">
        <f t="shared" si="20"/>
        <v>98569.801861121276</v>
      </c>
      <c r="E75" s="273">
        <f t="shared" si="18"/>
        <v>98569.801861121276</v>
      </c>
      <c r="F75" s="274">
        <f t="shared" si="19"/>
        <v>459000.21675009141</v>
      </c>
    </row>
    <row r="76" spans="2:32" ht="17.25" hidden="1">
      <c r="B76" s="272">
        <v>10</v>
      </c>
      <c r="C76" s="273">
        <f>'Cash flow for investments- Food'!C11</f>
        <v>57503.075000000004</v>
      </c>
      <c r="D76" s="273">
        <f t="shared" si="20"/>
        <v>98569.801861121276</v>
      </c>
      <c r="E76" s="273">
        <f>D76-C76+D77</f>
        <v>376431.71733731177</v>
      </c>
      <c r="F76" s="274">
        <f t="shared" si="19"/>
        <v>835431.93408740312</v>
      </c>
    </row>
    <row r="77" spans="2:32" ht="18" hidden="1" thickBot="1">
      <c r="B77" s="275" t="s">
        <v>323</v>
      </c>
      <c r="C77" s="276"/>
      <c r="D77" s="276">
        <f>'Cash flow for investments- Food'!C12</f>
        <v>335364.99047619052</v>
      </c>
      <c r="E77" s="276"/>
      <c r="F77" s="277"/>
    </row>
    <row r="78" spans="2:32" ht="17.25" hidden="1"/>
    <row r="79" spans="2:32" ht="17.25" hidden="1"/>
    <row r="80" spans="2:32" ht="17.25" hidden="1"/>
    <row r="81" ht="17.25" hidden="1"/>
    <row r="82" ht="17.25" hidden="1"/>
    <row r="83" ht="17.25" hidden="1"/>
    <row r="84" ht="17.25" hidden="1"/>
    <row r="85" ht="17.25" hidden="1"/>
    <row r="86" ht="17.25" hidden="1"/>
    <row r="87" ht="17.25" hidden="1"/>
    <row r="88" ht="17.25" hidden="1"/>
    <row r="89" ht="17.25" hidden="1"/>
    <row r="90" ht="17.25" hidden="1"/>
    <row r="91" ht="17.25" hidden="1"/>
    <row r="92" ht="17.25" hidden="1"/>
    <row r="94" ht="17.25" hidden="1"/>
    <row r="95" ht="17.25" hidden="1"/>
  </sheetData>
  <sheetProtection sheet="1" objects="1" scenarios="1"/>
  <mergeCells count="9">
    <mergeCell ref="X2:X3"/>
    <mergeCell ref="Y2:Y3"/>
    <mergeCell ref="T3:U3"/>
    <mergeCell ref="T4:U4"/>
    <mergeCell ref="B3:Q3"/>
    <mergeCell ref="I4:M4"/>
    <mergeCell ref="N4:Q4"/>
    <mergeCell ref="D4:H4"/>
    <mergeCell ref="W2:W3"/>
  </mergeCells>
  <conditionalFormatting sqref="AI58:AO411">
    <cfRule type="duplicateValues" dxfId="2" priority="3"/>
  </conditionalFormatting>
  <hyperlinks>
    <hyperlink ref="AB15" r:id="rId1" display="https://keofishfarm.com/6-hybrid-striped-bass" xr:uid="{84FDA3D2-96DA-4BD1-BE7A-7B382A74D9AB}"/>
    <hyperlink ref="AF18" r:id="rId2" display="https://harborfish.com/product/fresh-hybrid-bass-whole/" xr:uid="{B1466B5E-5E78-4550-BD31-969138258EE2}"/>
    <hyperlink ref="AF19" r:id="rId3" display="https://sunfishfishfarms.com/products/hybrid-striped-bass-wiper?srsltid=AfmBOoryhFNEik2PtgddvqTz64nw1u5y4bt2pCxE-_xPuVyq_1ViqGql&amp;variant=41381104484551" xr:uid="{D75BFAA0-D890-4FD3-B131-762BCE18EC33}"/>
    <hyperlink ref="AB16" r:id="rId4" display="https://shop.joneslakemanagement.com/products/hybrid-striped-bass?variant=5538920595498" xr:uid="{93BFBB37-8458-412B-A6C4-CE4260A625ED}"/>
    <hyperlink ref="AA9" r:id="rId5" display="https://marine-aquaculture.extension.org/wp-content/uploads/2019/05/Hybrid_Striped_Bass_Production_in_Ponds_Enterprise_Budget.pdf" xr:uid="{AB0BBA80-3896-4412-A5D5-F38E5A81B8C7}"/>
    <hyperlink ref="AA12" r:id="rId6" xr:uid="{9CBF395E-C813-4DE0-A68C-0A6998FB637A}"/>
    <hyperlink ref="AA7" r:id="rId7" display="https://marine-aquaculture.extension.org/wp-content/uploads/2019/05/Hybrid_Striped_Bass_Production_in_Ponds_Enterprise_Budget.pdf" xr:uid="{A434064B-DD29-4681-8CDB-EBB39A70F6D7}"/>
    <hyperlink ref="AA5" r:id="rId8" display="https://marine-aquaculture.extension.org/wp-content/uploads/2019/05/Hybrid_Striped_Bass_Production_in_Ponds_Enterprise_Budget.pdf" xr:uid="{4C5F7195-CA06-4E4C-92FF-49C80EEF1529}"/>
    <hyperlink ref="AA6" r:id="rId9" display="https://marine-aquaculture.extension.org/wp-content/uploads/2019/05/Hybrid_Striped_Bass_Production_in_Ponds_Enterprise_Budget.pdf" xr:uid="{A988E00F-6923-4A8B-B543-E2021E7D79C3}"/>
    <hyperlink ref="AA15" r:id="rId10" display="https://keofishfarm.com/2-hybrid-striped-bass" xr:uid="{2E1A9F3F-8437-48F8-A342-A583BADF28B4}"/>
  </hyperlinks>
  <pageMargins left="0.7" right="0.7" top="0.75" bottom="0.75" header="0.3" footer="0.3"/>
  <pageSetup orientation="portrait" r:id="rId1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C1FFA-3B53-409D-956E-33D008469F87}">
  <sheetPr codeName="Sheet12"/>
  <dimension ref="A1:BA76"/>
  <sheetViews>
    <sheetView showGridLines="0" zoomScale="85" zoomScaleNormal="85" workbookViewId="0">
      <selection activeCell="N26" sqref="N26"/>
    </sheetView>
  </sheetViews>
  <sheetFormatPr defaultColWidth="0" defaultRowHeight="8.25" customHeight="1"/>
  <cols>
    <col min="1" max="1" width="2.33203125" style="48" customWidth="1"/>
    <col min="2" max="2" width="40.44140625" style="48" customWidth="1"/>
    <col min="3" max="3" width="10.77734375" style="48" customWidth="1"/>
    <col min="4" max="4" width="13.109375" style="48" customWidth="1"/>
    <col min="5" max="7" width="10.77734375" style="48" customWidth="1"/>
    <col min="8" max="8" width="9.77734375" style="48" customWidth="1"/>
    <col min="9" max="9" width="12.44140625" style="48" customWidth="1"/>
    <col min="10" max="12" width="10.77734375" style="5" customWidth="1"/>
    <col min="13" max="13" width="9.77734375" style="5" customWidth="1"/>
    <col min="14" max="16" width="10.77734375" style="5" customWidth="1"/>
    <col min="17" max="17" width="9.77734375" style="5" customWidth="1"/>
    <col min="18" max="18" width="10.77734375" style="5" customWidth="1"/>
    <col min="19" max="19" width="35.77734375" style="5" customWidth="1"/>
    <col min="20" max="21" width="11.77734375" style="5" customWidth="1"/>
    <col min="22" max="22" width="3.33203125" style="48" customWidth="1"/>
    <col min="23" max="23" width="23.77734375" style="48" customWidth="1"/>
    <col min="24" max="24" width="12.5546875" style="48" customWidth="1"/>
    <col min="25" max="25" width="13.6640625" style="48" customWidth="1"/>
    <col min="26" max="26" width="19.33203125" style="48" customWidth="1"/>
    <col min="27" max="27" width="27.77734375" style="48" bestFit="1" customWidth="1"/>
    <col min="28" max="28" width="29.77734375" style="48" bestFit="1" customWidth="1"/>
    <col min="29" max="29" width="30.21875" style="48" bestFit="1" customWidth="1"/>
    <col min="30" max="30" width="12.33203125" style="48" customWidth="1"/>
    <col min="31" max="31" width="29.77734375" style="48" bestFit="1" customWidth="1"/>
    <col min="32" max="32" width="18" style="48" customWidth="1"/>
    <col min="33" max="33" width="36" style="48" bestFit="1" customWidth="1"/>
    <col min="34" max="34" width="51.21875" style="48" bestFit="1" customWidth="1"/>
    <col min="35" max="35" width="10" style="48" bestFit="1" customWidth="1"/>
    <col min="36" max="36" width="22.88671875" style="5" customWidth="1"/>
    <col min="37" max="37" width="51.21875" style="5" bestFit="1" customWidth="1"/>
    <col min="38" max="53" width="0" style="5" hidden="1" customWidth="1"/>
    <col min="54" max="16384" width="8.88671875" style="5" hidden="1"/>
  </cols>
  <sheetData>
    <row r="1" spans="1:35" ht="16.5" customHeight="1"/>
    <row r="2" spans="1:35" ht="21.75" customHeight="1">
      <c r="A2" s="5"/>
      <c r="B2" s="707" t="s">
        <v>423</v>
      </c>
      <c r="C2" s="707"/>
      <c r="D2" s="707"/>
      <c r="E2" s="707"/>
      <c r="F2" s="707"/>
      <c r="G2" s="707"/>
      <c r="H2" s="707"/>
      <c r="I2" s="707"/>
      <c r="J2" s="707"/>
      <c r="K2" s="707"/>
      <c r="L2" s="707"/>
      <c r="M2" s="707"/>
      <c r="N2" s="707"/>
      <c r="O2" s="707"/>
      <c r="P2" s="707"/>
      <c r="Q2" s="707"/>
      <c r="W2" s="725" t="s">
        <v>150</v>
      </c>
      <c r="X2" s="727" t="s">
        <v>412</v>
      </c>
      <c r="Y2" s="727" t="s">
        <v>413</v>
      </c>
      <c r="AF2" s="5"/>
      <c r="AG2" s="5"/>
      <c r="AH2" s="5"/>
      <c r="AI2" s="5"/>
    </row>
    <row r="3" spans="1:35" ht="16.5" customHeight="1">
      <c r="A3" s="5"/>
      <c r="B3" s="355"/>
      <c r="C3" s="356"/>
      <c r="D3" s="729" t="s">
        <v>168</v>
      </c>
      <c r="E3" s="729"/>
      <c r="F3" s="729"/>
      <c r="G3" s="729"/>
      <c r="H3" s="730"/>
      <c r="I3" s="731" t="s">
        <v>169</v>
      </c>
      <c r="J3" s="729"/>
      <c r="K3" s="729"/>
      <c r="L3" s="729"/>
      <c r="M3" s="730"/>
      <c r="N3" s="731" t="s">
        <v>141</v>
      </c>
      <c r="O3" s="729"/>
      <c r="P3" s="729"/>
      <c r="Q3" s="730"/>
      <c r="R3" s="27"/>
      <c r="S3" s="125" t="s">
        <v>409</v>
      </c>
      <c r="T3" s="719"/>
      <c r="U3" s="719"/>
      <c r="V3" s="181"/>
      <c r="W3" s="726"/>
      <c r="X3" s="728"/>
      <c r="Y3" s="728"/>
      <c r="Z3" s="181"/>
      <c r="AB3" s="88"/>
      <c r="AC3" s="88"/>
      <c r="AD3" s="89"/>
      <c r="AE3" s="89"/>
      <c r="AF3" s="5"/>
      <c r="AG3" s="5"/>
      <c r="AH3" s="5"/>
      <c r="AI3" s="5"/>
    </row>
    <row r="4" spans="1:35" ht="16.5" customHeight="1">
      <c r="A4" s="5"/>
      <c r="B4" s="357" t="s">
        <v>31</v>
      </c>
      <c r="C4" s="324" t="s">
        <v>2</v>
      </c>
      <c r="D4" s="280" t="s">
        <v>143</v>
      </c>
      <c r="E4" s="280" t="s">
        <v>32</v>
      </c>
      <c r="F4" s="280" t="s">
        <v>33</v>
      </c>
      <c r="G4" s="280" t="s">
        <v>144</v>
      </c>
      <c r="H4" s="324" t="s">
        <v>214</v>
      </c>
      <c r="I4" s="331" t="s">
        <v>143</v>
      </c>
      <c r="J4" s="280" t="s">
        <v>32</v>
      </c>
      <c r="K4" s="280" t="s">
        <v>33</v>
      </c>
      <c r="L4" s="280" t="s">
        <v>144</v>
      </c>
      <c r="M4" s="324" t="s">
        <v>214</v>
      </c>
      <c r="N4" s="331" t="s">
        <v>126</v>
      </c>
      <c r="O4" s="280" t="s">
        <v>127</v>
      </c>
      <c r="P4" s="280" t="s">
        <v>424</v>
      </c>
      <c r="Q4" s="324" t="s">
        <v>214</v>
      </c>
      <c r="S4" s="196" t="s">
        <v>31</v>
      </c>
      <c r="T4" s="251" t="s">
        <v>410</v>
      </c>
      <c r="U4" s="251" t="s">
        <v>411</v>
      </c>
      <c r="V4" s="176"/>
      <c r="W4" s="254" t="s">
        <v>383</v>
      </c>
      <c r="X4" s="254" t="s">
        <v>395</v>
      </c>
      <c r="Y4" s="254" t="s">
        <v>395</v>
      </c>
      <c r="Z4" s="176"/>
      <c r="AA4" s="77"/>
      <c r="AB4" s="77"/>
      <c r="AC4" s="77"/>
      <c r="AE4" s="88"/>
      <c r="AF4" s="5"/>
      <c r="AG4" s="5"/>
      <c r="AH4" s="5"/>
      <c r="AI4" s="5"/>
    </row>
    <row r="5" spans="1:35" ht="16.5" customHeight="1">
      <c r="A5" s="5"/>
      <c r="B5" s="343" t="s">
        <v>88</v>
      </c>
      <c r="C5" s="327"/>
      <c r="D5" s="125"/>
      <c r="E5" s="125"/>
      <c r="F5" s="138"/>
      <c r="G5" s="138"/>
      <c r="H5" s="325"/>
      <c r="I5" s="332"/>
      <c r="J5" s="138"/>
      <c r="K5" s="125"/>
      <c r="L5" s="125"/>
      <c r="M5" s="325"/>
      <c r="N5" s="344" t="str">
        <f>ROUND(C42,2) &amp; " acres"</f>
        <v>2.53 acres</v>
      </c>
      <c r="O5" s="318" t="str">
        <f>ROUND(D42,2) &amp; " acres"</f>
        <v>9.47 acres</v>
      </c>
      <c r="P5" s="318" t="str">
        <f>ROUND(E42,2) &amp; " acres"</f>
        <v>12 acres</v>
      </c>
      <c r="Q5" s="325"/>
      <c r="S5" s="193" t="s">
        <v>124</v>
      </c>
      <c r="T5" s="200">
        <v>30000</v>
      </c>
      <c r="U5" s="200">
        <v>8000</v>
      </c>
      <c r="V5" s="177" t="s">
        <v>216</v>
      </c>
      <c r="W5" s="249">
        <f t="shared" ref="W5:W37" si="0">AA25</f>
        <v>0.1</v>
      </c>
      <c r="X5" s="250">
        <f t="shared" ref="X5:X37" si="1">AB25</f>
        <v>18.148869915545031</v>
      </c>
      <c r="Y5" s="250">
        <f t="shared" ref="Y5:Y37" si="2">AE25</f>
        <v>46.080660515937154</v>
      </c>
      <c r="Z5" s="177"/>
      <c r="AA5" s="76"/>
      <c r="AB5" s="77"/>
      <c r="AC5" s="77"/>
      <c r="AE5" s="77"/>
      <c r="AF5" s="5"/>
      <c r="AG5" s="5"/>
      <c r="AH5" s="5"/>
      <c r="AI5" s="5"/>
    </row>
    <row r="6" spans="1:35" ht="16.5" customHeight="1">
      <c r="A6" s="5"/>
      <c r="B6" s="332" t="s">
        <v>285</v>
      </c>
      <c r="C6" s="350" t="s">
        <v>41</v>
      </c>
      <c r="D6" s="136">
        <f>T16</f>
        <v>3</v>
      </c>
      <c r="E6" s="141">
        <f>E11*T12</f>
        <v>24000</v>
      </c>
      <c r="F6" s="170">
        <f>D6*E6</f>
        <v>72000</v>
      </c>
      <c r="G6" s="239">
        <f>D6</f>
        <v>3</v>
      </c>
      <c r="H6" s="398">
        <f>F6/$F$6</f>
        <v>1</v>
      </c>
      <c r="I6" s="332">
        <f>U16</f>
        <v>8</v>
      </c>
      <c r="J6" s="138">
        <f>J11*U12</f>
        <v>6000</v>
      </c>
      <c r="K6" s="170">
        <f>I6*J6</f>
        <v>48000</v>
      </c>
      <c r="L6" s="239">
        <f>K6/$J$6</f>
        <v>8</v>
      </c>
      <c r="M6" s="398">
        <f>K6/$K$6</f>
        <v>1</v>
      </c>
      <c r="N6" s="170"/>
      <c r="O6" s="170">
        <f>K6*$D$42</f>
        <v>454736.84210526315</v>
      </c>
      <c r="P6" s="170">
        <f>O6</f>
        <v>454736.84210526315</v>
      </c>
      <c r="Q6" s="398">
        <f>P6/$P$6</f>
        <v>1</v>
      </c>
      <c r="S6" s="193" t="s">
        <v>140</v>
      </c>
      <c r="T6" s="234">
        <v>6</v>
      </c>
      <c r="U6" s="234">
        <v>5</v>
      </c>
      <c r="V6" s="177"/>
      <c r="W6" s="249">
        <f t="shared" si="0"/>
        <v>0.125</v>
      </c>
      <c r="X6" s="250">
        <f t="shared" si="1"/>
        <v>14.615951530009772</v>
      </c>
      <c r="Y6" s="250">
        <f t="shared" si="2"/>
        <v>37.106931278088268</v>
      </c>
      <c r="Z6" s="177"/>
      <c r="AA6" s="75"/>
      <c r="AB6" s="76"/>
      <c r="AC6" s="76"/>
      <c r="AE6" s="77"/>
      <c r="AF6" s="5"/>
      <c r="AG6" s="5"/>
      <c r="AH6" s="5"/>
      <c r="AI6" s="5"/>
    </row>
    <row r="7" spans="1:35" ht="16.5" customHeight="1">
      <c r="A7" s="5"/>
      <c r="B7" s="332" t="s">
        <v>35</v>
      </c>
      <c r="C7" s="350" t="s">
        <v>16</v>
      </c>
      <c r="D7" s="136">
        <f>'Operating Inputs'!$D$25</f>
        <v>1.5</v>
      </c>
      <c r="E7" s="137">
        <f>E6*T13/T18*T19</f>
        <v>3174.6527999999994</v>
      </c>
      <c r="F7" s="171">
        <f>D7*E7</f>
        <v>4761.9791999999989</v>
      </c>
      <c r="G7" s="240">
        <f>F7/$E$6</f>
        <v>0.19841579999999995</v>
      </c>
      <c r="H7" s="399">
        <f t="shared" ref="H7:H35" si="3">F7/$F$6</f>
        <v>6.6138599999999978E-2</v>
      </c>
      <c r="I7" s="333">
        <f>'Operating Inputs'!$D$25</f>
        <v>1.5</v>
      </c>
      <c r="J7" s="138">
        <f>J6*U13/U18*U19</f>
        <v>1440</v>
      </c>
      <c r="K7" s="171">
        <f>I7*J7</f>
        <v>2160</v>
      </c>
      <c r="L7" s="240">
        <f>K7/$J$6</f>
        <v>0.36</v>
      </c>
      <c r="M7" s="399">
        <f t="shared" ref="M7:M35" si="4">K7/$K$6</f>
        <v>4.4999999999999998E-2</v>
      </c>
      <c r="N7" s="171"/>
      <c r="O7" s="171">
        <f>K7*$D$42</f>
        <v>20463.15789473684</v>
      </c>
      <c r="P7" s="171">
        <f>O7</f>
        <v>20463.15789473684</v>
      </c>
      <c r="Q7" s="399">
        <f t="shared" ref="Q7:Q35" si="5">P7/$P$6</f>
        <v>4.4999999999999998E-2</v>
      </c>
      <c r="S7" s="125" t="s">
        <v>130</v>
      </c>
      <c r="T7" s="201">
        <v>2.5</v>
      </c>
      <c r="U7" s="201">
        <v>2.5</v>
      </c>
      <c r="V7" s="177"/>
      <c r="W7" s="249">
        <f t="shared" si="0"/>
        <v>0.15</v>
      </c>
      <c r="X7" s="250">
        <f t="shared" si="1"/>
        <v>12.260672606319604</v>
      </c>
      <c r="Y7" s="250">
        <f t="shared" si="2"/>
        <v>31.124445119522338</v>
      </c>
      <c r="Z7" s="177"/>
      <c r="AA7" s="75"/>
      <c r="AB7" s="75"/>
      <c r="AC7" s="76"/>
      <c r="AE7" s="76"/>
      <c r="AF7" s="5"/>
      <c r="AG7" s="5"/>
      <c r="AH7" s="5"/>
      <c r="AI7" s="5"/>
    </row>
    <row r="8" spans="1:35" ht="16.5" customHeight="1">
      <c r="A8" s="5"/>
      <c r="B8" s="358" t="s">
        <v>89</v>
      </c>
      <c r="C8" s="350"/>
      <c r="D8" s="136"/>
      <c r="E8" s="125"/>
      <c r="F8" s="305">
        <f>F6-F7</f>
        <v>67238.020799999998</v>
      </c>
      <c r="G8" s="241">
        <f>F8/$E$6</f>
        <v>2.8015841999999997</v>
      </c>
      <c r="H8" s="400">
        <f t="shared" si="3"/>
        <v>0.93386139999999995</v>
      </c>
      <c r="I8" s="334"/>
      <c r="J8" s="138"/>
      <c r="K8" s="305">
        <f>K6-K7</f>
        <v>45840</v>
      </c>
      <c r="L8" s="241">
        <f>K8/$J$6</f>
        <v>7.64</v>
      </c>
      <c r="M8" s="400">
        <f t="shared" si="4"/>
        <v>0.95499999999999996</v>
      </c>
      <c r="N8" s="305"/>
      <c r="O8" s="305">
        <f>K8*$D$42</f>
        <v>434273.68421052629</v>
      </c>
      <c r="P8" s="305">
        <f>P6-P7</f>
        <v>434273.68421052629</v>
      </c>
      <c r="Q8" s="400">
        <f t="shared" si="5"/>
        <v>0.95499999999999996</v>
      </c>
      <c r="S8" s="125" t="s">
        <v>213</v>
      </c>
      <c r="T8" s="201">
        <v>2000</v>
      </c>
      <c r="U8" s="201">
        <v>1800</v>
      </c>
      <c r="V8" s="177"/>
      <c r="W8" s="249">
        <f t="shared" si="0"/>
        <v>0.17499999999999999</v>
      </c>
      <c r="X8" s="250">
        <f t="shared" si="1"/>
        <v>10.578330517969482</v>
      </c>
      <c r="Y8" s="250">
        <f t="shared" si="2"/>
        <v>26.851240720546681</v>
      </c>
      <c r="Z8" s="177"/>
      <c r="AA8" s="76"/>
      <c r="AB8" s="75"/>
      <c r="AC8" s="75"/>
      <c r="AE8" s="76"/>
      <c r="AF8" s="5"/>
      <c r="AG8" s="5"/>
      <c r="AH8" s="5"/>
      <c r="AI8" s="5"/>
    </row>
    <row r="9" spans="1:35" ht="16.5" customHeight="1">
      <c r="A9" s="5"/>
      <c r="B9" s="339" t="s">
        <v>37</v>
      </c>
      <c r="C9" s="350"/>
      <c r="D9" s="136"/>
      <c r="E9" s="125"/>
      <c r="F9" s="170"/>
      <c r="G9" s="241"/>
      <c r="H9" s="400"/>
      <c r="I9" s="332"/>
      <c r="J9" s="138"/>
      <c r="K9" s="170"/>
      <c r="L9" s="166"/>
      <c r="M9" s="400"/>
      <c r="N9" s="170"/>
      <c r="O9" s="170"/>
      <c r="P9" s="170"/>
      <c r="Q9" s="400"/>
      <c r="S9" s="193" t="s">
        <v>119</v>
      </c>
      <c r="T9" s="201">
        <v>0</v>
      </c>
      <c r="U9" s="201">
        <v>0</v>
      </c>
      <c r="V9" s="177"/>
      <c r="W9" s="249">
        <f t="shared" si="0"/>
        <v>0.2</v>
      </c>
      <c r="X9" s="250">
        <f t="shared" si="1"/>
        <v>9.3165739517068893</v>
      </c>
      <c r="Y9" s="250">
        <f t="shared" si="2"/>
        <v>23.646337421314929</v>
      </c>
      <c r="Z9" s="177"/>
      <c r="AA9" s="76"/>
      <c r="AB9" s="76"/>
      <c r="AD9" s="84"/>
      <c r="AF9" s="5"/>
      <c r="AG9" s="5"/>
      <c r="AH9" s="5"/>
      <c r="AI9" s="5"/>
    </row>
    <row r="10" spans="1:35" ht="16.5" customHeight="1">
      <c r="A10" s="5"/>
      <c r="B10" s="332" t="s">
        <v>38</v>
      </c>
      <c r="C10" s="350" t="s">
        <v>39</v>
      </c>
      <c r="D10" s="259">
        <f>T8</f>
        <v>2000</v>
      </c>
      <c r="E10" s="259">
        <f>AVERAGE(E6,E11)*T13*T7/2000</f>
        <v>7.4405925000000011</v>
      </c>
      <c r="F10" s="170">
        <f>D10*E10</f>
        <v>14881.185000000001</v>
      </c>
      <c r="G10" s="239">
        <f>F10/$E$6</f>
        <v>0.62004937500000001</v>
      </c>
      <c r="H10" s="398">
        <f t="shared" si="3"/>
        <v>0.20668312500000002</v>
      </c>
      <c r="I10" s="332">
        <f>U8</f>
        <v>1800</v>
      </c>
      <c r="J10" s="138">
        <f>AVERAGE(J6,J11)*(U13-T13)*U7/2000</f>
        <v>5.0709575000000013</v>
      </c>
      <c r="K10" s="170">
        <f>I10*J10</f>
        <v>9127.7235000000019</v>
      </c>
      <c r="L10" s="239">
        <f>K10/$J$6</f>
        <v>1.5212872500000003</v>
      </c>
      <c r="M10" s="398">
        <f t="shared" si="4"/>
        <v>0.19016090625000004</v>
      </c>
      <c r="N10" s="170">
        <f>F10*$C$42</f>
        <v>37594.572631578951</v>
      </c>
      <c r="O10" s="170">
        <f>K10*$D$42</f>
        <v>86473.170000000013</v>
      </c>
      <c r="P10" s="170">
        <f>SUM(N10:O10)</f>
        <v>124067.74263157896</v>
      </c>
      <c r="Q10" s="398">
        <f t="shared" si="5"/>
        <v>0.27283415625000007</v>
      </c>
      <c r="S10" s="193" t="s">
        <v>137</v>
      </c>
      <c r="T10" s="201">
        <v>1000</v>
      </c>
      <c r="U10" s="201">
        <v>500</v>
      </c>
      <c r="V10" s="178"/>
      <c r="W10" s="249">
        <f t="shared" si="0"/>
        <v>0.22500000000000001</v>
      </c>
      <c r="X10" s="250">
        <f t="shared" si="1"/>
        <v>8.3352077335026511</v>
      </c>
      <c r="Y10" s="250">
        <f t="shared" si="2"/>
        <v>21.153634855245798</v>
      </c>
      <c r="Z10" s="178"/>
      <c r="AA10" s="76"/>
      <c r="AB10" s="76"/>
      <c r="AC10" s="48" t="s">
        <v>103</v>
      </c>
      <c r="AF10" s="5"/>
      <c r="AG10" s="5"/>
      <c r="AH10" s="5"/>
      <c r="AI10" s="5"/>
    </row>
    <row r="11" spans="1:35" ht="16.5" customHeight="1">
      <c r="A11" s="5"/>
      <c r="B11" s="332" t="s">
        <v>125</v>
      </c>
      <c r="C11" s="350" t="s">
        <v>41</v>
      </c>
      <c r="D11" s="136">
        <f>T15</f>
        <v>1.3</v>
      </c>
      <c r="E11" s="259">
        <f>T5</f>
        <v>30000</v>
      </c>
      <c r="F11" s="170">
        <f>E11*T15</f>
        <v>39000</v>
      </c>
      <c r="G11" s="239">
        <f>F11/$E$6</f>
        <v>1.625</v>
      </c>
      <c r="H11" s="398">
        <f t="shared" si="3"/>
        <v>0.54166666666666663</v>
      </c>
      <c r="I11" s="335">
        <f>T16</f>
        <v>3</v>
      </c>
      <c r="J11" s="138">
        <f>U5</f>
        <v>8000</v>
      </c>
      <c r="K11" s="170">
        <f>I11*J11</f>
        <v>24000</v>
      </c>
      <c r="L11" s="239">
        <f t="shared" ref="L11:L16" si="6">K11/$J$6</f>
        <v>4</v>
      </c>
      <c r="M11" s="398">
        <f t="shared" si="4"/>
        <v>0.5</v>
      </c>
      <c r="N11" s="170">
        <f>F11*$C$42</f>
        <v>98526.31578947368</v>
      </c>
      <c r="O11" s="170"/>
      <c r="P11" s="170">
        <f>N11</f>
        <v>98526.31578947368</v>
      </c>
      <c r="Q11" s="398">
        <f t="shared" si="5"/>
        <v>0.21666666666666667</v>
      </c>
      <c r="S11" s="193" t="s">
        <v>209</v>
      </c>
      <c r="T11" s="201">
        <v>1000</v>
      </c>
      <c r="U11" s="201">
        <v>1000</v>
      </c>
      <c r="V11" s="178"/>
      <c r="W11" s="249">
        <f t="shared" si="0"/>
        <v>0.25</v>
      </c>
      <c r="X11" s="250">
        <f t="shared" si="1"/>
        <v>7.5501147589392623</v>
      </c>
      <c r="Y11" s="250">
        <f t="shared" si="2"/>
        <v>19.159472802390489</v>
      </c>
      <c r="Z11" s="178"/>
      <c r="AA11" s="76"/>
      <c r="AB11" s="76"/>
      <c r="AC11" s="48" t="s">
        <v>100</v>
      </c>
      <c r="AD11" s="70">
        <v>1068.5999999999999</v>
      </c>
      <c r="AE11" s="48" t="s">
        <v>101</v>
      </c>
      <c r="AF11" s="5"/>
      <c r="AG11" s="5"/>
      <c r="AH11" s="5"/>
      <c r="AI11" s="5"/>
    </row>
    <row r="12" spans="1:35" ht="16.5" customHeight="1">
      <c r="A12" s="5"/>
      <c r="B12" s="332" t="s">
        <v>6</v>
      </c>
      <c r="C12" s="349"/>
      <c r="D12" s="136"/>
      <c r="E12" s="259"/>
      <c r="F12" s="170">
        <f>'Operating Inputs'!D7</f>
        <v>150</v>
      </c>
      <c r="G12" s="239">
        <f>F12/$E$6</f>
        <v>6.2500000000000003E-3</v>
      </c>
      <c r="H12" s="398">
        <f t="shared" si="3"/>
        <v>2.0833333333333333E-3</v>
      </c>
      <c r="I12" s="332"/>
      <c r="J12" s="138"/>
      <c r="K12" s="170">
        <f>'Operating Inputs'!D7</f>
        <v>150</v>
      </c>
      <c r="L12" s="239">
        <f t="shared" si="6"/>
        <v>2.5000000000000001E-2</v>
      </c>
      <c r="M12" s="398">
        <f t="shared" si="4"/>
        <v>3.1250000000000002E-3</v>
      </c>
      <c r="N12" s="170">
        <f>F12*$C$42</f>
        <v>378.9473684210526</v>
      </c>
      <c r="O12" s="170">
        <f>K12*$D$42</f>
        <v>1421.0526315789473</v>
      </c>
      <c r="P12" s="170">
        <f t="shared" ref="P12:P33" si="7">SUM(N12:O12)</f>
        <v>1800</v>
      </c>
      <c r="Q12" s="398">
        <f t="shared" si="5"/>
        <v>3.9583333333333337E-3</v>
      </c>
      <c r="S12" s="193" t="s">
        <v>120</v>
      </c>
      <c r="T12" s="202">
        <v>0.8</v>
      </c>
      <c r="U12" s="205">
        <v>0.75</v>
      </c>
      <c r="V12" s="177"/>
      <c r="W12" s="249">
        <f t="shared" si="0"/>
        <v>0.27500000000000002</v>
      </c>
      <c r="X12" s="250">
        <f t="shared" si="1"/>
        <v>6.9077659615692149</v>
      </c>
      <c r="Y12" s="250">
        <f t="shared" si="2"/>
        <v>17.527885668236145</v>
      </c>
      <c r="Z12" s="177"/>
      <c r="AA12" s="76"/>
      <c r="AB12" s="76"/>
      <c r="AC12" s="48" t="s">
        <v>104</v>
      </c>
      <c r="AD12" s="70">
        <v>325.85000000000002</v>
      </c>
      <c r="AE12" s="48" t="s">
        <v>101</v>
      </c>
      <c r="AF12" s="5"/>
      <c r="AG12" s="5"/>
      <c r="AH12" s="5"/>
      <c r="AI12" s="5"/>
    </row>
    <row r="13" spans="1:35" ht="16.5" customHeight="1">
      <c r="A13" s="5"/>
      <c r="B13" s="342" t="s">
        <v>200</v>
      </c>
      <c r="C13" s="350" t="s">
        <v>40</v>
      </c>
      <c r="D13" s="136">
        <f>'Operating Inputs'!D14</f>
        <v>0.4</v>
      </c>
      <c r="E13" s="259">
        <f>T9*T6/12</f>
        <v>0</v>
      </c>
      <c r="F13" s="170">
        <f>D13*E13</f>
        <v>0</v>
      </c>
      <c r="G13" s="166"/>
      <c r="H13" s="401">
        <f t="shared" si="3"/>
        <v>0</v>
      </c>
      <c r="I13" s="335">
        <f>D13</f>
        <v>0.4</v>
      </c>
      <c r="J13" s="138">
        <f>U9*U6/12</f>
        <v>0</v>
      </c>
      <c r="K13" s="170">
        <f>I13*J13</f>
        <v>0</v>
      </c>
      <c r="L13" s="239">
        <f t="shared" si="6"/>
        <v>0</v>
      </c>
      <c r="M13" s="401">
        <f t="shared" si="4"/>
        <v>0</v>
      </c>
      <c r="N13" s="170">
        <f>F13*C42</f>
        <v>0</v>
      </c>
      <c r="O13" s="170">
        <f>K13*D42</f>
        <v>0</v>
      </c>
      <c r="P13" s="170">
        <f>SUM(N13:O13)</f>
        <v>0</v>
      </c>
      <c r="Q13" s="401">
        <f t="shared" si="5"/>
        <v>0</v>
      </c>
      <c r="S13" s="125" t="s">
        <v>128</v>
      </c>
      <c r="T13" s="203">
        <f>100*0.00220462</f>
        <v>0.22046199999999999</v>
      </c>
      <c r="U13" s="201">
        <v>0.8</v>
      </c>
      <c r="V13" s="181"/>
      <c r="W13" s="249">
        <f t="shared" si="0"/>
        <v>0.3</v>
      </c>
      <c r="X13" s="250">
        <f t="shared" si="1"/>
        <v>6.3724752970941765</v>
      </c>
      <c r="Y13" s="250">
        <f t="shared" si="2"/>
        <v>16.168229723107526</v>
      </c>
      <c r="Z13" s="181"/>
      <c r="AA13" s="76"/>
      <c r="AB13" s="76"/>
      <c r="AC13" s="48" t="s">
        <v>105</v>
      </c>
      <c r="AD13" s="48">
        <v>3.28084</v>
      </c>
      <c r="AE13" s="48" t="s">
        <v>102</v>
      </c>
      <c r="AF13" s="5"/>
      <c r="AG13" s="5"/>
      <c r="AH13" s="5"/>
      <c r="AI13" s="5"/>
    </row>
    <row r="14" spans="1:35" ht="16.5" customHeight="1">
      <c r="A14" s="5"/>
      <c r="B14" s="332" t="s">
        <v>42</v>
      </c>
      <c r="C14" s="349"/>
      <c r="D14" s="136"/>
      <c r="E14" s="259"/>
      <c r="F14" s="170">
        <f>'Operating Inputs'!$D9*F6</f>
        <v>1440</v>
      </c>
      <c r="G14" s="239">
        <f>F14/$E$6</f>
        <v>0.06</v>
      </c>
      <c r="H14" s="398">
        <f t="shared" si="3"/>
        <v>0.02</v>
      </c>
      <c r="I14" s="332"/>
      <c r="J14" s="138"/>
      <c r="K14" s="170">
        <f>'Operating Inputs'!$D9*K6</f>
        <v>960</v>
      </c>
      <c r="L14" s="239">
        <f t="shared" si="6"/>
        <v>0.16</v>
      </c>
      <c r="M14" s="398">
        <f t="shared" si="4"/>
        <v>0.02</v>
      </c>
      <c r="N14" s="170">
        <f>F14*$C$42</f>
        <v>3637.894736842105</v>
      </c>
      <c r="O14" s="170">
        <f>K14*$D$42</f>
        <v>9094.7368421052633</v>
      </c>
      <c r="P14" s="170">
        <f t="shared" si="7"/>
        <v>12732.631578947368</v>
      </c>
      <c r="Q14" s="398">
        <f t="shared" si="5"/>
        <v>2.8000000000000001E-2</v>
      </c>
      <c r="S14" s="194" t="s">
        <v>164</v>
      </c>
      <c r="T14" s="203">
        <v>10</v>
      </c>
      <c r="U14" s="201">
        <v>10</v>
      </c>
      <c r="V14" s="177"/>
      <c r="W14" s="249">
        <f t="shared" si="0"/>
        <v>0.32500000000000001</v>
      </c>
      <c r="X14" s="250">
        <f t="shared" si="1"/>
        <v>5.9195370425383746</v>
      </c>
      <c r="Y14" s="250">
        <f t="shared" si="2"/>
        <v>15.017751615690999</v>
      </c>
      <c r="Z14" s="177"/>
      <c r="AA14" s="84"/>
      <c r="AB14" s="76"/>
      <c r="AC14" s="63" t="s">
        <v>96</v>
      </c>
      <c r="AD14" s="64">
        <v>2.2046199999999998</v>
      </c>
      <c r="AE14" s="48" t="s">
        <v>40</v>
      </c>
      <c r="AF14" s="5"/>
      <c r="AG14" s="5"/>
      <c r="AH14" s="5"/>
      <c r="AI14" s="5"/>
    </row>
    <row r="15" spans="1:35" ht="16.5" customHeight="1">
      <c r="A15" s="5"/>
      <c r="B15" s="332" t="s">
        <v>11</v>
      </c>
      <c r="C15" s="349"/>
      <c r="D15" s="136"/>
      <c r="E15" s="259"/>
      <c r="F15" s="170">
        <f>('Operating Inputs'!D15*'Operating Inputs'!C42/2000+'Operating Inputs'!C43*'Operating Inputs'!D16+'Operating Inputs'!C44)</f>
        <v>96.125</v>
      </c>
      <c r="G15" s="239">
        <f>F15/$E$6</f>
        <v>4.0052083333333337E-3</v>
      </c>
      <c r="H15" s="398">
        <f t="shared" si="3"/>
        <v>1.3350694444444445E-3</v>
      </c>
      <c r="I15" s="332"/>
      <c r="J15" s="138"/>
      <c r="K15" s="170">
        <f>('Operating Inputs'!D15*'Operating Inputs'!C42/2000+'Operating Inputs'!C43*'Operating Inputs'!D16+'Operating Inputs'!C44)</f>
        <v>96.125</v>
      </c>
      <c r="L15" s="239">
        <f t="shared" si="6"/>
        <v>1.6020833333333335E-2</v>
      </c>
      <c r="M15" s="398">
        <f t="shared" si="4"/>
        <v>2.0026041666666669E-3</v>
      </c>
      <c r="N15" s="170">
        <f>F15*$C$42</f>
        <v>242.84210526315789</v>
      </c>
      <c r="O15" s="170">
        <f>K15*$D$42</f>
        <v>910.65789473684208</v>
      </c>
      <c r="P15" s="170">
        <f t="shared" si="7"/>
        <v>1153.5</v>
      </c>
      <c r="Q15" s="398">
        <f t="shared" si="5"/>
        <v>2.5366319444444447E-3</v>
      </c>
      <c r="S15" s="193" t="s">
        <v>122</v>
      </c>
      <c r="T15" s="204">
        <v>1.3</v>
      </c>
      <c r="U15" s="201">
        <v>3</v>
      </c>
      <c r="V15" s="177" t="s">
        <v>274</v>
      </c>
      <c r="W15" s="249">
        <f t="shared" si="0"/>
        <v>0.35</v>
      </c>
      <c r="X15" s="250">
        <f t="shared" si="1"/>
        <v>5.5313042529191154</v>
      </c>
      <c r="Y15" s="250">
        <f t="shared" si="2"/>
        <v>14.031627523619695</v>
      </c>
      <c r="Z15" s="177"/>
      <c r="AA15" s="84" t="s">
        <v>244</v>
      </c>
      <c r="AC15" s="63" t="s">
        <v>97</v>
      </c>
      <c r="AD15" s="64">
        <v>2.47105</v>
      </c>
      <c r="AE15" s="48" t="s">
        <v>29</v>
      </c>
      <c r="AF15" s="5"/>
      <c r="AG15" s="5"/>
      <c r="AH15" s="5"/>
      <c r="AI15" s="5"/>
    </row>
    <row r="16" spans="1:35" ht="16.5" customHeight="1">
      <c r="A16" s="5"/>
      <c r="B16" s="332" t="s">
        <v>43</v>
      </c>
      <c r="C16" s="349"/>
      <c r="D16" s="136"/>
      <c r="E16" s="259"/>
      <c r="F16" s="170">
        <f>'Operating Inputs'!D10*('Capital Inputs'!D6+'Capital Inputs'!D5)*T6/'Capital Inputs'!D7/12</f>
        <v>437.5</v>
      </c>
      <c r="G16" s="239">
        <f>F16/$E$6</f>
        <v>1.8229166666666668E-2</v>
      </c>
      <c r="H16" s="398">
        <f t="shared" si="3"/>
        <v>6.076388888888889E-3</v>
      </c>
      <c r="I16" s="332"/>
      <c r="J16" s="138"/>
      <c r="K16" s="170">
        <f>'Operating Inputs'!D10*('Capital Inputs'!D6+'Capital Inputs'!D5)*U6/'Capital Inputs'!D7/12</f>
        <v>364.58333333333331</v>
      </c>
      <c r="L16" s="239">
        <f t="shared" si="6"/>
        <v>6.0763888888888888E-2</v>
      </c>
      <c r="M16" s="398">
        <f t="shared" si="4"/>
        <v>7.595486111111111E-3</v>
      </c>
      <c r="N16" s="170">
        <f>F16*$C$42</f>
        <v>1105.2631578947369</v>
      </c>
      <c r="O16" s="170">
        <f>K16*$D$42</f>
        <v>3453.947368421052</v>
      </c>
      <c r="P16" s="170">
        <f>SUM(N16:O16)</f>
        <v>4559.2105263157891</v>
      </c>
      <c r="Q16" s="398">
        <f t="shared" si="5"/>
        <v>1.0026041666666666E-2</v>
      </c>
      <c r="S16" s="125" t="s">
        <v>131</v>
      </c>
      <c r="T16" s="201">
        <v>3</v>
      </c>
      <c r="U16" s="201">
        <v>8</v>
      </c>
      <c r="V16" s="177" t="s">
        <v>244</v>
      </c>
      <c r="W16" s="249">
        <f t="shared" si="0"/>
        <v>0.375</v>
      </c>
      <c r="X16" s="250">
        <f t="shared" si="1"/>
        <v>5.1948358352490906</v>
      </c>
      <c r="Y16" s="250">
        <f t="shared" si="2"/>
        <v>13.176986643824565</v>
      </c>
      <c r="Z16" s="177"/>
      <c r="AA16" s="76"/>
      <c r="AB16" s="76"/>
      <c r="AF16" s="5"/>
      <c r="AG16" s="5"/>
      <c r="AH16" s="5"/>
      <c r="AI16" s="5"/>
    </row>
    <row r="17" spans="1:37" ht="16.5" customHeight="1">
      <c r="A17" s="5"/>
      <c r="B17" s="332" t="s">
        <v>44</v>
      </c>
      <c r="C17" s="349"/>
      <c r="D17" s="136"/>
      <c r="E17" s="259"/>
      <c r="F17" s="170">
        <f>SUM(F18:F21)</f>
        <v>929.54166666666663</v>
      </c>
      <c r="G17" s="239">
        <f>F17/$E$6</f>
        <v>3.8730902777777777E-2</v>
      </c>
      <c r="H17" s="398">
        <f t="shared" si="3"/>
        <v>1.2910300925925926E-2</v>
      </c>
      <c r="I17" s="332"/>
      <c r="J17" s="138"/>
      <c r="K17" s="170">
        <f>SUM(K18:K21)</f>
        <v>2581.833333333333</v>
      </c>
      <c r="L17" s="239">
        <f>K17/$J$6</f>
        <v>0.4303055555555555</v>
      </c>
      <c r="M17" s="398">
        <f t="shared" si="4"/>
        <v>5.3788194444444437E-2</v>
      </c>
      <c r="N17" s="170">
        <f>SUM(N18:N21)</f>
        <v>2348.3157894736842</v>
      </c>
      <c r="O17" s="170">
        <f>SUM(O18:O21)</f>
        <v>24459.473684210527</v>
      </c>
      <c r="P17" s="170">
        <f>SUM(P18:P21)</f>
        <v>26807.78947368421</v>
      </c>
      <c r="Q17" s="398">
        <f t="shared" si="5"/>
        <v>5.8952314814814818E-2</v>
      </c>
      <c r="S17" s="125" t="s">
        <v>116</v>
      </c>
      <c r="T17" s="201">
        <v>3</v>
      </c>
      <c r="U17" s="201">
        <v>3</v>
      </c>
      <c r="V17" s="177"/>
      <c r="W17" s="249">
        <f t="shared" si="0"/>
        <v>0.4</v>
      </c>
      <c r="X17" s="250">
        <f t="shared" si="1"/>
        <v>4.9004259697878201</v>
      </c>
      <c r="Y17" s="250">
        <f t="shared" si="2"/>
        <v>12.429175874003823</v>
      </c>
      <c r="Z17" s="177"/>
      <c r="AC17" s="66"/>
      <c r="AD17" s="67"/>
      <c r="AE17" s="85"/>
      <c r="AF17" s="5"/>
      <c r="AG17" s="5"/>
      <c r="AH17" s="5"/>
      <c r="AI17" s="5"/>
    </row>
    <row r="18" spans="1:37" ht="16.5" customHeight="1">
      <c r="A18" s="5"/>
      <c r="B18" s="359" t="s">
        <v>113</v>
      </c>
      <c r="C18" s="350" t="s">
        <v>73</v>
      </c>
      <c r="D18" s="136">
        <f>'Operating Inputs'!D22</f>
        <v>0.15</v>
      </c>
      <c r="E18" s="259">
        <f>'Operating Inputs'!D19*0.7475*T10</f>
        <v>2242.5</v>
      </c>
      <c r="F18" s="133">
        <f>E18*'Operating Inputs'!D22</f>
        <v>336.375</v>
      </c>
      <c r="G18" s="239">
        <f t="shared" ref="G18:G22" si="8">F18/$E$6</f>
        <v>1.4015625E-2</v>
      </c>
      <c r="H18" s="398">
        <f t="shared" ref="H18:H22" si="9">F18/$F$6</f>
        <v>4.6718749999999998E-3</v>
      </c>
      <c r="I18" s="336">
        <f>D18</f>
        <v>0.15</v>
      </c>
      <c r="J18" s="138">
        <f>'Capital Inputs'!D7*'Operating Inputs'!D19*0.7475*U10</f>
        <v>13455.000000000002</v>
      </c>
      <c r="K18" s="133">
        <f>J18*'Operating Inputs'!D22</f>
        <v>2018.2500000000002</v>
      </c>
      <c r="L18" s="239">
        <f t="shared" ref="L18:L24" si="10">K18/$J$6</f>
        <v>0.33637500000000004</v>
      </c>
      <c r="M18" s="398">
        <f t="shared" ref="M18:M23" si="11">K18/$K$6</f>
        <v>4.2046875000000004E-2</v>
      </c>
      <c r="N18" s="133">
        <f>F18*$C$42</f>
        <v>849.78947368421052</v>
      </c>
      <c r="O18" s="133">
        <f t="shared" ref="O18:O26" si="12">K18*$D$42</f>
        <v>19120.263157894737</v>
      </c>
      <c r="P18" s="133">
        <f>SUM(N18:O18)</f>
        <v>19970.052631578947</v>
      </c>
      <c r="Q18" s="398">
        <f t="shared" si="5"/>
        <v>4.3915625E-2</v>
      </c>
      <c r="S18" s="125" t="s">
        <v>210</v>
      </c>
      <c r="T18" s="234">
        <v>250</v>
      </c>
      <c r="U18" s="234">
        <v>500</v>
      </c>
      <c r="V18" s="181"/>
      <c r="W18" s="249">
        <f t="shared" si="0"/>
        <v>0.42499999999999999</v>
      </c>
      <c r="X18" s="250">
        <f t="shared" si="1"/>
        <v>4.640652559086698</v>
      </c>
      <c r="Y18" s="250">
        <f t="shared" si="2"/>
        <v>11.769342841809051</v>
      </c>
      <c r="Z18" s="181"/>
      <c r="AC18" s="48" t="s">
        <v>132</v>
      </c>
      <c r="AD18" s="4">
        <v>19.25</v>
      </c>
      <c r="AE18" s="84"/>
    </row>
    <row r="19" spans="1:37" ht="16.5" customHeight="1">
      <c r="A19" s="5"/>
      <c r="B19" s="359" t="s">
        <v>184</v>
      </c>
      <c r="C19" s="350" t="s">
        <v>73</v>
      </c>
      <c r="D19" s="136">
        <f>'Operating Inputs'!D22</f>
        <v>0.15</v>
      </c>
      <c r="E19" s="259">
        <f>T14*'Operating Inputs'!D28*'Operating Inputs'!D29</f>
        <v>2740</v>
      </c>
      <c r="F19" s="133">
        <f>D19*E19</f>
        <v>411</v>
      </c>
      <c r="G19" s="239">
        <f t="shared" si="8"/>
        <v>1.7125000000000001E-2</v>
      </c>
      <c r="H19" s="398">
        <f t="shared" si="9"/>
        <v>5.7083333333333335E-3</v>
      </c>
      <c r="I19" s="336">
        <f>D19</f>
        <v>0.15</v>
      </c>
      <c r="J19" s="138">
        <f>U14*'Operating Inputs'!D28*'Operating Inputs'!D29</f>
        <v>2740</v>
      </c>
      <c r="K19" s="133">
        <f>J19*I19</f>
        <v>411</v>
      </c>
      <c r="L19" s="239">
        <f t="shared" si="10"/>
        <v>6.8500000000000005E-2</v>
      </c>
      <c r="M19" s="398">
        <f t="shared" si="11"/>
        <v>8.5625000000000007E-3</v>
      </c>
      <c r="N19" s="133">
        <f>F19*$C$42</f>
        <v>1038.3157894736842</v>
      </c>
      <c r="O19" s="133">
        <f t="shared" si="12"/>
        <v>3893.6842105263154</v>
      </c>
      <c r="P19" s="133">
        <f>SUM(N19:O19)</f>
        <v>4932</v>
      </c>
      <c r="Q19" s="398">
        <f t="shared" si="5"/>
        <v>1.0845833333333334E-2</v>
      </c>
      <c r="S19" s="125" t="s">
        <v>211</v>
      </c>
      <c r="T19" s="234">
        <v>150</v>
      </c>
      <c r="U19" s="234">
        <v>150</v>
      </c>
      <c r="V19" s="181"/>
      <c r="W19" s="249">
        <f t="shared" si="0"/>
        <v>0.45</v>
      </c>
      <c r="X19" s="250">
        <f t="shared" si="1"/>
        <v>4.409742860685701</v>
      </c>
      <c r="Y19" s="250">
        <f t="shared" si="2"/>
        <v>11.182824590969251</v>
      </c>
      <c r="Z19" s="181"/>
      <c r="AC19" s="4" t="s">
        <v>135</v>
      </c>
      <c r="AD19" s="4">
        <v>38</v>
      </c>
      <c r="AE19" s="84"/>
    </row>
    <row r="20" spans="1:37" ht="16.5" customHeight="1">
      <c r="A20" s="5"/>
      <c r="B20" s="359" t="s">
        <v>162</v>
      </c>
      <c r="C20" s="350" t="s">
        <v>226</v>
      </c>
      <c r="D20" s="136">
        <f>'Operating Inputs'!D23</f>
        <v>3.5</v>
      </c>
      <c r="E20" s="259">
        <f>'Operating Inputs'!D26*T6/'Capital Inputs'!D7</f>
        <v>25</v>
      </c>
      <c r="F20" s="133">
        <f>D20*E20</f>
        <v>87.5</v>
      </c>
      <c r="G20" s="239">
        <f t="shared" si="8"/>
        <v>3.6458333333333334E-3</v>
      </c>
      <c r="H20" s="398">
        <f t="shared" si="9"/>
        <v>1.2152777777777778E-3</v>
      </c>
      <c r="I20" s="336">
        <f>D20</f>
        <v>3.5</v>
      </c>
      <c r="J20" s="138">
        <f>'Operating Inputs'!D26*U6/'Capital Inputs'!D7</f>
        <v>20.833333333333332</v>
      </c>
      <c r="K20" s="133">
        <f>I20*J20</f>
        <v>72.916666666666657</v>
      </c>
      <c r="L20" s="239">
        <f t="shared" si="10"/>
        <v>1.2152777777777776E-2</v>
      </c>
      <c r="M20" s="398">
        <f t="shared" si="11"/>
        <v>1.519097222222222E-3</v>
      </c>
      <c r="N20" s="133">
        <f>F20*$C$42</f>
        <v>221.05263157894737</v>
      </c>
      <c r="O20" s="133">
        <f t="shared" si="12"/>
        <v>690.78947368421041</v>
      </c>
      <c r="P20" s="133">
        <f>SUM(N20:O20)</f>
        <v>911.8421052631578</v>
      </c>
      <c r="Q20" s="401">
        <f t="shared" si="5"/>
        <v>2.0052083333333332E-3</v>
      </c>
      <c r="S20" s="129" t="s">
        <v>215</v>
      </c>
      <c r="T20" s="244">
        <v>0.05</v>
      </c>
      <c r="U20" s="244">
        <v>0.05</v>
      </c>
      <c r="V20" s="181"/>
      <c r="W20" s="249">
        <f t="shared" si="0"/>
        <v>0.47499999999999998</v>
      </c>
      <c r="X20" s="250">
        <f t="shared" si="1"/>
        <v>4.2031394463269143</v>
      </c>
      <c r="Y20" s="250">
        <f t="shared" si="2"/>
        <v>10.65804510337575</v>
      </c>
      <c r="Z20" s="181"/>
      <c r="AC20" s="66"/>
      <c r="AD20" s="67"/>
      <c r="AE20" s="85"/>
    </row>
    <row r="21" spans="1:37" ht="16.5" customHeight="1">
      <c r="A21" s="5"/>
      <c r="B21" s="359" t="s">
        <v>114</v>
      </c>
      <c r="C21" s="329"/>
      <c r="D21" s="136"/>
      <c r="E21" s="259"/>
      <c r="F21" s="133">
        <f>('Operating Inputs'!D24*'Operating Inputs'!D22*T6 + 'Operating Inputs'!D21)/'Capital Inputs'!D7</f>
        <v>94.666666666666671</v>
      </c>
      <c r="G21" s="239">
        <f t="shared" si="8"/>
        <v>3.9444444444444449E-3</v>
      </c>
      <c r="H21" s="398">
        <f t="shared" si="9"/>
        <v>1.3148148148148149E-3</v>
      </c>
      <c r="I21" s="336"/>
      <c r="J21" s="138"/>
      <c r="K21" s="133">
        <f>('Operating Inputs'!D24*'Operating Inputs'!D22*U6 + 'Operating Inputs'!D21)/'Capital Inputs'!D7</f>
        <v>79.666666666666671</v>
      </c>
      <c r="L21" s="239">
        <f t="shared" si="10"/>
        <v>1.3277777777777779E-2</v>
      </c>
      <c r="M21" s="398">
        <f t="shared" si="11"/>
        <v>1.6597222222222224E-3</v>
      </c>
      <c r="N21" s="133">
        <f>F21*$C$42</f>
        <v>239.15789473684211</v>
      </c>
      <c r="O21" s="133">
        <f t="shared" si="12"/>
        <v>754.73684210526312</v>
      </c>
      <c r="P21" s="133">
        <f t="shared" si="7"/>
        <v>993.8947368421052</v>
      </c>
      <c r="Q21" s="398">
        <f t="shared" si="5"/>
        <v>2.1856481481481479E-3</v>
      </c>
      <c r="S21" s="125"/>
      <c r="T21" s="125"/>
      <c r="U21" s="125"/>
      <c r="V21" s="181"/>
      <c r="W21" s="249">
        <f t="shared" si="0"/>
        <v>0.5</v>
      </c>
      <c r="X21" s="250">
        <f t="shared" si="1"/>
        <v>4.0171963734040057</v>
      </c>
      <c r="Y21" s="250">
        <f t="shared" si="2"/>
        <v>10.1857435645416</v>
      </c>
      <c r="Z21" s="181"/>
      <c r="AA21" s="5"/>
      <c r="AB21" s="5"/>
      <c r="AC21" s="5"/>
      <c r="AF21" s="5"/>
    </row>
    <row r="22" spans="1:37" ht="16.5" customHeight="1">
      <c r="A22" s="5"/>
      <c r="B22" s="332" t="s">
        <v>112</v>
      </c>
      <c r="C22" s="329"/>
      <c r="D22" s="136">
        <f>'Operating Inputs'!D27</f>
        <v>50</v>
      </c>
      <c r="E22" s="259">
        <f>T17</f>
        <v>3</v>
      </c>
      <c r="F22" s="133">
        <f>D22*E22</f>
        <v>150</v>
      </c>
      <c r="G22" s="239">
        <f t="shared" si="8"/>
        <v>6.2500000000000003E-3</v>
      </c>
      <c r="H22" s="398">
        <f t="shared" si="9"/>
        <v>2.0833333333333333E-3</v>
      </c>
      <c r="I22" s="336">
        <f>D22</f>
        <v>50</v>
      </c>
      <c r="J22" s="138">
        <f>U17</f>
        <v>3</v>
      </c>
      <c r="K22" s="133">
        <f>I22*J22</f>
        <v>150</v>
      </c>
      <c r="L22" s="239">
        <f t="shared" si="10"/>
        <v>2.5000000000000001E-2</v>
      </c>
      <c r="M22" s="398">
        <f t="shared" si="11"/>
        <v>3.1250000000000002E-3</v>
      </c>
      <c r="N22" s="133"/>
      <c r="O22" s="133">
        <f t="shared" si="12"/>
        <v>1421.0526315789473</v>
      </c>
      <c r="P22" s="133">
        <f>O22</f>
        <v>1421.0526315789473</v>
      </c>
      <c r="Q22" s="401">
        <f t="shared" si="5"/>
        <v>3.1249999999999997E-3</v>
      </c>
      <c r="S22" s="152"/>
      <c r="T22" s="125"/>
      <c r="U22" s="125"/>
      <c r="V22" s="181"/>
      <c r="W22" s="249">
        <f t="shared" si="0"/>
        <v>0.52500000000000002</v>
      </c>
      <c r="X22" s="250">
        <f t="shared" si="1"/>
        <v>3.8489621645689933</v>
      </c>
      <c r="Y22" s="250">
        <f t="shared" si="2"/>
        <v>9.7584231246440343</v>
      </c>
      <c r="Z22" s="181"/>
      <c r="AA22" s="57" t="s">
        <v>126</v>
      </c>
      <c r="AB22" s="57"/>
      <c r="AC22" s="5"/>
      <c r="AD22" s="57" t="s">
        <v>139</v>
      </c>
      <c r="AE22" s="57"/>
      <c r="AF22" s="5"/>
      <c r="AG22" s="57"/>
      <c r="AH22" s="57"/>
      <c r="AJ22" s="17"/>
      <c r="AK22" s="17"/>
    </row>
    <row r="23" spans="1:37" ht="16.5" customHeight="1">
      <c r="A23" s="5"/>
      <c r="B23" s="332" t="s">
        <v>90</v>
      </c>
      <c r="C23" s="328"/>
      <c r="D23" s="136"/>
      <c r="E23" s="259"/>
      <c r="F23" s="170">
        <f>'Operating Inputs'!D5*T11/'Capital Inputs'!D7</f>
        <v>1541.6666666666667</v>
      </c>
      <c r="G23" s="239">
        <f t="shared" ref="G23:G28" si="13">F23/$E$6</f>
        <v>6.4236111111111119E-2</v>
      </c>
      <c r="H23" s="398">
        <f t="shared" si="3"/>
        <v>2.1412037037037038E-2</v>
      </c>
      <c r="I23" s="332"/>
      <c r="J23" s="138"/>
      <c r="K23" s="170">
        <f>'Operating Inputs'!D5*U11/'Capital Inputs'!D7</f>
        <v>1541.6666666666667</v>
      </c>
      <c r="L23" s="239">
        <f t="shared" si="10"/>
        <v>0.25694444444444448</v>
      </c>
      <c r="M23" s="398">
        <f t="shared" si="11"/>
        <v>3.2118055555555559E-2</v>
      </c>
      <c r="N23" s="170">
        <f>F23*$C$42</f>
        <v>3894.7368421052633</v>
      </c>
      <c r="O23" s="170">
        <f t="shared" si="12"/>
        <v>14605.263157894737</v>
      </c>
      <c r="P23" s="170">
        <f t="shared" si="7"/>
        <v>18500</v>
      </c>
      <c r="Q23" s="398">
        <f t="shared" si="5"/>
        <v>4.0682870370370369E-2</v>
      </c>
      <c r="S23" s="152"/>
      <c r="T23" s="125"/>
      <c r="U23" s="125"/>
      <c r="V23" s="181"/>
      <c r="W23" s="249">
        <f t="shared" si="0"/>
        <v>0.55000000000000004</v>
      </c>
      <c r="X23" s="250">
        <f t="shared" si="1"/>
        <v>3.6960219747189833</v>
      </c>
      <c r="Y23" s="250">
        <f t="shared" si="2"/>
        <v>9.3699499974644276</v>
      </c>
      <c r="Z23" s="181"/>
      <c r="AA23" s="76" t="s">
        <v>120</v>
      </c>
      <c r="AB23" s="78" t="s">
        <v>148</v>
      </c>
      <c r="AC23" s="5"/>
      <c r="AD23" s="76" t="s">
        <v>120</v>
      </c>
      <c r="AE23" s="78" t="s">
        <v>148</v>
      </c>
      <c r="AF23" s="5"/>
      <c r="AG23" s="76"/>
      <c r="AH23" s="79"/>
      <c r="AJ23" s="3"/>
      <c r="AK23" s="41"/>
    </row>
    <row r="24" spans="1:37" ht="16.5" customHeight="1">
      <c r="A24" s="5"/>
      <c r="B24" s="332" t="s">
        <v>74</v>
      </c>
      <c r="C24" s="328"/>
      <c r="D24" s="136"/>
      <c r="E24" s="259"/>
      <c r="F24" s="170">
        <f>'Operating Inputs'!D11/'Capital Inputs'!D7*T6/12</f>
        <v>100</v>
      </c>
      <c r="G24" s="239">
        <f t="shared" si="13"/>
        <v>4.1666666666666666E-3</v>
      </c>
      <c r="H24" s="398">
        <f t="shared" si="3"/>
        <v>1.3888888888888889E-3</v>
      </c>
      <c r="I24" s="332"/>
      <c r="J24" s="138"/>
      <c r="K24" s="170">
        <f>'Operating Inputs'!D11/'Capital Inputs'!D7*U6/12</f>
        <v>83.333333333333329</v>
      </c>
      <c r="L24" s="239">
        <f t="shared" si="10"/>
        <v>1.3888888888888888E-2</v>
      </c>
      <c r="M24" s="398">
        <f t="shared" si="4"/>
        <v>1.736111111111111E-3</v>
      </c>
      <c r="N24" s="170">
        <f>F24*$C$42</f>
        <v>252.63157894736841</v>
      </c>
      <c r="O24" s="170">
        <f t="shared" si="12"/>
        <v>789.47368421052624</v>
      </c>
      <c r="P24" s="170">
        <f t="shared" si="7"/>
        <v>1042.1052631578946</v>
      </c>
      <c r="Q24" s="398">
        <f t="shared" si="5"/>
        <v>2.2916666666666662E-3</v>
      </c>
      <c r="S24" s="125"/>
      <c r="T24" s="125"/>
      <c r="U24" s="125"/>
      <c r="V24" s="181"/>
      <c r="W24" s="249">
        <f t="shared" si="0"/>
        <v>0.57499999999999996</v>
      </c>
      <c r="X24" s="250">
        <f t="shared" si="1"/>
        <v>3.5563809318124506</v>
      </c>
      <c r="Y24" s="250">
        <f t="shared" si="2"/>
        <v>9.0152571422134837</v>
      </c>
      <c r="Z24" s="181"/>
      <c r="AB24" s="47">
        <f>G34</f>
        <v>2.6923519788282846</v>
      </c>
      <c r="AC24" s="5"/>
      <c r="AE24" s="47">
        <f>L34</f>
        <v>7.1945004852586356</v>
      </c>
      <c r="AF24" s="5"/>
      <c r="AH24" s="47"/>
      <c r="AK24" s="16"/>
    </row>
    <row r="25" spans="1:37" ht="16.5" customHeight="1">
      <c r="A25" s="5"/>
      <c r="B25" s="332" t="s">
        <v>8</v>
      </c>
      <c r="C25" s="328"/>
      <c r="D25" s="136">
        <f>T20</f>
        <v>0.05</v>
      </c>
      <c r="E25" s="132">
        <f>F8</f>
        <v>67238.020799999998</v>
      </c>
      <c r="F25" s="170">
        <f>D25*E25</f>
        <v>3361.9010400000002</v>
      </c>
      <c r="G25" s="239">
        <f t="shared" si="13"/>
        <v>0.14007921000000001</v>
      </c>
      <c r="H25" s="398">
        <f t="shared" si="3"/>
        <v>4.6693070000000003E-2</v>
      </c>
      <c r="I25" s="337">
        <f>U20</f>
        <v>0.05</v>
      </c>
      <c r="J25" s="138">
        <f>K8</f>
        <v>45840</v>
      </c>
      <c r="K25" s="170">
        <f>I25*J25</f>
        <v>2292</v>
      </c>
      <c r="L25" s="239">
        <f>K25/$J$6</f>
        <v>0.38200000000000001</v>
      </c>
      <c r="M25" s="398">
        <f t="shared" si="4"/>
        <v>4.7750000000000001E-2</v>
      </c>
      <c r="N25" s="170"/>
      <c r="O25" s="170">
        <f t="shared" si="12"/>
        <v>21713.684210526313</v>
      </c>
      <c r="P25" s="170">
        <f t="shared" si="7"/>
        <v>21713.684210526313</v>
      </c>
      <c r="Q25" s="398">
        <f t="shared" si="5"/>
        <v>4.7749999999999994E-2</v>
      </c>
      <c r="S25" s="125"/>
      <c r="T25" s="125"/>
      <c r="U25" s="125"/>
      <c r="V25" s="181"/>
      <c r="W25" s="249">
        <f t="shared" si="0"/>
        <v>0.6</v>
      </c>
      <c r="X25" s="250">
        <f t="shared" si="1"/>
        <v>3.4283766424814632</v>
      </c>
      <c r="Y25" s="250">
        <f t="shared" si="2"/>
        <v>8.6901220249001181</v>
      </c>
      <c r="Z25" s="181"/>
      <c r="AA25" s="80">
        <v>0.1</v>
      </c>
      <c r="AB25" s="62">
        <f t="dataTable" ref="AB25:AB57" dt2D="0" dtr="0" r1="T12"/>
        <v>18.148869915545031</v>
      </c>
      <c r="AC25" s="5"/>
      <c r="AD25" s="80">
        <v>0.1</v>
      </c>
      <c r="AE25" s="62">
        <f t="dataTable" ref="AE25:AE57" dt2D="0" dtr="0" r1="U12"/>
        <v>46.080660515937154</v>
      </c>
      <c r="AF25" s="5"/>
      <c r="AG25" s="90"/>
      <c r="AH25" s="62"/>
      <c r="AJ25" s="91"/>
      <c r="AK25" s="24"/>
    </row>
    <row r="26" spans="1:37" ht="16.5" customHeight="1">
      <c r="A26" s="5"/>
      <c r="B26" s="332" t="s">
        <v>45</v>
      </c>
      <c r="C26" s="328"/>
      <c r="D26" s="125"/>
      <c r="E26" s="125"/>
      <c r="F26" s="546">
        <v>0</v>
      </c>
      <c r="G26" s="239">
        <f t="shared" si="13"/>
        <v>0</v>
      </c>
      <c r="H26" s="398">
        <f t="shared" si="3"/>
        <v>0</v>
      </c>
      <c r="I26" s="332"/>
      <c r="J26" s="138"/>
      <c r="K26" s="546">
        <v>0</v>
      </c>
      <c r="L26" s="239">
        <f>K26/$J$6</f>
        <v>0</v>
      </c>
      <c r="M26" s="398">
        <f t="shared" si="4"/>
        <v>0</v>
      </c>
      <c r="N26" s="170">
        <f>F26*$C$42</f>
        <v>0</v>
      </c>
      <c r="O26" s="170">
        <f t="shared" si="12"/>
        <v>0</v>
      </c>
      <c r="P26" s="170">
        <f t="shared" si="7"/>
        <v>0</v>
      </c>
      <c r="Q26" s="398">
        <f t="shared" si="5"/>
        <v>0</v>
      </c>
      <c r="V26" s="181"/>
      <c r="W26" s="249">
        <f t="shared" si="0"/>
        <v>0.625</v>
      </c>
      <c r="X26" s="250">
        <f t="shared" si="1"/>
        <v>3.3106126962969546</v>
      </c>
      <c r="Y26" s="250">
        <f t="shared" si="2"/>
        <v>8.3909977169718211</v>
      </c>
      <c r="Z26" s="181"/>
      <c r="AA26" s="80">
        <v>0.125</v>
      </c>
      <c r="AB26" s="62">
        <v>14.615951530009772</v>
      </c>
      <c r="AC26" s="5"/>
      <c r="AD26" s="80">
        <v>0.125</v>
      </c>
      <c r="AE26" s="62">
        <v>37.106931278088268</v>
      </c>
      <c r="AF26" s="5"/>
      <c r="AG26" s="90"/>
      <c r="AH26" s="62"/>
      <c r="AJ26" s="91"/>
      <c r="AK26" s="24"/>
    </row>
    <row r="27" spans="1:37" ht="16.5" customHeight="1">
      <c r="A27" s="5"/>
      <c r="B27" s="332" t="s">
        <v>46</v>
      </c>
      <c r="C27" s="349" t="s">
        <v>14</v>
      </c>
      <c r="D27" s="144">
        <f>'Operating Inputs'!D12</f>
        <v>7.2499999999999995E-2</v>
      </c>
      <c r="E27" s="125"/>
      <c r="F27" s="171">
        <f>SUM(F10:F17,F22:F26)*(1-'Operating Inputs'!D13)*D27*T6/12</f>
        <v>1125.3435386416663</v>
      </c>
      <c r="G27" s="240">
        <f t="shared" si="13"/>
        <v>4.6889314110069427E-2</v>
      </c>
      <c r="H27" s="399">
        <f t="shared" si="3"/>
        <v>1.5629771370023145E-2</v>
      </c>
      <c r="I27" s="338">
        <f>D27</f>
        <v>7.2499999999999995E-2</v>
      </c>
      <c r="J27" s="138"/>
      <c r="K27" s="171">
        <f>SUM(K10:K17,K22:K26)*(1-'Operating Inputs'!D13)*I27*U6/12</f>
        <v>624.51598428819443</v>
      </c>
      <c r="L27" s="240">
        <f>K27/$J$6</f>
        <v>0.10408599738136574</v>
      </c>
      <c r="M27" s="399">
        <f t="shared" si="4"/>
        <v>1.3010749672670718E-2</v>
      </c>
      <c r="N27" s="171"/>
      <c r="O27" s="171"/>
      <c r="P27" s="171">
        <f>SUM(P10:P17,P22:P26)*(1-'Operating Inputs'!D13)*I27*(T6+U6)/12</f>
        <v>10378.267316831139</v>
      </c>
      <c r="Q27" s="399">
        <f t="shared" si="5"/>
        <v>2.2822578590253665E-2</v>
      </c>
      <c r="V27" s="181"/>
      <c r="W27" s="249">
        <f t="shared" si="0"/>
        <v>0.65</v>
      </c>
      <c r="X27" s="250">
        <f t="shared" si="1"/>
        <v>3.2019075152035619</v>
      </c>
      <c r="Y27" s="250">
        <f t="shared" si="2"/>
        <v>8.1148829711918555</v>
      </c>
      <c r="Z27" s="181"/>
      <c r="AA27" s="80">
        <v>0.15</v>
      </c>
      <c r="AB27" s="62">
        <v>12.260672606319604</v>
      </c>
      <c r="AC27" s="5"/>
      <c r="AD27" s="80">
        <v>0.15</v>
      </c>
      <c r="AE27" s="62">
        <v>31.124445119522338</v>
      </c>
      <c r="AF27" s="5"/>
      <c r="AG27" s="90"/>
      <c r="AH27" s="62"/>
      <c r="AJ27" s="91"/>
      <c r="AK27" s="24"/>
    </row>
    <row r="28" spans="1:37" ht="16.5" customHeight="1">
      <c r="A28" s="5"/>
      <c r="B28" s="360" t="s">
        <v>47</v>
      </c>
      <c r="C28" s="351"/>
      <c r="D28" s="125"/>
      <c r="E28" s="125"/>
      <c r="F28" s="172">
        <f>SUM(F10:F17,F23:F27)</f>
        <v>63063.262911974991</v>
      </c>
      <c r="G28" s="241">
        <f t="shared" si="13"/>
        <v>2.6276359546656245</v>
      </c>
      <c r="H28" s="400">
        <f t="shared" si="3"/>
        <v>0.87587865155520817</v>
      </c>
      <c r="I28" s="339"/>
      <c r="J28" s="156"/>
      <c r="K28" s="172">
        <f>SUM(K10:K17,K23:K27)</f>
        <v>41821.781150954863</v>
      </c>
      <c r="L28" s="352">
        <f>K28/$J$6</f>
        <v>6.9702968584924774</v>
      </c>
      <c r="M28" s="400">
        <f t="shared" si="4"/>
        <v>0.87128710731155967</v>
      </c>
      <c r="N28" s="172">
        <f>SUM(N10:N17,N23:N27)</f>
        <v>147981.51999999996</v>
      </c>
      <c r="O28" s="172">
        <f>SUM(O10:O17,O23:O27)</f>
        <v>162921.45947368426</v>
      </c>
      <c r="P28" s="172">
        <f>SUM(P10:P27)-P17</f>
        <v>322702.29942209425</v>
      </c>
      <c r="Q28" s="400">
        <f t="shared" si="5"/>
        <v>0.70964626030321654</v>
      </c>
      <c r="V28" s="181"/>
      <c r="W28" s="249">
        <f t="shared" si="0"/>
        <v>0.67500000000000004</v>
      </c>
      <c r="X28" s="250">
        <f t="shared" si="1"/>
        <v>3.1012545697467173</v>
      </c>
      <c r="Y28" s="250">
        <f t="shared" si="2"/>
        <v>7.8592211695437406</v>
      </c>
      <c r="Z28" s="181"/>
      <c r="AA28" s="80">
        <v>0.17499999999999999</v>
      </c>
      <c r="AB28" s="62">
        <v>10.578330517969482</v>
      </c>
      <c r="AC28" s="5"/>
      <c r="AD28" s="80">
        <v>0.17499999999999999</v>
      </c>
      <c r="AE28" s="62">
        <v>26.851240720546681</v>
      </c>
      <c r="AF28" s="5"/>
      <c r="AG28" s="90"/>
      <c r="AH28" s="62"/>
      <c r="AJ28" s="91"/>
      <c r="AK28" s="24"/>
    </row>
    <row r="29" spans="1:37" ht="16.5" customHeight="1">
      <c r="A29" s="5"/>
      <c r="B29" s="339" t="s">
        <v>48</v>
      </c>
      <c r="C29" s="349"/>
      <c r="D29" s="125"/>
      <c r="E29" s="125"/>
      <c r="F29" s="170"/>
      <c r="G29" s="239"/>
      <c r="H29" s="398"/>
      <c r="I29" s="332"/>
      <c r="J29" s="138"/>
      <c r="K29" s="170"/>
      <c r="L29" s="166"/>
      <c r="M29" s="398"/>
      <c r="N29" s="170"/>
      <c r="O29" s="170"/>
      <c r="P29" s="170"/>
      <c r="Q29" s="398"/>
      <c r="V29" s="181"/>
      <c r="W29" s="249">
        <f t="shared" si="0"/>
        <v>0.7</v>
      </c>
      <c r="X29" s="250">
        <f t="shared" si="1"/>
        <v>3.0077911203939327</v>
      </c>
      <c r="Y29" s="250">
        <f t="shared" si="2"/>
        <v>7.6218209251562019</v>
      </c>
      <c r="Z29" s="181"/>
      <c r="AA29" s="80">
        <v>0.2</v>
      </c>
      <c r="AB29" s="62">
        <v>9.3165739517068893</v>
      </c>
      <c r="AC29" s="5"/>
      <c r="AD29" s="80">
        <v>0.2</v>
      </c>
      <c r="AE29" s="62">
        <v>23.646337421314929</v>
      </c>
      <c r="AF29" s="5"/>
      <c r="AG29" s="90"/>
      <c r="AH29" s="62"/>
      <c r="AJ29" s="91"/>
      <c r="AK29" s="24"/>
    </row>
    <row r="30" spans="1:37" ht="16.5" customHeight="1">
      <c r="A30" s="5"/>
      <c r="B30" s="332" t="s">
        <v>25</v>
      </c>
      <c r="C30" s="349" t="s">
        <v>81</v>
      </c>
      <c r="D30" s="146"/>
      <c r="E30" s="125"/>
      <c r="F30" s="170">
        <f>N30/$C$42</f>
        <v>180.4076640625</v>
      </c>
      <c r="G30" s="239">
        <f t="shared" ref="G30:G35" si="14">F30/$E$6</f>
        <v>7.5169860026041667E-3</v>
      </c>
      <c r="H30" s="398">
        <f t="shared" si="3"/>
        <v>2.5056620008680557E-3</v>
      </c>
      <c r="I30" s="340"/>
      <c r="J30" s="125"/>
      <c r="K30" s="170">
        <f>O30/$D$42</f>
        <v>180.4076640625</v>
      </c>
      <c r="L30" s="239">
        <f t="shared" ref="L30:L35" si="15">K30/$J$6</f>
        <v>3.0067944010416667E-2</v>
      </c>
      <c r="M30" s="398">
        <f t="shared" si="4"/>
        <v>3.7584930013020833E-3</v>
      </c>
      <c r="N30" s="170">
        <f>$P30*C$42/$E$42</f>
        <v>455.76673026315785</v>
      </c>
      <c r="O30" s="170">
        <f>$P30*D$42/$E$42</f>
        <v>1709.1252384868421</v>
      </c>
      <c r="P30" s="170">
        <f>'Operating Inputs'!D31*'Capital Inputs'!K40</f>
        <v>2164.8919687500002</v>
      </c>
      <c r="Q30" s="398">
        <f t="shared" si="5"/>
        <v>4.760757801649306E-3</v>
      </c>
      <c r="V30" s="181"/>
      <c r="W30" s="249">
        <f t="shared" si="0"/>
        <v>0.72499999999999998</v>
      </c>
      <c r="X30" s="250">
        <f t="shared" si="1"/>
        <v>2.920773426168926</v>
      </c>
      <c r="Y30" s="250">
        <f t="shared" si="2"/>
        <v>7.4007931114160828</v>
      </c>
      <c r="Z30" s="181"/>
      <c r="AA30" s="80">
        <v>0.22500000000000001</v>
      </c>
      <c r="AB30" s="62">
        <v>8.3352077335026511</v>
      </c>
      <c r="AC30" s="5"/>
      <c r="AD30" s="80">
        <v>0.22500000000000001</v>
      </c>
      <c r="AE30" s="62">
        <v>21.153634855245798</v>
      </c>
      <c r="AF30" s="5"/>
      <c r="AG30" s="90"/>
      <c r="AH30" s="62"/>
      <c r="AJ30" s="91"/>
      <c r="AK30" s="24"/>
    </row>
    <row r="31" spans="1:37" ht="16.5" customHeight="1">
      <c r="A31" s="5"/>
      <c r="B31" s="332" t="s">
        <v>49</v>
      </c>
      <c r="C31" s="349" t="s">
        <v>81</v>
      </c>
      <c r="D31" s="146"/>
      <c r="E31" s="125"/>
      <c r="F31" s="170">
        <f>N31/$C$42</f>
        <v>125</v>
      </c>
      <c r="G31" s="239">
        <f t="shared" si="14"/>
        <v>5.208333333333333E-3</v>
      </c>
      <c r="H31" s="398">
        <f t="shared" si="3"/>
        <v>1.736111111111111E-3</v>
      </c>
      <c r="I31" s="340"/>
      <c r="J31" s="125"/>
      <c r="K31" s="170">
        <f>O31/$D$42</f>
        <v>125</v>
      </c>
      <c r="L31" s="239">
        <f t="shared" si="15"/>
        <v>2.0833333333333332E-2</v>
      </c>
      <c r="M31" s="398">
        <f t="shared" si="4"/>
        <v>2.6041666666666665E-3</v>
      </c>
      <c r="N31" s="170">
        <f>$P31*C$42/$E$42</f>
        <v>315.78947368421052</v>
      </c>
      <c r="O31" s="170">
        <f>$P31*D$42/$E$42</f>
        <v>1184.2105263157894</v>
      </c>
      <c r="P31" s="170">
        <f>'Operating Inputs'!D32</f>
        <v>1500</v>
      </c>
      <c r="Q31" s="398">
        <f t="shared" si="5"/>
        <v>3.2986111111111111E-3</v>
      </c>
      <c r="V31" s="181"/>
      <c r="W31" s="249">
        <f t="shared" si="0"/>
        <v>0.75</v>
      </c>
      <c r="X31" s="250">
        <f t="shared" si="1"/>
        <v>2.8395569115589203</v>
      </c>
      <c r="Y31" s="250">
        <f t="shared" si="2"/>
        <v>7.1945004852586356</v>
      </c>
      <c r="Z31" s="181"/>
      <c r="AA31" s="80">
        <v>0.25</v>
      </c>
      <c r="AB31" s="62">
        <v>7.5501147589392623</v>
      </c>
      <c r="AC31" s="5"/>
      <c r="AD31" s="80">
        <v>0.25</v>
      </c>
      <c r="AE31" s="62">
        <v>19.159472802390489</v>
      </c>
      <c r="AF31" s="5"/>
      <c r="AG31" s="90"/>
      <c r="AH31" s="62"/>
      <c r="AJ31" s="91"/>
      <c r="AK31" s="24"/>
    </row>
    <row r="32" spans="1:37" ht="16.5" customHeight="1">
      <c r="A32" s="5"/>
      <c r="B32" s="332" t="s">
        <v>108</v>
      </c>
      <c r="C32" s="328"/>
      <c r="D32" s="144">
        <f>'Operating Inputs'!D34</f>
        <v>7.2499999999999995E-2</v>
      </c>
      <c r="E32" s="125"/>
      <c r="F32" s="171">
        <f>'Capital Inputs'!$L40/'Capital Inputs'!D7*$T6/12</f>
        <v>1247.776915841341</v>
      </c>
      <c r="G32" s="240">
        <f t="shared" si="14"/>
        <v>5.1990704826722536E-2</v>
      </c>
      <c r="H32" s="399">
        <f t="shared" si="3"/>
        <v>1.7330234942240848E-2</v>
      </c>
      <c r="I32" s="341">
        <f>'Operating Inputs'!D34</f>
        <v>7.2499999999999995E-2</v>
      </c>
      <c r="J32" s="125"/>
      <c r="K32" s="171">
        <f>'Capital Inputs'!$L40/'Capital Inputs'!D7*$U6/12</f>
        <v>1039.8140965344508</v>
      </c>
      <c r="L32" s="240">
        <f t="shared" si="15"/>
        <v>0.17330234942240846</v>
      </c>
      <c r="M32" s="399">
        <f t="shared" si="4"/>
        <v>2.1662793677801058E-2</v>
      </c>
      <c r="N32" s="171">
        <f>F32*$C$42</f>
        <v>3152.2785242307559</v>
      </c>
      <c r="O32" s="171">
        <f>K32*$D$42</f>
        <v>9850.8703882211121</v>
      </c>
      <c r="P32" s="171">
        <f t="shared" si="7"/>
        <v>13003.148912451868</v>
      </c>
      <c r="Q32" s="399">
        <f t="shared" si="5"/>
        <v>2.8594887654697396E-2</v>
      </c>
      <c r="V32" s="181"/>
      <c r="W32" s="249">
        <f t="shared" si="0"/>
        <v>0.77500000000000002</v>
      </c>
      <c r="X32" s="250">
        <f t="shared" si="1"/>
        <v>2.7635801720850441</v>
      </c>
      <c r="Y32" s="250">
        <f t="shared" si="2"/>
        <v>7.0015170607887676</v>
      </c>
      <c r="Z32" s="181"/>
      <c r="AA32" s="80">
        <v>0.27500000000000002</v>
      </c>
      <c r="AB32" s="62">
        <v>6.9077659615692149</v>
      </c>
      <c r="AC32" s="5"/>
      <c r="AD32" s="80">
        <v>0.27500000000000002</v>
      </c>
      <c r="AE32" s="62">
        <v>17.527885668236145</v>
      </c>
      <c r="AF32" s="5"/>
      <c r="AG32" s="90"/>
      <c r="AH32" s="62"/>
      <c r="AJ32" s="91"/>
      <c r="AK32" s="24"/>
    </row>
    <row r="33" spans="1:37" ht="16.5" customHeight="1">
      <c r="A33" s="5"/>
      <c r="B33" s="360" t="s">
        <v>50</v>
      </c>
      <c r="C33" s="330"/>
      <c r="D33" s="125"/>
      <c r="E33" s="125"/>
      <c r="F33" s="172">
        <f>SUM(F30:F32)</f>
        <v>1553.184579903841</v>
      </c>
      <c r="G33" s="241">
        <f t="shared" si="14"/>
        <v>6.4716024162660049E-2</v>
      </c>
      <c r="H33" s="400">
        <f t="shared" si="3"/>
        <v>2.1572008054220014E-2</v>
      </c>
      <c r="I33" s="342"/>
      <c r="J33" s="125"/>
      <c r="K33" s="172">
        <f>SUM(K30:K32)</f>
        <v>1345.2217605969508</v>
      </c>
      <c r="L33" s="241">
        <f t="shared" si="15"/>
        <v>0.22420362676615849</v>
      </c>
      <c r="M33" s="400">
        <f t="shared" si="4"/>
        <v>2.8025453345769811E-2</v>
      </c>
      <c r="N33" s="172">
        <f>F33*$C$42</f>
        <v>3923.8347281781244</v>
      </c>
      <c r="O33" s="172">
        <f>K33*$D$42</f>
        <v>12744.206153023744</v>
      </c>
      <c r="P33" s="172">
        <f t="shared" si="7"/>
        <v>16668.040881201869</v>
      </c>
      <c r="Q33" s="400">
        <f t="shared" si="5"/>
        <v>3.6654256567457813E-2</v>
      </c>
      <c r="V33" s="181"/>
      <c r="W33" s="249">
        <f t="shared" si="0"/>
        <v>0.8</v>
      </c>
      <c r="X33" s="250">
        <f t="shared" si="1"/>
        <v>2.6923519788282846</v>
      </c>
      <c r="Y33" s="250">
        <f t="shared" si="2"/>
        <v>6.8205951003482657</v>
      </c>
      <c r="Z33" s="181"/>
      <c r="AA33" s="80">
        <v>0.3</v>
      </c>
      <c r="AB33" s="62">
        <v>6.3724752970941765</v>
      </c>
      <c r="AC33" s="5"/>
      <c r="AD33" s="80">
        <v>0.3</v>
      </c>
      <c r="AE33" s="62">
        <v>16.168229723107526</v>
      </c>
      <c r="AF33" s="5"/>
      <c r="AG33" s="90"/>
      <c r="AH33" s="62"/>
      <c r="AJ33" s="91"/>
      <c r="AK33" s="24"/>
    </row>
    <row r="34" spans="1:37" ht="16.5" customHeight="1">
      <c r="A34" s="5"/>
      <c r="B34" s="361" t="s">
        <v>51</v>
      </c>
      <c r="C34" s="345"/>
      <c r="D34" s="134"/>
      <c r="E34" s="134"/>
      <c r="F34" s="284">
        <f>SUM(F33,F28)</f>
        <v>64616.447491878833</v>
      </c>
      <c r="G34" s="286">
        <f t="shared" si="14"/>
        <v>2.6923519788282846</v>
      </c>
      <c r="H34" s="402">
        <f t="shared" si="3"/>
        <v>0.89745065960942827</v>
      </c>
      <c r="I34" s="346"/>
      <c r="J34" s="148"/>
      <c r="K34" s="284">
        <f>SUM(K33,K28)</f>
        <v>43167.002911551812</v>
      </c>
      <c r="L34" s="286">
        <f t="shared" si="15"/>
        <v>7.1945004852586356</v>
      </c>
      <c r="M34" s="402">
        <f t="shared" si="4"/>
        <v>0.89931256065732945</v>
      </c>
      <c r="N34" s="284">
        <f>SUM(N33,N28)</f>
        <v>151905.35472817809</v>
      </c>
      <c r="O34" s="284">
        <f>SUM(O33,O28)</f>
        <v>175665.66562670801</v>
      </c>
      <c r="P34" s="284">
        <f>SUM(P28,P33)</f>
        <v>339370.34030329611</v>
      </c>
      <c r="Q34" s="402">
        <f t="shared" si="5"/>
        <v>0.74630051687067434</v>
      </c>
      <c r="V34" s="181"/>
      <c r="W34" s="249">
        <f t="shared" si="0"/>
        <v>0.82499999999999996</v>
      </c>
      <c r="X34" s="250">
        <f t="shared" si="1"/>
        <v>2.6254406457689052</v>
      </c>
      <c r="Y34" s="250">
        <f t="shared" si="2"/>
        <v>6.6506381072071878</v>
      </c>
      <c r="Z34" s="181"/>
      <c r="AA34" s="80">
        <v>0.32500000000000001</v>
      </c>
      <c r="AB34" s="62">
        <v>5.9195370425383746</v>
      </c>
      <c r="AC34" s="5"/>
      <c r="AD34" s="80">
        <v>0.32500000000000001</v>
      </c>
      <c r="AE34" s="62">
        <v>15.017751615690999</v>
      </c>
      <c r="AF34" s="5"/>
      <c r="AG34" s="90"/>
      <c r="AH34" s="62"/>
      <c r="AJ34" s="91"/>
      <c r="AK34" s="24"/>
    </row>
    <row r="35" spans="1:37" ht="16.5" customHeight="1">
      <c r="A35" s="5"/>
      <c r="B35" s="362" t="s">
        <v>121</v>
      </c>
      <c r="C35" s="347"/>
      <c r="D35" s="129"/>
      <c r="E35" s="129"/>
      <c r="F35" s="285">
        <f>F8-F34</f>
        <v>2621.5733081211656</v>
      </c>
      <c r="G35" s="287">
        <f t="shared" si="14"/>
        <v>0.10923222117171523</v>
      </c>
      <c r="H35" s="403">
        <f t="shared" si="3"/>
        <v>3.6410740390571746E-2</v>
      </c>
      <c r="I35" s="348"/>
      <c r="J35" s="149"/>
      <c r="K35" s="285">
        <f>K8-K34</f>
        <v>2672.9970884481882</v>
      </c>
      <c r="L35" s="287">
        <f t="shared" si="15"/>
        <v>0.44549951474136468</v>
      </c>
      <c r="M35" s="403">
        <f t="shared" si="4"/>
        <v>5.5687439342670585E-2</v>
      </c>
      <c r="N35" s="285"/>
      <c r="O35" s="285"/>
      <c r="P35" s="285">
        <f>P8-P34</f>
        <v>94903.343907230184</v>
      </c>
      <c r="Q35" s="403">
        <f t="shared" si="5"/>
        <v>0.20869948312932565</v>
      </c>
      <c r="V35" s="181"/>
      <c r="W35" s="249">
        <f t="shared" si="0"/>
        <v>0.85</v>
      </c>
      <c r="X35" s="250">
        <f t="shared" si="1"/>
        <v>2.562465273477724</v>
      </c>
      <c r="Y35" s="250">
        <f t="shared" si="2"/>
        <v>6.4906785842508796</v>
      </c>
      <c r="Z35" s="181"/>
      <c r="AA35" s="80">
        <v>0.35</v>
      </c>
      <c r="AB35" s="62">
        <v>5.5313042529191154</v>
      </c>
      <c r="AC35" s="5"/>
      <c r="AD35" s="80">
        <v>0.35</v>
      </c>
      <c r="AE35" s="62">
        <v>14.031627523619695</v>
      </c>
      <c r="AF35" s="5"/>
      <c r="AG35" s="90"/>
      <c r="AH35" s="62"/>
      <c r="AJ35" s="91"/>
      <c r="AK35" s="24"/>
    </row>
    <row r="36" spans="1:37" ht="16.5" customHeight="1">
      <c r="A36" s="5"/>
      <c r="B36" s="125"/>
      <c r="C36" s="125"/>
      <c r="D36" s="125"/>
      <c r="E36" s="125"/>
      <c r="F36" s="125"/>
      <c r="G36" s="125"/>
      <c r="H36" s="125"/>
      <c r="I36" s="125"/>
      <c r="J36" s="125"/>
      <c r="K36" s="125"/>
      <c r="L36" s="125"/>
      <c r="M36" s="125"/>
      <c r="N36" s="125"/>
      <c r="O36" s="125"/>
      <c r="P36" s="125"/>
      <c r="Q36" s="125"/>
      <c r="V36" s="181"/>
      <c r="W36" s="249">
        <f t="shared" si="0"/>
        <v>0.875</v>
      </c>
      <c r="X36" s="250">
        <f t="shared" si="1"/>
        <v>2.503088493888896</v>
      </c>
      <c r="Y36" s="250">
        <f t="shared" si="2"/>
        <v>6.339859605463503</v>
      </c>
      <c r="Z36" s="181"/>
      <c r="AA36" s="80">
        <v>0.375</v>
      </c>
      <c r="AB36" s="62">
        <v>5.1948358352490906</v>
      </c>
      <c r="AC36" s="5"/>
      <c r="AD36" s="80">
        <v>0.375</v>
      </c>
      <c r="AE36" s="62">
        <v>13.176986643824565</v>
      </c>
      <c r="AF36" s="5"/>
      <c r="AG36" s="90"/>
      <c r="AH36" s="62"/>
      <c r="AJ36" s="91"/>
      <c r="AK36" s="24"/>
    </row>
    <row r="37" spans="1:37" ht="16.5" customHeight="1">
      <c r="A37" s="5"/>
      <c r="B37" s="322" t="s">
        <v>326</v>
      </c>
      <c r="C37" s="323" cm="1">
        <f t="array" ref="C37">IFERROR(INDEX(_xlfn._xlws.FILTER(B66:B75, F65:F74&gt;0), 1),"&gt;25 years")</f>
        <v>4</v>
      </c>
      <c r="D37" s="5"/>
      <c r="E37" s="5"/>
      <c r="F37" s="158"/>
      <c r="G37" s="125"/>
      <c r="H37" s="125"/>
      <c r="I37" s="125"/>
      <c r="J37" s="125"/>
      <c r="K37" s="125"/>
      <c r="L37" s="125"/>
      <c r="M37" s="125"/>
      <c r="P37" s="181">
        <f>P35/J6/D42</f>
        <v>1.6695958650346052</v>
      </c>
      <c r="Q37" s="181">
        <f>P35/J6/D42</f>
        <v>1.6695958650346052</v>
      </c>
      <c r="V37" s="181"/>
      <c r="W37" s="255">
        <f t="shared" si="0"/>
        <v>0.9</v>
      </c>
      <c r="X37" s="256">
        <f t="shared" si="1"/>
        <v>2.447010424277225</v>
      </c>
      <c r="Y37" s="256">
        <f t="shared" si="2"/>
        <v>6.1974194588309821</v>
      </c>
      <c r="Z37" s="181"/>
      <c r="AA37" s="80">
        <v>0.4</v>
      </c>
      <c r="AB37" s="62">
        <v>4.9004259697878201</v>
      </c>
      <c r="AC37" s="5"/>
      <c r="AD37" s="80">
        <v>0.4</v>
      </c>
      <c r="AE37" s="62">
        <v>12.429175874003823</v>
      </c>
      <c r="AF37" s="5"/>
      <c r="AG37" s="90"/>
      <c r="AH37" s="62"/>
      <c r="AJ37" s="91"/>
      <c r="AK37" s="24"/>
    </row>
    <row r="38" spans="1:37" ht="16.5" customHeight="1">
      <c r="A38" s="5"/>
      <c r="B38" s="159" t="s">
        <v>327</v>
      </c>
      <c r="C38" s="288">
        <f>IFERROR(IRR(E65:E75),"High loss")</f>
        <v>0.24323024020852757</v>
      </c>
      <c r="D38" s="5"/>
      <c r="E38" s="5"/>
      <c r="F38" s="125"/>
      <c r="G38" s="125"/>
      <c r="H38" s="125"/>
      <c r="I38" s="125"/>
      <c r="J38" s="125"/>
      <c r="K38" s="125"/>
      <c r="L38" s="125"/>
      <c r="M38" s="125"/>
      <c r="P38" s="125"/>
      <c r="Q38" s="125"/>
      <c r="R38" s="14"/>
      <c r="V38" s="181"/>
      <c r="W38" s="181"/>
      <c r="X38" s="181"/>
      <c r="Y38" s="181"/>
      <c r="Z38" s="181"/>
      <c r="AA38" s="80">
        <v>0.42499999999999999</v>
      </c>
      <c r="AB38" s="62">
        <v>4.640652559086698</v>
      </c>
      <c r="AC38" s="5"/>
      <c r="AD38" s="80">
        <v>0.42499999999999999</v>
      </c>
      <c r="AE38" s="62">
        <v>11.769342841809051</v>
      </c>
      <c r="AF38" s="5"/>
      <c r="AG38" s="90"/>
      <c r="AH38" s="62"/>
      <c r="AJ38" s="91"/>
      <c r="AK38" s="24"/>
    </row>
    <row r="39" spans="1:37" ht="16.5" customHeight="1">
      <c r="A39" s="5"/>
      <c r="B39" s="164" t="str">
        <f>"NPV at " &amp; 100*D33 &amp; " % in 10 years"</f>
        <v>NPV at 0 % in 10 years</v>
      </c>
      <c r="C39" s="289">
        <f>NPV(D33,E65:E75)</f>
        <v>928798.84367301106</v>
      </c>
      <c r="D39" s="5"/>
      <c r="E39" s="5"/>
      <c r="F39" s="125"/>
      <c r="G39" s="125"/>
      <c r="H39" s="125"/>
      <c r="I39" s="125"/>
      <c r="J39" s="125"/>
      <c r="K39" s="125"/>
      <c r="L39" s="125"/>
      <c r="M39" s="125"/>
      <c r="P39" s="125"/>
      <c r="Q39" s="125"/>
      <c r="R39" s="15"/>
      <c r="V39" s="181"/>
      <c r="W39" s="181"/>
      <c r="X39" s="181"/>
      <c r="Y39" s="181"/>
      <c r="Z39" s="181"/>
      <c r="AA39" s="80">
        <v>0.45</v>
      </c>
      <c r="AB39" s="62">
        <v>4.409742860685701</v>
      </c>
      <c r="AC39" s="5"/>
      <c r="AD39" s="80">
        <v>0.45</v>
      </c>
      <c r="AE39" s="62">
        <v>11.182824590969251</v>
      </c>
      <c r="AF39" s="5"/>
      <c r="AG39" s="90"/>
      <c r="AH39" s="62"/>
      <c r="AJ39" s="91"/>
      <c r="AK39" s="24"/>
    </row>
    <row r="40" spans="1:37" ht="16.5" customHeight="1">
      <c r="A40" s="5"/>
      <c r="B40" s="159"/>
      <c r="C40" s="317"/>
      <c r="D40" s="5"/>
      <c r="E40" s="5"/>
      <c r="F40" s="260"/>
      <c r="G40" s="260"/>
      <c r="H40" s="260"/>
      <c r="I40" s="261"/>
      <c r="J40" s="261"/>
      <c r="K40" s="262"/>
      <c r="L40" s="262"/>
      <c r="M40" s="262"/>
      <c r="N40" s="263">
        <f>F8</f>
        <v>67238.020799999998</v>
      </c>
      <c r="O40" s="263"/>
      <c r="P40" s="263"/>
      <c r="Q40" s="263"/>
      <c r="V40" s="181"/>
      <c r="W40" s="181"/>
      <c r="X40" s="181"/>
      <c r="Y40" s="181"/>
      <c r="Z40" s="181"/>
      <c r="AA40" s="80">
        <v>0.47499999999999998</v>
      </c>
      <c r="AB40" s="62">
        <v>4.2031394463269143</v>
      </c>
      <c r="AC40" s="5"/>
      <c r="AD40" s="80">
        <v>0.47499999999999998</v>
      </c>
      <c r="AE40" s="62">
        <v>10.65804510337575</v>
      </c>
      <c r="AF40" s="5"/>
      <c r="AG40" s="90"/>
      <c r="AH40" s="62"/>
      <c r="AJ40" s="91"/>
      <c r="AK40" s="24"/>
    </row>
    <row r="41" spans="1:37" ht="30" customHeight="1">
      <c r="A41" s="5"/>
      <c r="B41" s="165"/>
      <c r="C41" s="320" t="s">
        <v>126</v>
      </c>
      <c r="D41" s="320" t="s">
        <v>127</v>
      </c>
      <c r="E41" s="320" t="s">
        <v>151</v>
      </c>
      <c r="F41" s="125"/>
      <c r="G41" s="125"/>
      <c r="H41" s="125"/>
      <c r="I41" s="125"/>
      <c r="J41" s="125"/>
      <c r="K41" s="125"/>
      <c r="L41" s="262"/>
      <c r="M41" s="262"/>
      <c r="N41" s="125"/>
      <c r="O41" s="125"/>
      <c r="P41" s="125"/>
      <c r="Q41" s="125"/>
      <c r="V41" s="181"/>
      <c r="W41" s="181"/>
      <c r="X41" s="181"/>
      <c r="Y41" s="181"/>
      <c r="Z41" s="181"/>
      <c r="AA41" s="80">
        <v>0.5</v>
      </c>
      <c r="AB41" s="62">
        <v>4.0171963734040057</v>
      </c>
      <c r="AC41" s="5"/>
      <c r="AD41" s="80">
        <v>0.5</v>
      </c>
      <c r="AE41" s="62">
        <v>10.1857435645416</v>
      </c>
      <c r="AF41" s="5"/>
      <c r="AG41" s="90"/>
      <c r="AH41" s="62"/>
      <c r="AJ41" s="91"/>
      <c r="AK41" s="24"/>
    </row>
    <row r="42" spans="1:37" ht="16.5" customHeight="1">
      <c r="A42" s="5"/>
      <c r="B42" s="127" t="s">
        <v>142</v>
      </c>
      <c r="C42" s="136">
        <f>'Capital Inputs'!$D$7/(1+$E$11/$J$11)</f>
        <v>2.5263157894736841</v>
      </c>
      <c r="D42" s="136">
        <f>($E$11/$J$11)*'Capital Inputs'!$D$7/(1+$E$11/$J$11)</f>
        <v>9.473684210526315</v>
      </c>
      <c r="E42" s="136">
        <f>SUM(C42:D42)</f>
        <v>12</v>
      </c>
      <c r="F42" s="260"/>
      <c r="G42" s="260"/>
      <c r="H42" s="260"/>
      <c r="I42" s="125"/>
      <c r="J42" s="125"/>
      <c r="K42" s="125"/>
      <c r="L42" s="262"/>
      <c r="M42" s="262"/>
      <c r="N42" s="125"/>
      <c r="O42" s="125"/>
      <c r="P42" s="125"/>
      <c r="Q42" s="125"/>
      <c r="V42" s="181"/>
      <c r="W42" s="181"/>
      <c r="X42" s="181"/>
      <c r="Y42" s="181"/>
      <c r="Z42" s="181"/>
      <c r="AA42" s="80">
        <v>0.52500000000000002</v>
      </c>
      <c r="AB42" s="62">
        <v>3.8489621645689933</v>
      </c>
      <c r="AC42" s="5"/>
      <c r="AD42" s="80">
        <v>0.52500000000000002</v>
      </c>
      <c r="AE42" s="62">
        <v>9.7584231246440343</v>
      </c>
      <c r="AF42" s="5"/>
      <c r="AG42" s="90"/>
      <c r="AH42" s="62"/>
      <c r="AJ42" s="91"/>
      <c r="AK42" s="24"/>
    </row>
    <row r="43" spans="1:37" ht="16.5" customHeight="1">
      <c r="A43" s="5"/>
      <c r="B43" s="127" t="s">
        <v>422</v>
      </c>
      <c r="C43" s="279">
        <f>N8/N34</f>
        <v>0</v>
      </c>
      <c r="D43" s="279">
        <f>O8/O34</f>
        <v>2.4721602975812242</v>
      </c>
      <c r="E43" s="279">
        <f>P8/P34</f>
        <v>1.279645368603558</v>
      </c>
      <c r="F43" s="261"/>
      <c r="G43" s="261"/>
      <c r="H43" s="261"/>
      <c r="I43" s="261"/>
      <c r="J43" s="261"/>
      <c r="K43" s="261"/>
      <c r="L43" s="261"/>
      <c r="M43" s="261"/>
      <c r="N43" s="125"/>
      <c r="O43" s="125"/>
      <c r="P43" s="125"/>
      <c r="Q43" s="125"/>
      <c r="R43" s="18"/>
      <c r="V43" s="181"/>
      <c r="W43" s="181"/>
      <c r="X43" s="181"/>
      <c r="Y43" s="181"/>
      <c r="Z43" s="181"/>
      <c r="AA43" s="80">
        <v>0.55000000000000004</v>
      </c>
      <c r="AB43" s="62">
        <v>3.6960219747189833</v>
      </c>
      <c r="AC43" s="5"/>
      <c r="AD43" s="80">
        <v>0.55000000000000004</v>
      </c>
      <c r="AE43" s="62">
        <v>9.3699499974644276</v>
      </c>
      <c r="AF43" s="5"/>
      <c r="AG43" s="90"/>
      <c r="AH43" s="62"/>
      <c r="AJ43" s="91"/>
      <c r="AK43" s="24"/>
    </row>
    <row r="44" spans="1:37" ht="16.5" customHeight="1">
      <c r="A44" s="5"/>
      <c r="B44" s="127" t="s">
        <v>146</v>
      </c>
      <c r="C44" s="167">
        <f>G34</f>
        <v>2.6923519788282846</v>
      </c>
      <c r="D44" s="167">
        <f>L34</f>
        <v>7.1945004852586356</v>
      </c>
      <c r="E44" s="167">
        <f>(P34)/(D42*J6)</f>
        <v>5.9704041349653947</v>
      </c>
      <c r="F44" s="261"/>
      <c r="G44" s="261"/>
      <c r="H44" s="261"/>
      <c r="I44" s="261"/>
      <c r="J44" s="261"/>
      <c r="K44" s="261"/>
      <c r="L44" s="261"/>
      <c r="M44" s="261"/>
      <c r="N44" s="264"/>
      <c r="O44" s="264"/>
      <c r="P44" s="264"/>
      <c r="Q44" s="264"/>
      <c r="R44" s="18"/>
      <c r="V44" s="181"/>
      <c r="W44" s="181"/>
      <c r="X44" s="181"/>
      <c r="Y44" s="181"/>
      <c r="Z44" s="181"/>
      <c r="AA44" s="80">
        <v>0.57499999999999996</v>
      </c>
      <c r="AB44" s="62">
        <v>3.5563809318124506</v>
      </c>
      <c r="AC44" s="5"/>
      <c r="AD44" s="80">
        <v>0.57499999999999996</v>
      </c>
      <c r="AE44" s="62">
        <v>9.0152571422134837</v>
      </c>
      <c r="AF44" s="5"/>
      <c r="AG44" s="90"/>
      <c r="AH44" s="62"/>
      <c r="AJ44" s="91"/>
      <c r="AK44" s="24"/>
    </row>
    <row r="45" spans="1:37" ht="16.5" customHeight="1">
      <c r="A45" s="5"/>
      <c r="B45" s="130" t="s">
        <v>145</v>
      </c>
      <c r="C45" s="321">
        <f>F34/G8</f>
        <v>23064.253250671118</v>
      </c>
      <c r="D45" s="321">
        <f>K34/L8</f>
        <v>5650.1312711455257</v>
      </c>
      <c r="E45" s="321">
        <f>P34/L8/D42</f>
        <v>4688.7990588733473</v>
      </c>
      <c r="F45" s="263"/>
      <c r="G45" s="263"/>
      <c r="H45" s="263"/>
      <c r="I45" s="263"/>
      <c r="J45" s="263"/>
      <c r="K45" s="261"/>
      <c r="L45" s="261"/>
      <c r="M45" s="261"/>
      <c r="N45" s="264"/>
      <c r="O45" s="264"/>
      <c r="P45" s="264"/>
      <c r="Q45" s="264"/>
      <c r="R45" s="18"/>
      <c r="V45" s="181"/>
      <c r="W45" s="181"/>
      <c r="X45" s="181"/>
      <c r="Y45" s="181"/>
      <c r="Z45" s="181"/>
      <c r="AA45" s="80">
        <v>0.6</v>
      </c>
      <c r="AB45" s="62">
        <v>3.4283766424814632</v>
      </c>
      <c r="AC45" s="5"/>
      <c r="AD45" s="80">
        <v>0.6</v>
      </c>
      <c r="AE45" s="62">
        <v>8.6901220249001181</v>
      </c>
      <c r="AF45" s="5"/>
      <c r="AG45" s="90"/>
      <c r="AH45" s="62"/>
      <c r="AJ45" s="91"/>
      <c r="AK45" s="24"/>
    </row>
    <row r="46" spans="1:37" ht="16.5" customHeight="1">
      <c r="A46" s="5"/>
      <c r="B46" s="125"/>
      <c r="C46" s="125"/>
      <c r="D46" s="125"/>
      <c r="E46" s="125"/>
      <c r="F46" s="263"/>
      <c r="G46" s="263"/>
      <c r="H46" s="263"/>
      <c r="I46" s="263"/>
      <c r="J46" s="263"/>
      <c r="K46" s="261"/>
      <c r="L46" s="261"/>
      <c r="M46" s="261"/>
      <c r="N46" s="264"/>
      <c r="O46" s="264"/>
      <c r="P46" s="264"/>
      <c r="Q46" s="264"/>
      <c r="R46" s="18"/>
      <c r="V46" s="181"/>
      <c r="W46" s="181"/>
      <c r="X46" s="181"/>
      <c r="Y46" s="181"/>
      <c r="Z46" s="181"/>
      <c r="AA46" s="80">
        <v>0.625</v>
      </c>
      <c r="AB46" s="62">
        <v>3.3106126962969546</v>
      </c>
      <c r="AC46" s="5"/>
      <c r="AD46" s="80">
        <v>0.625</v>
      </c>
      <c r="AE46" s="62">
        <v>8.3909977169718211</v>
      </c>
      <c r="AF46" s="5"/>
      <c r="AG46" s="90"/>
      <c r="AH46" s="62"/>
      <c r="AJ46" s="91"/>
      <c r="AK46" s="24"/>
    </row>
    <row r="47" spans="1:37" ht="8.25" customHeight="1">
      <c r="A47" s="5"/>
      <c r="B47" s="125"/>
      <c r="C47" s="125"/>
      <c r="D47" s="125"/>
      <c r="E47" s="125"/>
      <c r="F47" s="261"/>
      <c r="G47" s="261"/>
      <c r="H47" s="261"/>
      <c r="I47" s="261"/>
      <c r="J47" s="261"/>
      <c r="K47" s="261"/>
      <c r="L47" s="261"/>
      <c r="M47" s="261"/>
      <c r="N47" s="264"/>
      <c r="O47" s="264"/>
      <c r="P47" s="264"/>
      <c r="Q47" s="264"/>
      <c r="R47" s="18"/>
      <c r="V47" s="181"/>
      <c r="W47" s="181"/>
      <c r="X47" s="181"/>
      <c r="Y47" s="181"/>
      <c r="Z47" s="181"/>
      <c r="AA47" s="80">
        <v>0.65</v>
      </c>
      <c r="AB47" s="62">
        <v>3.2019075152035619</v>
      </c>
      <c r="AC47" s="5"/>
      <c r="AD47" s="80">
        <v>0.65</v>
      </c>
      <c r="AE47" s="62">
        <v>8.1148829711918555</v>
      </c>
      <c r="AF47" s="5"/>
      <c r="AG47" s="90"/>
      <c r="AH47" s="62"/>
      <c r="AJ47" s="91"/>
      <c r="AK47" s="24"/>
    </row>
    <row r="48" spans="1:37" ht="8.25" customHeight="1">
      <c r="A48" s="5"/>
      <c r="B48" s="125"/>
      <c r="C48" s="125"/>
      <c r="D48" s="125"/>
      <c r="E48" s="125"/>
      <c r="F48" s="261"/>
      <c r="G48" s="261"/>
      <c r="H48" s="261"/>
      <c r="I48" s="261"/>
      <c r="J48" s="261"/>
      <c r="K48" s="261"/>
      <c r="L48" s="261"/>
      <c r="M48" s="261"/>
      <c r="N48" s="264"/>
      <c r="O48" s="264"/>
      <c r="P48" s="264"/>
      <c r="Q48" s="264"/>
      <c r="V48" s="181"/>
      <c r="W48" s="181"/>
      <c r="X48" s="181"/>
      <c r="Y48" s="181"/>
      <c r="Z48" s="181"/>
      <c r="AA48" s="80">
        <v>0.67500000000000004</v>
      </c>
      <c r="AB48" s="62">
        <v>3.1012545697467173</v>
      </c>
      <c r="AC48" s="5"/>
      <c r="AD48" s="80">
        <v>0.67500000000000004</v>
      </c>
      <c r="AE48" s="62">
        <v>7.8592211695437406</v>
      </c>
      <c r="AF48" s="5"/>
      <c r="AG48" s="90"/>
      <c r="AH48" s="62"/>
      <c r="AJ48" s="91"/>
      <c r="AK48" s="24"/>
    </row>
    <row r="49" spans="1:37" ht="8.25" customHeight="1">
      <c r="A49" s="5"/>
      <c r="B49" s="125"/>
      <c r="C49" s="125"/>
      <c r="D49" s="125"/>
      <c r="E49" s="125"/>
      <c r="F49" s="261"/>
      <c r="G49" s="261"/>
      <c r="H49" s="261"/>
      <c r="I49" s="261"/>
      <c r="J49" s="261"/>
      <c r="K49" s="261"/>
      <c r="L49" s="261"/>
      <c r="M49" s="261"/>
      <c r="N49" s="125"/>
      <c r="O49" s="125"/>
      <c r="P49" s="125"/>
      <c r="Q49" s="125"/>
      <c r="V49" s="181"/>
      <c r="W49" s="181"/>
      <c r="X49" s="181"/>
      <c r="Y49" s="181"/>
      <c r="Z49" s="181"/>
      <c r="AA49" s="80">
        <v>0.7</v>
      </c>
      <c r="AB49" s="62">
        <v>3.0077911203939327</v>
      </c>
      <c r="AC49" s="252"/>
      <c r="AD49" s="80">
        <v>0.7</v>
      </c>
      <c r="AE49" s="62">
        <v>7.6218209251562019</v>
      </c>
      <c r="AF49" s="5"/>
      <c r="AG49" s="90"/>
      <c r="AH49" s="62"/>
      <c r="AI49" s="82"/>
      <c r="AJ49" s="91"/>
      <c r="AK49" s="24"/>
    </row>
    <row r="50" spans="1:37" ht="8.25" customHeight="1">
      <c r="B50" s="125"/>
      <c r="C50" s="125"/>
      <c r="D50" s="125"/>
      <c r="E50" s="125"/>
      <c r="F50" s="261"/>
      <c r="G50" s="261"/>
      <c r="H50" s="261"/>
      <c r="I50" s="261"/>
      <c r="J50" s="261"/>
      <c r="K50" s="261"/>
      <c r="L50" s="261"/>
      <c r="M50" s="261"/>
      <c r="N50" s="125"/>
      <c r="O50" s="125"/>
      <c r="P50" s="125"/>
      <c r="Q50" s="125"/>
      <c r="V50" s="181"/>
      <c r="W50" s="181"/>
      <c r="X50" s="181"/>
      <c r="Y50" s="181"/>
      <c r="Z50" s="181"/>
      <c r="AA50" s="80">
        <v>0.72499999999999998</v>
      </c>
      <c r="AB50" s="62">
        <v>2.920773426168926</v>
      </c>
      <c r="AC50" s="253"/>
      <c r="AD50" s="80">
        <v>0.72499999999999998</v>
      </c>
      <c r="AE50" s="62">
        <v>7.4007931114160828</v>
      </c>
      <c r="AF50" s="5"/>
      <c r="AG50" s="90"/>
      <c r="AH50" s="62"/>
      <c r="AI50" s="83"/>
      <c r="AJ50" s="91"/>
      <c r="AK50" s="24"/>
    </row>
    <row r="51" spans="1:37" ht="8.25" customHeight="1">
      <c r="B51" s="125"/>
      <c r="C51" s="125"/>
      <c r="D51" s="125"/>
      <c r="E51" s="125"/>
      <c r="F51" s="125"/>
      <c r="G51" s="125"/>
      <c r="H51" s="125"/>
      <c r="I51" s="125"/>
      <c r="J51" s="125"/>
      <c r="K51" s="125"/>
      <c r="L51" s="125"/>
      <c r="M51" s="125"/>
      <c r="N51" s="125"/>
      <c r="O51" s="125"/>
      <c r="P51" s="125"/>
      <c r="Q51" s="125"/>
      <c r="V51" s="181"/>
      <c r="W51" s="181"/>
      <c r="X51" s="181"/>
      <c r="Y51" s="181"/>
      <c r="Z51" s="181"/>
      <c r="AA51" s="80">
        <v>0.75</v>
      </c>
      <c r="AB51" s="62">
        <v>2.8395569115589203</v>
      </c>
      <c r="AC51" s="83"/>
      <c r="AD51" s="80">
        <v>0.75</v>
      </c>
      <c r="AE51" s="62">
        <v>7.1945004852586356</v>
      </c>
      <c r="AG51" s="90"/>
      <c r="AH51" s="62"/>
      <c r="AI51" s="83"/>
      <c r="AJ51" s="91"/>
      <c r="AK51" s="24"/>
    </row>
    <row r="52" spans="1:37" ht="8.25" customHeight="1">
      <c r="B52" s="125"/>
      <c r="C52" s="125"/>
      <c r="D52" s="125"/>
      <c r="E52" s="125"/>
      <c r="F52" s="125"/>
      <c r="G52" s="125"/>
      <c r="H52" s="125"/>
      <c r="I52" s="125"/>
      <c r="J52" s="125"/>
      <c r="K52" s="125"/>
      <c r="L52" s="125"/>
      <c r="M52" s="125"/>
      <c r="N52" s="125"/>
      <c r="O52" s="125"/>
      <c r="P52" s="125"/>
      <c r="Q52" s="125"/>
      <c r="V52" s="181"/>
      <c r="W52" s="181"/>
      <c r="X52" s="181"/>
      <c r="Y52" s="181"/>
      <c r="Z52" s="181"/>
      <c r="AA52" s="80">
        <v>0.77500000000000002</v>
      </c>
      <c r="AB52" s="62">
        <v>2.7635801720850441</v>
      </c>
      <c r="AC52" s="4"/>
      <c r="AD52" s="80">
        <v>0.77500000000000002</v>
      </c>
      <c r="AE52" s="62">
        <v>7.0015170607887676</v>
      </c>
      <c r="AG52" s="90"/>
      <c r="AH52" s="62"/>
      <c r="AI52" s="4"/>
      <c r="AJ52" s="91"/>
      <c r="AK52" s="24"/>
    </row>
    <row r="53" spans="1:37" ht="8.25" customHeight="1">
      <c r="B53" s="125"/>
      <c r="C53" s="125"/>
      <c r="D53" s="125"/>
      <c r="E53" s="125"/>
      <c r="F53" s="125"/>
      <c r="G53" s="125"/>
      <c r="H53" s="125"/>
      <c r="I53" s="125"/>
      <c r="J53" s="125"/>
      <c r="K53" s="125"/>
      <c r="L53" s="125"/>
      <c r="M53" s="125"/>
      <c r="N53" s="125"/>
      <c r="O53" s="125"/>
      <c r="P53" s="125"/>
      <c r="Q53" s="125"/>
      <c r="V53" s="181"/>
      <c r="W53" s="181"/>
      <c r="X53" s="181"/>
      <c r="Y53" s="181"/>
      <c r="Z53" s="181"/>
      <c r="AA53" s="80">
        <v>0.8</v>
      </c>
      <c r="AB53" s="62">
        <v>2.6923519788282846</v>
      </c>
      <c r="AC53" s="4"/>
      <c r="AD53" s="80">
        <v>0.8</v>
      </c>
      <c r="AE53" s="62">
        <v>6.8205951003482657</v>
      </c>
      <c r="AG53" s="90"/>
      <c r="AH53" s="62"/>
      <c r="AI53" s="4"/>
      <c r="AJ53" s="91"/>
      <c r="AK53" s="24"/>
    </row>
    <row r="54" spans="1:37" ht="8.25" customHeight="1">
      <c r="B54" s="125"/>
      <c r="C54" s="125"/>
      <c r="D54" s="125"/>
      <c r="E54" s="125"/>
      <c r="F54" s="125"/>
      <c r="G54" s="125"/>
      <c r="H54" s="125"/>
      <c r="I54" s="125"/>
      <c r="J54" s="125"/>
      <c r="K54" s="125"/>
      <c r="L54" s="125"/>
      <c r="M54" s="125"/>
      <c r="N54" s="125"/>
      <c r="O54" s="125"/>
      <c r="P54" s="125"/>
      <c r="Q54" s="125"/>
      <c r="V54" s="181"/>
      <c r="W54" s="181"/>
      <c r="X54" s="181"/>
      <c r="Y54" s="181"/>
      <c r="Z54" s="181"/>
      <c r="AA54" s="80">
        <v>0.82499999999999996</v>
      </c>
      <c r="AB54" s="62">
        <v>2.6254406457689052</v>
      </c>
      <c r="AC54" s="4"/>
      <c r="AD54" s="80">
        <v>0.82499999999999996</v>
      </c>
      <c r="AE54" s="62">
        <v>6.6506381072071878</v>
      </c>
      <c r="AG54" s="90"/>
      <c r="AH54" s="62"/>
      <c r="AI54" s="4"/>
      <c r="AJ54" s="91"/>
      <c r="AK54" s="24"/>
    </row>
    <row r="55" spans="1:37" ht="8.25" customHeight="1">
      <c r="B55" s="125"/>
      <c r="C55" s="125"/>
      <c r="D55" s="125"/>
      <c r="E55" s="125"/>
      <c r="F55" s="125"/>
      <c r="G55" s="125"/>
      <c r="H55" s="125"/>
      <c r="I55" s="125"/>
      <c r="J55" s="125"/>
      <c r="K55" s="125"/>
      <c r="L55" s="125"/>
      <c r="M55" s="125"/>
      <c r="N55" s="125"/>
      <c r="O55" s="125"/>
      <c r="P55" s="125"/>
      <c r="Q55" s="125"/>
      <c r="V55" s="181"/>
      <c r="W55" s="181"/>
      <c r="X55" s="181"/>
      <c r="Y55" s="181"/>
      <c r="Z55" s="181"/>
      <c r="AA55" s="80">
        <v>0.85</v>
      </c>
      <c r="AB55" s="62">
        <v>2.562465273477724</v>
      </c>
      <c r="AC55" s="4"/>
      <c r="AD55" s="80">
        <v>0.85</v>
      </c>
      <c r="AE55" s="62">
        <v>6.4906785842508796</v>
      </c>
      <c r="AG55" s="90"/>
      <c r="AH55" s="62"/>
      <c r="AI55" s="4"/>
      <c r="AJ55" s="91"/>
      <c r="AK55" s="24"/>
    </row>
    <row r="56" spans="1:37" ht="8.25" customHeight="1">
      <c r="B56" s="125"/>
      <c r="C56" s="125"/>
      <c r="D56" s="125"/>
      <c r="E56" s="125"/>
      <c r="F56" s="125"/>
      <c r="G56" s="125"/>
      <c r="H56" s="125"/>
      <c r="I56" s="125"/>
      <c r="J56" s="125"/>
      <c r="K56" s="125"/>
      <c r="L56" s="125"/>
      <c r="M56" s="125"/>
      <c r="N56" s="125"/>
      <c r="O56" s="125"/>
      <c r="P56" s="125"/>
      <c r="Q56" s="125"/>
      <c r="V56" s="181"/>
      <c r="W56" s="181"/>
      <c r="X56" s="181"/>
      <c r="Y56" s="181"/>
      <c r="Z56" s="181"/>
      <c r="AA56" s="80">
        <v>0.875</v>
      </c>
      <c r="AB56" s="62">
        <v>2.503088493888896</v>
      </c>
      <c r="AC56" s="4"/>
      <c r="AD56" s="80">
        <v>0.875</v>
      </c>
      <c r="AE56" s="62">
        <v>6.339859605463503</v>
      </c>
      <c r="AG56" s="90"/>
      <c r="AH56" s="62"/>
      <c r="AI56" s="4"/>
      <c r="AJ56" s="91"/>
      <c r="AK56" s="24"/>
    </row>
    <row r="57" spans="1:37" ht="8.25" customHeight="1">
      <c r="B57" s="125"/>
      <c r="C57" s="125"/>
      <c r="D57" s="125"/>
      <c r="E57" s="125"/>
      <c r="F57" s="125"/>
      <c r="G57" s="125"/>
      <c r="H57" s="125"/>
      <c r="I57" s="125"/>
      <c r="J57" s="125"/>
      <c r="K57" s="125"/>
      <c r="L57" s="125"/>
      <c r="M57" s="125"/>
      <c r="N57" s="125"/>
      <c r="O57" s="125"/>
      <c r="P57" s="125"/>
      <c r="Q57" s="125"/>
      <c r="V57" s="181"/>
      <c r="W57" s="181"/>
      <c r="X57" s="181"/>
      <c r="Y57" s="181"/>
      <c r="Z57" s="181"/>
      <c r="AA57" s="80">
        <v>0.9</v>
      </c>
      <c r="AB57" s="62">
        <v>2.447010424277225</v>
      </c>
      <c r="AC57" s="4"/>
      <c r="AD57" s="80">
        <v>0.9</v>
      </c>
      <c r="AE57" s="62">
        <v>6.1974194588309821</v>
      </c>
      <c r="AG57" s="90"/>
      <c r="AH57" s="62"/>
      <c r="AI57" s="4"/>
      <c r="AJ57" s="91"/>
      <c r="AK57" s="24"/>
    </row>
    <row r="58" spans="1:37" ht="8.25" customHeight="1">
      <c r="B58" s="125"/>
      <c r="C58" s="125"/>
      <c r="D58" s="125"/>
      <c r="E58" s="125"/>
      <c r="F58" s="181"/>
      <c r="G58" s="181"/>
      <c r="H58" s="181"/>
      <c r="I58" s="181"/>
      <c r="J58" s="125"/>
      <c r="K58" s="125"/>
      <c r="L58" s="125"/>
      <c r="M58" s="125"/>
      <c r="N58" s="125"/>
      <c r="O58" s="125"/>
      <c r="P58" s="125"/>
      <c r="Q58" s="125"/>
      <c r="V58" s="213"/>
      <c r="W58" s="213"/>
      <c r="X58" s="213"/>
      <c r="Y58" s="213"/>
      <c r="Z58" s="213"/>
      <c r="AA58" s="4"/>
      <c r="AB58" s="4"/>
      <c r="AC58" s="4"/>
      <c r="AD58" s="4"/>
      <c r="AE58" s="4"/>
    </row>
    <row r="59" spans="1:37" ht="8.25" customHeight="1">
      <c r="B59" s="181"/>
      <c r="C59" s="181"/>
      <c r="D59" s="181"/>
      <c r="E59" s="181"/>
      <c r="F59" s="181"/>
      <c r="G59" s="181"/>
      <c r="H59" s="181"/>
      <c r="I59" s="181"/>
      <c r="J59" s="125"/>
      <c r="K59" s="125"/>
      <c r="L59" s="125"/>
      <c r="M59" s="125"/>
      <c r="N59" s="125"/>
      <c r="O59" s="125"/>
      <c r="P59" s="125"/>
      <c r="Q59" s="125"/>
      <c r="V59" s="213"/>
      <c r="W59" s="213"/>
      <c r="X59" s="213"/>
      <c r="Y59" s="213"/>
      <c r="Z59" s="213"/>
      <c r="AA59" s="4"/>
      <c r="AB59" s="4"/>
      <c r="AC59" s="4"/>
      <c r="AD59" s="4"/>
      <c r="AE59" s="4"/>
    </row>
    <row r="60" spans="1:37" ht="8.25" customHeight="1">
      <c r="B60" s="181"/>
      <c r="C60" s="181"/>
      <c r="D60" s="181"/>
      <c r="E60" s="181"/>
      <c r="F60" s="181"/>
      <c r="G60" s="181"/>
      <c r="H60" s="181"/>
      <c r="I60" s="181"/>
      <c r="J60" s="125"/>
      <c r="K60" s="125"/>
      <c r="L60" s="125"/>
      <c r="M60" s="125"/>
      <c r="N60" s="125"/>
      <c r="O60" s="125"/>
      <c r="P60" s="125"/>
      <c r="Q60" s="125"/>
      <c r="S60" s="249"/>
      <c r="T60" s="250"/>
      <c r="U60" s="250"/>
      <c r="V60" s="213"/>
      <c r="W60" s="213"/>
      <c r="X60" s="213"/>
      <c r="Y60" s="213"/>
      <c r="Z60" s="213"/>
      <c r="AA60" s="4"/>
      <c r="AB60" s="4"/>
      <c r="AC60" s="4"/>
      <c r="AD60" s="4"/>
      <c r="AE60" s="4"/>
    </row>
    <row r="61" spans="1:37" ht="8.25" customHeight="1">
      <c r="B61" s="181"/>
      <c r="C61" s="181"/>
      <c r="D61" s="181"/>
      <c r="E61" s="181"/>
      <c r="F61" s="181"/>
      <c r="G61" s="181"/>
      <c r="H61" s="181"/>
      <c r="I61" s="181"/>
      <c r="J61" s="125"/>
      <c r="K61" s="125"/>
      <c r="L61" s="125"/>
      <c r="M61" s="125"/>
      <c r="N61" s="125"/>
      <c r="O61" s="125"/>
      <c r="P61" s="125"/>
      <c r="Q61" s="125"/>
      <c r="S61" s="249"/>
      <c r="T61" s="250"/>
      <c r="U61" s="250"/>
      <c r="V61" s="213"/>
      <c r="W61" s="213"/>
      <c r="X61" s="213"/>
      <c r="Y61" s="213"/>
      <c r="Z61" s="213"/>
      <c r="AA61" s="4"/>
      <c r="AB61" s="4"/>
      <c r="AC61" s="4"/>
      <c r="AD61" s="4"/>
      <c r="AE61" s="4"/>
    </row>
    <row r="62" spans="1:37" ht="8.25" customHeight="1">
      <c r="B62" s="181"/>
      <c r="C62" s="181"/>
      <c r="D62" s="181"/>
      <c r="E62" s="181"/>
      <c r="F62" s="181"/>
      <c r="G62" s="181"/>
      <c r="H62" s="181"/>
      <c r="I62" s="181"/>
      <c r="J62" s="125"/>
      <c r="K62" s="125"/>
      <c r="L62" s="125"/>
      <c r="M62" s="125"/>
      <c r="N62" s="125"/>
      <c r="O62" s="125"/>
      <c r="P62" s="125"/>
      <c r="Q62" s="125"/>
      <c r="S62" s="249"/>
      <c r="T62" s="250"/>
      <c r="U62" s="250"/>
      <c r="V62" s="213"/>
      <c r="W62" s="213"/>
      <c r="X62" s="213"/>
      <c r="Y62" s="213"/>
      <c r="Z62" s="213"/>
      <c r="AA62" s="4"/>
      <c r="AB62" s="4"/>
      <c r="AC62" s="4"/>
      <c r="AD62" s="4"/>
      <c r="AE62" s="4"/>
    </row>
    <row r="63" spans="1:37" ht="8.25" customHeight="1">
      <c r="B63" s="181"/>
      <c r="C63" s="181"/>
      <c r="D63" s="181"/>
      <c r="E63" s="181"/>
      <c r="F63" s="227" t="s">
        <v>322</v>
      </c>
      <c r="G63" s="181"/>
      <c r="H63" s="181"/>
      <c r="I63" s="181"/>
      <c r="J63" s="125"/>
      <c r="K63" s="125"/>
      <c r="L63" s="125"/>
      <c r="M63" s="125"/>
      <c r="N63" s="125"/>
      <c r="O63" s="125"/>
      <c r="P63" s="125"/>
      <c r="Q63" s="125"/>
      <c r="S63" s="249"/>
      <c r="T63" s="250"/>
      <c r="U63" s="250"/>
      <c r="V63" s="213"/>
      <c r="W63" s="213"/>
      <c r="X63" s="213"/>
      <c r="Y63" s="213"/>
      <c r="Z63" s="213"/>
      <c r="AA63" s="4"/>
      <c r="AB63" s="4"/>
      <c r="AC63" s="4"/>
      <c r="AD63" s="4"/>
      <c r="AE63" s="4"/>
    </row>
    <row r="64" spans="1:37" ht="8.25" customHeight="1">
      <c r="B64" s="227" t="s">
        <v>317</v>
      </c>
      <c r="C64" s="227" t="s">
        <v>319</v>
      </c>
      <c r="D64" s="228" t="s">
        <v>320</v>
      </c>
      <c r="E64" s="228" t="s">
        <v>321</v>
      </c>
      <c r="F64" s="231">
        <f>E65</f>
        <v>-423964</v>
      </c>
      <c r="G64" s="181"/>
      <c r="H64" s="181"/>
      <c r="I64" s="181"/>
      <c r="J64" s="125"/>
      <c r="K64" s="125"/>
      <c r="L64" s="125"/>
      <c r="M64" s="125"/>
      <c r="N64" s="125"/>
      <c r="O64" s="125"/>
      <c r="P64" s="125"/>
      <c r="Q64" s="125"/>
      <c r="S64" s="249"/>
      <c r="T64" s="250"/>
      <c r="U64" s="250"/>
      <c r="V64" s="213"/>
      <c r="W64" s="213"/>
      <c r="X64" s="213"/>
      <c r="Y64" s="213"/>
      <c r="Z64" s="213"/>
      <c r="AA64" s="4"/>
      <c r="AB64" s="4"/>
      <c r="AC64" s="4"/>
      <c r="AD64" s="4"/>
      <c r="AE64" s="4"/>
    </row>
    <row r="65" spans="2:31" ht="8.25" customHeight="1">
      <c r="B65" s="229">
        <v>0</v>
      </c>
      <c r="C65" s="230">
        <f>'Capital Inputs'!F43</f>
        <v>423964</v>
      </c>
      <c r="D65" s="230">
        <v>0</v>
      </c>
      <c r="E65" s="230">
        <f>D65-C65</f>
        <v>-423964</v>
      </c>
      <c r="F65" s="231">
        <f t="shared" ref="F65:F74" si="16">F64+E66</f>
        <v>-316057.50718031795</v>
      </c>
      <c r="G65" s="181"/>
      <c r="H65" s="181"/>
      <c r="I65" s="181"/>
      <c r="J65" s="125"/>
      <c r="K65" s="125"/>
      <c r="L65" s="125"/>
      <c r="M65" s="125"/>
      <c r="N65" s="125"/>
      <c r="O65" s="125"/>
      <c r="P65" s="125"/>
      <c r="Q65" s="125"/>
      <c r="S65" s="249"/>
      <c r="T65" s="250"/>
      <c r="U65" s="250"/>
      <c r="V65" s="213"/>
      <c r="W65" s="213"/>
      <c r="X65" s="213"/>
      <c r="Y65" s="213"/>
      <c r="Z65" s="213"/>
      <c r="AA65" s="4"/>
      <c r="AB65" s="4"/>
      <c r="AC65" s="4"/>
      <c r="AD65" s="4"/>
      <c r="AE65" s="4"/>
    </row>
    <row r="66" spans="2:31" ht="8.25" customHeight="1">
      <c r="B66" s="229">
        <v>1</v>
      </c>
      <c r="C66" s="230">
        <f>'Cash flow for investments- Food'!C2</f>
        <v>0</v>
      </c>
      <c r="D66" s="230">
        <f>P8-P28-P30-P31</f>
        <v>107906.49281968204</v>
      </c>
      <c r="E66" s="230">
        <f t="shared" ref="E66:E74" si="17">D66-C66</f>
        <v>107906.49281968204</v>
      </c>
      <c r="F66" s="231">
        <f t="shared" si="16"/>
        <v>-208151.01436063589</v>
      </c>
    </row>
    <row r="67" spans="2:31" ht="8.25" customHeight="1">
      <c r="B67" s="229">
        <v>2</v>
      </c>
      <c r="C67" s="230">
        <f>'Cash flow for investments- Food'!C3</f>
        <v>0</v>
      </c>
      <c r="D67" s="230">
        <f t="shared" ref="D67:D75" si="18">D66</f>
        <v>107906.49281968204</v>
      </c>
      <c r="E67" s="230">
        <f t="shared" si="17"/>
        <v>107906.49281968204</v>
      </c>
      <c r="F67" s="231">
        <f t="shared" si="16"/>
        <v>-100244.52154095385</v>
      </c>
    </row>
    <row r="68" spans="2:31" ht="8.25" customHeight="1">
      <c r="B68" s="229">
        <v>3</v>
      </c>
      <c r="C68" s="230">
        <f>'Cash flow for investments- Food'!C4</f>
        <v>0</v>
      </c>
      <c r="D68" s="230">
        <f t="shared" si="18"/>
        <v>107906.49281968204</v>
      </c>
      <c r="E68" s="230">
        <f t="shared" si="17"/>
        <v>107906.49281968204</v>
      </c>
      <c r="F68" s="231">
        <f t="shared" si="16"/>
        <v>7661.9712787281896</v>
      </c>
    </row>
    <row r="69" spans="2:31" ht="8.25" customHeight="1">
      <c r="B69" s="229">
        <v>4</v>
      </c>
      <c r="C69" s="230">
        <f>'Cash flow for investments- Food'!C5</f>
        <v>0</v>
      </c>
      <c r="D69" s="230">
        <f t="shared" si="18"/>
        <v>107906.49281968204</v>
      </c>
      <c r="E69" s="230">
        <f t="shared" si="17"/>
        <v>107906.49281968204</v>
      </c>
      <c r="F69" s="231">
        <f t="shared" si="16"/>
        <v>115154.46409841023</v>
      </c>
    </row>
    <row r="70" spans="2:31" ht="8.25" customHeight="1">
      <c r="B70" s="229">
        <v>5</v>
      </c>
      <c r="C70" s="230">
        <f>'Cash flow for investments- Food'!C6</f>
        <v>414</v>
      </c>
      <c r="D70" s="230">
        <f t="shared" si="18"/>
        <v>107906.49281968204</v>
      </c>
      <c r="E70" s="230">
        <f t="shared" si="17"/>
        <v>107492.49281968204</v>
      </c>
      <c r="F70" s="231">
        <f t="shared" si="16"/>
        <v>223060.95691809227</v>
      </c>
    </row>
    <row r="71" spans="2:31" ht="8.25" customHeight="1">
      <c r="B71" s="229">
        <v>6</v>
      </c>
      <c r="C71" s="230">
        <f>'Cash flow for investments- Food'!C7</f>
        <v>0</v>
      </c>
      <c r="D71" s="230">
        <f t="shared" si="18"/>
        <v>107906.49281968204</v>
      </c>
      <c r="E71" s="230">
        <f>D71-C71</f>
        <v>107906.49281968204</v>
      </c>
      <c r="F71" s="231">
        <f t="shared" si="16"/>
        <v>328967.44973777432</v>
      </c>
    </row>
    <row r="72" spans="2:31" ht="8.25" customHeight="1">
      <c r="B72" s="229">
        <v>7</v>
      </c>
      <c r="C72" s="230">
        <f>'Cash flow for investments- Food'!C8</f>
        <v>2000</v>
      </c>
      <c r="D72" s="230">
        <f t="shared" si="18"/>
        <v>107906.49281968204</v>
      </c>
      <c r="E72" s="230">
        <f t="shared" si="17"/>
        <v>105906.49281968204</v>
      </c>
      <c r="F72" s="74">
        <f t="shared" si="16"/>
        <v>435123.94255745638</v>
      </c>
    </row>
    <row r="73" spans="2:31" ht="8.25" customHeight="1">
      <c r="B73" s="73">
        <v>8</v>
      </c>
      <c r="C73" s="65">
        <f>'Cash flow for investments- Food'!C9</f>
        <v>1750</v>
      </c>
      <c r="D73" s="65">
        <f t="shared" si="18"/>
        <v>107906.49281968204</v>
      </c>
      <c r="E73" s="65">
        <f>D73-C73</f>
        <v>106156.49281968204</v>
      </c>
      <c r="F73" s="74">
        <f t="shared" si="16"/>
        <v>543030.43537713843</v>
      </c>
    </row>
    <row r="74" spans="2:31" ht="8.25" customHeight="1">
      <c r="B74" s="73">
        <v>9</v>
      </c>
      <c r="C74" s="65">
        <f>'Cash flow for investments- Food'!C10</f>
        <v>0</v>
      </c>
      <c r="D74" s="65">
        <f t="shared" si="18"/>
        <v>107906.49281968204</v>
      </c>
      <c r="E74" s="65">
        <f t="shared" si="17"/>
        <v>107906.49281968204</v>
      </c>
      <c r="F74" s="74">
        <f t="shared" si="16"/>
        <v>928798.84367301106</v>
      </c>
    </row>
    <row r="75" spans="2:31" ht="8.25" customHeight="1">
      <c r="B75" s="73">
        <v>10</v>
      </c>
      <c r="C75" s="65">
        <f>'Cash flow for investments- Food'!C11</f>
        <v>57503.075000000004</v>
      </c>
      <c r="D75" s="65">
        <f t="shared" si="18"/>
        <v>107906.49281968204</v>
      </c>
      <c r="E75" s="65">
        <f>D75-C75+D76</f>
        <v>385768.40829587256</v>
      </c>
      <c r="F75" s="74"/>
    </row>
    <row r="76" spans="2:31" ht="8.25" customHeight="1">
      <c r="B76" s="73" t="s">
        <v>323</v>
      </c>
      <c r="C76" s="65"/>
      <c r="D76" s="65">
        <f>'Cash flow for investments- Food'!C12</f>
        <v>335364.99047619052</v>
      </c>
      <c r="E76" s="65"/>
    </row>
  </sheetData>
  <sheetProtection sheet="1" objects="1" scenarios="1"/>
  <mergeCells count="8">
    <mergeCell ref="W2:W3"/>
    <mergeCell ref="X2:X3"/>
    <mergeCell ref="Y2:Y3"/>
    <mergeCell ref="T3:U3"/>
    <mergeCell ref="D3:H3"/>
    <mergeCell ref="I3:M3"/>
    <mergeCell ref="N3:Q3"/>
    <mergeCell ref="B2:Q2"/>
  </mergeCells>
  <conditionalFormatting sqref="AH58:AI408">
    <cfRule type="duplicateValues" dxfId="1" priority="1"/>
  </conditionalFormatting>
  <hyperlinks>
    <hyperlink ref="V5" r:id="rId1" xr:uid="{257A7037-6436-489D-A384-C92A7CEAEF5E}"/>
    <hyperlink ref="V15" r:id="rId2" display="https://fendersfishhatchery.com/fish-pricing/" xr:uid="{7CD1DF43-1BF6-454E-99BE-099E1C2AE443}"/>
    <hyperlink ref="AA15" r:id="rId3" display="http://www.osagecatfisheries.com/pond-stocking.asp" xr:uid="{E4DEB413-1561-4463-8FF3-235F63B3358B}"/>
    <hyperlink ref="V16" r:id="rId4" display="http://www.osagecatfisheries.com/pond-stocking.asp" xr:uid="{6BAF72CE-1D82-425A-AF77-1A5AFCF88374}"/>
  </hyperlinks>
  <pageMargins left="0.7" right="0.7" top="0.75" bottom="0.75" header="0.3" footer="0.3"/>
  <pageSetup orientation="portrait"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906FF-8554-4878-8BB7-A28414F5B1D5}">
  <sheetPr codeName="Sheet13"/>
  <dimension ref="A1:AO98"/>
  <sheetViews>
    <sheetView showGridLines="0" zoomScaleNormal="100" workbookViewId="0">
      <selection activeCell="L43" sqref="L43"/>
    </sheetView>
  </sheetViews>
  <sheetFormatPr defaultColWidth="0" defaultRowHeight="0" customHeight="1" zeroHeight="1"/>
  <cols>
    <col min="1" max="1" width="2.33203125" style="5" customWidth="1"/>
    <col min="2" max="2" width="36.77734375" style="48" customWidth="1"/>
    <col min="3" max="4" width="10.77734375" style="48" customWidth="1"/>
    <col min="5" max="5" width="14.77734375" style="48" customWidth="1"/>
    <col min="6" max="8" width="10.77734375" style="48" customWidth="1"/>
    <col min="9" max="9" width="10.77734375" style="5" customWidth="1"/>
    <col min="10" max="11" width="3.33203125" style="5" customWidth="1"/>
    <col min="12" max="12" width="39.5546875" style="5" bestFit="1" customWidth="1"/>
    <col min="13" max="13" width="16.44140625" style="5" customWidth="1"/>
    <col min="14" max="14" width="3.33203125" style="5" customWidth="1"/>
    <col min="15" max="15" width="7.77734375" style="5" customWidth="1"/>
    <col min="16" max="16" width="12.33203125" style="5" customWidth="1"/>
    <col min="17" max="17" width="3.33203125" style="5" customWidth="1"/>
    <col min="18" max="18" width="7.77734375" style="5" customWidth="1"/>
    <col min="19" max="19" width="12.33203125" style="5" customWidth="1"/>
    <col min="20" max="20" width="3.33203125" style="5" customWidth="1"/>
    <col min="21" max="21" width="36" style="5" hidden="1" customWidth="1"/>
    <col min="22" max="22" width="14.77734375" style="5" hidden="1" customWidth="1"/>
    <col min="23" max="23" width="10" style="5" hidden="1" customWidth="1"/>
    <col min="24" max="24" width="22.88671875" style="5" hidden="1" customWidth="1"/>
    <col min="25" max="25" width="11.77734375" style="5" hidden="1" customWidth="1"/>
    <col min="26" max="41" width="0" style="5" hidden="1" customWidth="1"/>
    <col min="42" max="16384" width="8.88671875" style="5" hidden="1"/>
  </cols>
  <sheetData>
    <row r="1" spans="2:19" ht="16.5" customHeight="1">
      <c r="B1" s="5"/>
      <c r="C1" s="5"/>
      <c r="D1" s="5"/>
      <c r="E1" s="5"/>
      <c r="F1" s="5"/>
      <c r="G1" s="5"/>
      <c r="H1" s="5"/>
    </row>
    <row r="2" spans="2:19" ht="21">
      <c r="B2" s="707" t="s">
        <v>219</v>
      </c>
      <c r="C2" s="707"/>
      <c r="D2" s="707"/>
      <c r="E2" s="707"/>
      <c r="F2" s="707"/>
      <c r="G2" s="707"/>
      <c r="H2" s="707"/>
      <c r="I2" s="707"/>
      <c r="J2" s="27"/>
      <c r="L2" s="125" t="s">
        <v>402</v>
      </c>
      <c r="M2" s="127"/>
      <c r="N2" s="127"/>
      <c r="O2" s="197" t="s">
        <v>397</v>
      </c>
      <c r="P2" s="198" t="s">
        <v>396</v>
      </c>
      <c r="Q2" s="242"/>
      <c r="R2" s="197" t="s">
        <v>120</v>
      </c>
      <c r="S2" s="199" t="s">
        <v>393</v>
      </c>
    </row>
    <row r="3" spans="2:19" ht="21">
      <c r="B3" s="296"/>
      <c r="C3" s="296"/>
      <c r="D3" s="296"/>
      <c r="E3" s="296"/>
      <c r="F3" s="296"/>
      <c r="G3" s="296"/>
      <c r="H3" s="296"/>
      <c r="I3" s="296"/>
      <c r="L3" s="195" t="s">
        <v>31</v>
      </c>
      <c r="M3" s="196" t="s">
        <v>34</v>
      </c>
      <c r="N3" s="175"/>
      <c r="O3" s="131" t="s">
        <v>388</v>
      </c>
      <c r="P3" s="131" t="s">
        <v>394</v>
      </c>
      <c r="Q3" s="242"/>
      <c r="R3" s="131" t="s">
        <v>383</v>
      </c>
      <c r="S3" s="131" t="s">
        <v>395</v>
      </c>
    </row>
    <row r="4" spans="2:19" ht="17.25">
      <c r="B4" s="128" t="s">
        <v>88</v>
      </c>
      <c r="C4" s="128" t="s">
        <v>2</v>
      </c>
      <c r="D4" s="150" t="s">
        <v>387</v>
      </c>
      <c r="E4" s="150" t="s">
        <v>32</v>
      </c>
      <c r="F4" s="150" t="s">
        <v>33</v>
      </c>
      <c r="G4" s="150" t="s">
        <v>233</v>
      </c>
      <c r="H4" s="150" t="s">
        <v>144</v>
      </c>
      <c r="I4" s="150" t="s">
        <v>214</v>
      </c>
      <c r="K4" s="1"/>
      <c r="L4" s="193" t="s">
        <v>268</v>
      </c>
      <c r="M4" s="684">
        <v>10000</v>
      </c>
      <c r="N4" s="180"/>
      <c r="O4" s="125"/>
      <c r="P4" s="166">
        <f>G37</f>
        <v>5588.9688865725257</v>
      </c>
      <c r="Q4" s="125"/>
      <c r="R4" s="125"/>
      <c r="S4" s="166">
        <f>H36</f>
        <v>3.4790034570474968</v>
      </c>
    </row>
    <row r="5" spans="2:19" ht="17.25">
      <c r="B5" s="138" t="s">
        <v>94</v>
      </c>
      <c r="C5" s="161" t="s">
        <v>144</v>
      </c>
      <c r="D5" s="166">
        <f>M15</f>
        <v>4.25</v>
      </c>
      <c r="E5" s="315">
        <f>E11*M11</f>
        <v>108000</v>
      </c>
      <c r="F5" s="168">
        <f>D5*E5</f>
        <v>459000</v>
      </c>
      <c r="G5" s="168">
        <f>F5/'Capital Inputs'!$D$7</f>
        <v>38250</v>
      </c>
      <c r="H5" s="239">
        <f>D5</f>
        <v>4.25</v>
      </c>
      <c r="I5" s="185">
        <f>F5/$F$5</f>
        <v>1</v>
      </c>
      <c r="K5" s="1"/>
      <c r="L5" s="193" t="s">
        <v>87</v>
      </c>
      <c r="M5" s="686">
        <v>6</v>
      </c>
      <c r="N5" s="180"/>
      <c r="O5" s="188">
        <v>1.5</v>
      </c>
      <c r="P5" s="166">
        <f t="dataTable" ref="P5:P35" dt2D="0" dtr="0" r1="D5"/>
        <v>-16164.115488427473</v>
      </c>
      <c r="Q5" s="125"/>
      <c r="R5" s="185">
        <v>0.1</v>
      </c>
      <c r="S5" s="166">
        <f t="dataTable" ref="S5:S37" dt2D="0" dtr="0" r1="M11" ca="1"/>
        <v>27.194056113427472</v>
      </c>
    </row>
    <row r="6" spans="2:19" ht="17.25">
      <c r="B6" s="138" t="s">
        <v>35</v>
      </c>
      <c r="C6" s="161" t="s">
        <v>16</v>
      </c>
      <c r="D6" s="166">
        <f>'Operating Inputs'!D25</f>
        <v>1.5</v>
      </c>
      <c r="E6" s="315">
        <f>E5/M6/M17*M18*D6</f>
        <v>10800</v>
      </c>
      <c r="F6" s="169">
        <f>D6*E6</f>
        <v>16200</v>
      </c>
      <c r="G6" s="169">
        <f>F6/'Capital Inputs'!$D$7</f>
        <v>1350</v>
      </c>
      <c r="H6" s="240">
        <f>F6/$E$5</f>
        <v>0.15</v>
      </c>
      <c r="I6" s="190">
        <f>F6/$F$5</f>
        <v>3.5294117647058823E-2</v>
      </c>
      <c r="K6" s="3"/>
      <c r="L6" s="193" t="s">
        <v>117</v>
      </c>
      <c r="M6" s="686">
        <v>5</v>
      </c>
      <c r="N6" s="180"/>
      <c r="O6" s="188">
        <v>1.65</v>
      </c>
      <c r="P6" s="166">
        <v>-14977.583613427472</v>
      </c>
      <c r="Q6" s="125"/>
      <c r="R6" s="185">
        <v>0.125</v>
      </c>
      <c r="S6" s="166">
        <v>21.858169265741978</v>
      </c>
    </row>
    <row r="7" spans="2:19" ht="17.25">
      <c r="B7" s="160" t="s">
        <v>89</v>
      </c>
      <c r="C7" s="135"/>
      <c r="D7" s="166"/>
      <c r="E7" s="141"/>
      <c r="F7" s="283">
        <f>F5-F6</f>
        <v>442800</v>
      </c>
      <c r="G7" s="283">
        <f>G5-G6</f>
        <v>36900</v>
      </c>
      <c r="H7" s="241">
        <f>F7/$E$5</f>
        <v>4.0999999999999996</v>
      </c>
      <c r="I7" s="395">
        <f>F7/$F$5</f>
        <v>0.96470588235294119</v>
      </c>
      <c r="K7" s="3"/>
      <c r="L7" s="193" t="s">
        <v>98</v>
      </c>
      <c r="M7" s="686">
        <v>1.85</v>
      </c>
      <c r="N7" s="180"/>
      <c r="O7" s="188">
        <v>1.8</v>
      </c>
      <c r="P7" s="166">
        <v>-13791.051738427472</v>
      </c>
      <c r="Q7" s="125"/>
      <c r="R7" s="185">
        <v>0.15</v>
      </c>
      <c r="S7" s="166">
        <v>18.300911367284982</v>
      </c>
    </row>
    <row r="8" spans="2:19" ht="17.25">
      <c r="B8" s="160"/>
      <c r="C8" s="135"/>
      <c r="D8" s="166"/>
      <c r="E8" s="141"/>
      <c r="F8" s="153"/>
      <c r="G8" s="153"/>
      <c r="H8" s="154"/>
      <c r="I8" s="155"/>
      <c r="K8" s="20"/>
      <c r="L8" s="193" t="s">
        <v>119</v>
      </c>
      <c r="M8" s="686">
        <v>140</v>
      </c>
      <c r="N8" s="247"/>
      <c r="O8" s="188">
        <v>1.95</v>
      </c>
      <c r="P8" s="166">
        <v>-12604.519863427471</v>
      </c>
      <c r="Q8" s="125"/>
      <c r="R8" s="185">
        <v>0.17499999999999999</v>
      </c>
      <c r="S8" s="166">
        <v>15.760012868387129</v>
      </c>
    </row>
    <row r="9" spans="2:19" ht="17.25">
      <c r="B9" s="163" t="s">
        <v>37</v>
      </c>
      <c r="C9" s="128" t="s">
        <v>2</v>
      </c>
      <c r="D9" s="150" t="s">
        <v>387</v>
      </c>
      <c r="E9" s="150" t="s">
        <v>32</v>
      </c>
      <c r="F9" s="150" t="s">
        <v>33</v>
      </c>
      <c r="G9" s="150" t="s">
        <v>233</v>
      </c>
      <c r="H9" s="150" t="s">
        <v>144</v>
      </c>
      <c r="I9" s="150" t="s">
        <v>214</v>
      </c>
      <c r="K9" s="3"/>
      <c r="L9" s="193" t="s">
        <v>137</v>
      </c>
      <c r="M9" s="686">
        <v>800</v>
      </c>
      <c r="N9" s="180"/>
      <c r="O9" s="188">
        <v>2.1</v>
      </c>
      <c r="P9" s="166">
        <v>-11417.987988427471</v>
      </c>
      <c r="Q9" s="125"/>
      <c r="R9" s="185">
        <v>0.2</v>
      </c>
      <c r="S9" s="166">
        <v>13.854338994213736</v>
      </c>
    </row>
    <row r="10" spans="2:19" ht="17.25">
      <c r="B10" s="138" t="s">
        <v>38</v>
      </c>
      <c r="C10" s="161" t="s">
        <v>39</v>
      </c>
      <c r="D10" s="166">
        <f>M20</f>
        <v>1058.2079999999999</v>
      </c>
      <c r="E10" s="141">
        <f>(M16-M14)*M7*E5/2000/M11</f>
        <v>18.500000000000004</v>
      </c>
      <c r="F10" s="170">
        <f>E10*D10</f>
        <v>19576.848000000002</v>
      </c>
      <c r="G10" s="170">
        <f>F10/'Capital Inputs'!$D$7</f>
        <v>1631.4040000000002</v>
      </c>
      <c r="H10" s="239">
        <f>F10/$E$5</f>
        <v>0.18126711111111113</v>
      </c>
      <c r="I10" s="185">
        <f>F10/$F$5</f>
        <v>4.2651084967320264E-2</v>
      </c>
      <c r="K10" s="3"/>
      <c r="L10" s="193" t="s">
        <v>170</v>
      </c>
      <c r="M10" s="686">
        <v>700</v>
      </c>
      <c r="N10" s="180"/>
      <c r="O10" s="188">
        <v>2.25</v>
      </c>
      <c r="P10" s="166">
        <v>-10231.456113427477</v>
      </c>
      <c r="Q10" s="125"/>
      <c r="R10" s="185">
        <v>0.22500000000000001</v>
      </c>
      <c r="S10" s="166">
        <v>12.372148203189987</v>
      </c>
    </row>
    <row r="11" spans="2:19" ht="17.25">
      <c r="B11" s="138" t="s">
        <v>107</v>
      </c>
      <c r="C11" s="161" t="s">
        <v>41</v>
      </c>
      <c r="D11" s="166"/>
      <c r="E11" s="141">
        <f>M4*'Capital Inputs'!D7</f>
        <v>120000</v>
      </c>
      <c r="F11" s="170">
        <f>E11*M13</f>
        <v>228000</v>
      </c>
      <c r="G11" s="170">
        <f>F11/'Capital Inputs'!$D$7</f>
        <v>19000</v>
      </c>
      <c r="H11" s="239">
        <f>F11/$E$5</f>
        <v>2.1111111111111112</v>
      </c>
      <c r="I11" s="185">
        <f>F11/$F$5</f>
        <v>0.49673202614379086</v>
      </c>
      <c r="K11" s="3"/>
      <c r="L11" s="193" t="s">
        <v>99</v>
      </c>
      <c r="M11" s="687">
        <v>0.9</v>
      </c>
      <c r="N11" s="248"/>
      <c r="O11" s="188">
        <v>2.4</v>
      </c>
      <c r="P11" s="166">
        <v>-9044.9242384274767</v>
      </c>
      <c r="Q11" s="125"/>
      <c r="R11" s="185">
        <v>0.25</v>
      </c>
      <c r="S11" s="166">
        <v>11.186395570370989</v>
      </c>
    </row>
    <row r="12" spans="2:19" ht="17.25">
      <c r="B12" s="138" t="s">
        <v>6</v>
      </c>
      <c r="C12" s="161"/>
      <c r="D12" s="166"/>
      <c r="E12" s="141"/>
      <c r="F12" s="170">
        <f>'Operating Inputs'!D7*ROUND(M5/12,0)*'Capital Inputs'!D7</f>
        <v>1800</v>
      </c>
      <c r="G12" s="170">
        <f>F12/'Capital Inputs'!$D$7</f>
        <v>150</v>
      </c>
      <c r="H12" s="239">
        <f>F12/$E$5</f>
        <v>1.6666666666666666E-2</v>
      </c>
      <c r="I12" s="185">
        <f>F12/$F$5</f>
        <v>3.9215686274509803E-3</v>
      </c>
      <c r="K12" s="3"/>
      <c r="L12" s="194" t="s">
        <v>164</v>
      </c>
      <c r="M12" s="689">
        <v>7</v>
      </c>
      <c r="N12" s="180"/>
      <c r="O12" s="188">
        <v>2.5499999999999998</v>
      </c>
      <c r="P12" s="166">
        <v>-7858.3923634274761</v>
      </c>
      <c r="Q12" s="125"/>
      <c r="R12" s="185">
        <v>0.27500000000000002</v>
      </c>
      <c r="S12" s="166">
        <v>10.216234325337263</v>
      </c>
    </row>
    <row r="13" spans="2:19" ht="17.25">
      <c r="B13" s="138" t="s">
        <v>186</v>
      </c>
      <c r="C13" s="126" t="s">
        <v>40</v>
      </c>
      <c r="D13" s="166">
        <f>'Operating Inputs'!D14</f>
        <v>0.4</v>
      </c>
      <c r="E13" s="141">
        <f>M8*'Capital Inputs'!D7</f>
        <v>1680</v>
      </c>
      <c r="F13" s="170">
        <f>D13*E13</f>
        <v>672</v>
      </c>
      <c r="G13" s="170">
        <f>F13/'Capital Inputs'!$D$7</f>
        <v>56</v>
      </c>
      <c r="H13" s="166"/>
      <c r="I13" s="396"/>
      <c r="K13" s="3"/>
      <c r="L13" s="193" t="s">
        <v>235</v>
      </c>
      <c r="M13" s="449">
        <v>1.9</v>
      </c>
      <c r="N13" s="180"/>
      <c r="O13" s="188">
        <v>2.7</v>
      </c>
      <c r="P13" s="166">
        <v>-6671.8604884274755</v>
      </c>
      <c r="Q13" s="125"/>
      <c r="R13" s="185">
        <v>0.3</v>
      </c>
      <c r="S13" s="166">
        <v>9.4077666211424908</v>
      </c>
    </row>
    <row r="14" spans="2:19" ht="17.25">
      <c r="B14" s="138" t="s">
        <v>42</v>
      </c>
      <c r="C14" s="161"/>
      <c r="D14" s="166"/>
      <c r="E14" s="141"/>
      <c r="F14" s="170">
        <f>'Operating Inputs'!D9*F5</f>
        <v>9180</v>
      </c>
      <c r="G14" s="170">
        <f>F14/'Capital Inputs'!$D$7</f>
        <v>765</v>
      </c>
      <c r="H14" s="239">
        <f t="shared" ref="H14:H28" si="0">F14/$E$5</f>
        <v>8.5000000000000006E-2</v>
      </c>
      <c r="I14" s="185">
        <f>F14/$F$5</f>
        <v>0.02</v>
      </c>
      <c r="K14" s="3"/>
      <c r="L14" s="193" t="s">
        <v>236</v>
      </c>
      <c r="M14" s="686">
        <f>1/30</f>
        <v>3.3333333333333333E-2</v>
      </c>
      <c r="N14" s="180"/>
      <c r="O14" s="188">
        <v>2.85</v>
      </c>
      <c r="P14" s="166">
        <v>-5485.3286134274749</v>
      </c>
      <c r="Q14" s="125"/>
      <c r="R14" s="185">
        <v>0.32500000000000001</v>
      </c>
      <c r="S14" s="166">
        <v>8.7236785637469154</v>
      </c>
    </row>
    <row r="15" spans="2:19" ht="17.25">
      <c r="B15" s="138" t="s">
        <v>11</v>
      </c>
      <c r="C15" s="161"/>
      <c r="D15" s="166"/>
      <c r="E15" s="141"/>
      <c r="F15" s="170">
        <f>('Operating Inputs'!D15*'Operating Inputs'!C42/2000+'Operating Inputs'!C43*'Operating Inputs'!D16+'Operating Inputs'!C44)*'Capital Inputs'!D7</f>
        <v>1153.5</v>
      </c>
      <c r="G15" s="170">
        <f>F15/'Capital Inputs'!$D$7</f>
        <v>96.125</v>
      </c>
      <c r="H15" s="239">
        <f t="shared" si="0"/>
        <v>1.0680555555555556E-2</v>
      </c>
      <c r="I15" s="185">
        <f>F15/$F$5</f>
        <v>2.5130718954248367E-3</v>
      </c>
      <c r="K15" s="3"/>
      <c r="L15" s="193" t="s">
        <v>238</v>
      </c>
      <c r="M15" s="686">
        <v>4.25</v>
      </c>
      <c r="N15" s="180"/>
      <c r="O15" s="188">
        <v>3</v>
      </c>
      <c r="P15" s="166">
        <v>-4298.7967384274743</v>
      </c>
      <c r="Q15" s="125"/>
      <c r="R15" s="185">
        <v>0.35</v>
      </c>
      <c r="S15" s="166">
        <v>8.1373173716935625</v>
      </c>
    </row>
    <row r="16" spans="2:19" ht="17.25">
      <c r="B16" s="138" t="s">
        <v>43</v>
      </c>
      <c r="C16" s="161"/>
      <c r="D16" s="166"/>
      <c r="E16" s="141"/>
      <c r="F16" s="170">
        <f>('Operating Inputs'!D10*('Capital Inputs'!D6+'Capital Inputs'!D5)/'Capital Inputs'!D7+'Capital Inputs'!G40)*ROUND(M5/12,0)</f>
        <v>7401.0389999999998</v>
      </c>
      <c r="G16" s="170">
        <f>F16/'Capital Inputs'!$D$7</f>
        <v>616.75324999999998</v>
      </c>
      <c r="H16" s="239">
        <f t="shared" si="0"/>
        <v>6.8528138888888881E-2</v>
      </c>
      <c r="I16" s="185">
        <f>F16/$F$5</f>
        <v>1.6124267973856209E-2</v>
      </c>
      <c r="K16" s="3"/>
      <c r="L16" s="193" t="s">
        <v>237</v>
      </c>
      <c r="M16" s="449">
        <v>0.2</v>
      </c>
      <c r="N16" s="180"/>
      <c r="O16" s="188">
        <v>3.15</v>
      </c>
      <c r="P16" s="166">
        <v>-3112.2648634274738</v>
      </c>
      <c r="Q16" s="125"/>
      <c r="R16" s="185">
        <v>0.375</v>
      </c>
      <c r="S16" s="166">
        <v>7.6291376719139929</v>
      </c>
    </row>
    <row r="17" spans="2:21" ht="17.25">
      <c r="B17" s="138" t="s">
        <v>44</v>
      </c>
      <c r="C17" s="161"/>
      <c r="D17" s="166"/>
      <c r="E17" s="141"/>
      <c r="F17" s="170">
        <f>SUM(F18:F21)</f>
        <v>10989.824000000001</v>
      </c>
      <c r="G17" s="170">
        <f>F17/'Capital Inputs'!$D$7</f>
        <v>915.81866666666667</v>
      </c>
      <c r="H17" s="239">
        <f t="shared" si="0"/>
        <v>0.10175762962962963</v>
      </c>
      <c r="I17" s="185">
        <f>F17/$F$5</f>
        <v>2.3942971677559915E-2</v>
      </c>
      <c r="K17" s="3"/>
      <c r="L17" s="193" t="s">
        <v>217</v>
      </c>
      <c r="M17" s="449">
        <v>750</v>
      </c>
      <c r="N17" s="248"/>
      <c r="O17" s="188">
        <v>3.3</v>
      </c>
      <c r="P17" s="166">
        <v>-1925.7329884274732</v>
      </c>
      <c r="Q17" s="125"/>
      <c r="R17" s="185">
        <v>0.4</v>
      </c>
      <c r="S17" s="166">
        <v>7.1844804346068676</v>
      </c>
    </row>
    <row r="18" spans="2:21" ht="17.25">
      <c r="B18" s="157" t="s">
        <v>171</v>
      </c>
      <c r="C18" s="126" t="s">
        <v>73</v>
      </c>
      <c r="D18" s="166">
        <f>'Operating Inputs'!D22</f>
        <v>0.15</v>
      </c>
      <c r="E18" s="141">
        <f>'Capital Inputs'!D7*'Operating Inputs'!D19*0.7457*M9</f>
        <v>21476.16</v>
      </c>
      <c r="F18" s="133">
        <f>E18*'Operating Inputs'!D22</f>
        <v>3221.424</v>
      </c>
      <c r="G18" s="133">
        <f>F18/'Capital Inputs'!$D$7</f>
        <v>268.452</v>
      </c>
      <c r="H18" s="239">
        <f t="shared" si="0"/>
        <v>2.9828E-2</v>
      </c>
      <c r="I18" s="396"/>
      <c r="K18" s="3"/>
      <c r="L18" s="193" t="s">
        <v>218</v>
      </c>
      <c r="M18" s="449">
        <v>250</v>
      </c>
      <c r="N18" s="125"/>
      <c r="O18" s="188">
        <v>3.45</v>
      </c>
      <c r="P18" s="166">
        <v>-739.20111342747623</v>
      </c>
      <c r="Q18" s="125"/>
      <c r="R18" s="185">
        <v>0.42499999999999999</v>
      </c>
      <c r="S18" s="166">
        <v>6.7921358134535232</v>
      </c>
    </row>
    <row r="19" spans="2:21" ht="17.25">
      <c r="B19" s="157" t="s">
        <v>184</v>
      </c>
      <c r="C19" s="126" t="s">
        <v>73</v>
      </c>
      <c r="D19" s="166">
        <f>'Operating Inputs'!D22</f>
        <v>0.15</v>
      </c>
      <c r="E19" s="141">
        <f>'Capital Inputs'!D7*M12*'Operating Inputs'!D28*'Operating Inputs'!D29</f>
        <v>23016.000000000004</v>
      </c>
      <c r="F19" s="133">
        <f>E19*D19</f>
        <v>3452.4000000000005</v>
      </c>
      <c r="G19" s="133">
        <f>F19/'Capital Inputs'!$D$7</f>
        <v>287.70000000000005</v>
      </c>
      <c r="H19" s="239">
        <f t="shared" si="0"/>
        <v>3.1966666666666671E-2</v>
      </c>
      <c r="I19" s="396"/>
      <c r="K19" s="3"/>
      <c r="L19" s="125" t="s">
        <v>408</v>
      </c>
      <c r="M19" s="686">
        <v>4.5</v>
      </c>
      <c r="N19" s="180"/>
      <c r="O19" s="188">
        <v>3.6</v>
      </c>
      <c r="P19" s="166">
        <v>447.33076157252435</v>
      </c>
      <c r="Q19" s="125"/>
      <c r="R19" s="185">
        <v>0.45</v>
      </c>
      <c r="S19" s="166">
        <v>6.443385039094994</v>
      </c>
    </row>
    <row r="20" spans="2:21" ht="17.25">
      <c r="B20" s="157" t="s">
        <v>162</v>
      </c>
      <c r="C20" s="126" t="s">
        <v>163</v>
      </c>
      <c r="D20" s="166">
        <v>3.5</v>
      </c>
      <c r="E20" s="141">
        <f>'Operating Inputs'!D26*ROUND(M5/12,0)*12</f>
        <v>600</v>
      </c>
      <c r="F20" s="133">
        <f>D20*E20</f>
        <v>2100</v>
      </c>
      <c r="G20" s="133">
        <f>F20/'Capital Inputs'!$D$7</f>
        <v>175</v>
      </c>
      <c r="H20" s="239">
        <f t="shared" si="0"/>
        <v>1.9444444444444445E-2</v>
      </c>
      <c r="I20" s="396"/>
      <c r="K20" s="3"/>
      <c r="L20" s="129" t="s">
        <v>403</v>
      </c>
      <c r="M20" s="692">
        <f>24/50*2204.6</f>
        <v>1058.2079999999999</v>
      </c>
      <c r="N20" s="180"/>
      <c r="O20" s="188">
        <v>3.75</v>
      </c>
      <c r="P20" s="166">
        <v>1633.8626365725249</v>
      </c>
      <c r="Q20" s="125"/>
      <c r="R20" s="185">
        <v>0.47499999999999998</v>
      </c>
      <c r="S20" s="166">
        <v>6.1313448725636777</v>
      </c>
    </row>
    <row r="21" spans="2:21" ht="17.25">
      <c r="B21" s="157" t="s">
        <v>204</v>
      </c>
      <c r="C21" s="126"/>
      <c r="D21" s="166"/>
      <c r="E21" s="141"/>
      <c r="F21" s="133">
        <f>('Operating Inputs'!D24*'Operating Inputs'!D22*ROUND(M5/12,0)*12 + 'Operating Inputs'!D21)</f>
        <v>2216</v>
      </c>
      <c r="G21" s="133">
        <f>F21/'Capital Inputs'!$D$7</f>
        <v>184.66666666666666</v>
      </c>
      <c r="H21" s="239">
        <f t="shared" si="0"/>
        <v>2.0518518518518519E-2</v>
      </c>
      <c r="I21" s="396"/>
      <c r="K21" s="3"/>
      <c r="L21" s="125"/>
      <c r="M21" s="125"/>
      <c r="N21" s="125"/>
      <c r="O21" s="188">
        <v>3.9</v>
      </c>
      <c r="P21" s="166">
        <v>2820.3945115725255</v>
      </c>
      <c r="Q21" s="125"/>
      <c r="R21" s="185">
        <v>0.5</v>
      </c>
      <c r="S21" s="166">
        <v>5.850508722685495</v>
      </c>
    </row>
    <row r="22" spans="2:21" ht="17.25">
      <c r="B22" s="138" t="s">
        <v>112</v>
      </c>
      <c r="C22" s="126"/>
      <c r="D22" s="166">
        <f>'Operating Inputs'!D27</f>
        <v>50</v>
      </c>
      <c r="E22" s="141">
        <f>M19</f>
        <v>4.5</v>
      </c>
      <c r="F22" s="133">
        <f>D22*E22</f>
        <v>225</v>
      </c>
      <c r="G22" s="133">
        <f>F22/'Capital Inputs'!$D$7</f>
        <v>18.75</v>
      </c>
      <c r="H22" s="239">
        <f t="shared" si="0"/>
        <v>2.0833333333333333E-3</v>
      </c>
      <c r="I22" s="396"/>
      <c r="L22" s="125"/>
      <c r="M22" s="125"/>
      <c r="N22" s="125"/>
      <c r="O22" s="188">
        <v>4.05</v>
      </c>
      <c r="P22" s="166">
        <v>4006.9263865725261</v>
      </c>
      <c r="Q22" s="125"/>
      <c r="R22" s="185">
        <v>0.52500000000000002</v>
      </c>
      <c r="S22" s="166">
        <v>5.5964188727957094</v>
      </c>
      <c r="T22" s="60" t="str">
        <f>R2</f>
        <v>Survival</v>
      </c>
      <c r="U22" s="60" t="str">
        <f>S2</f>
        <v xml:space="preserve">Breakeven price </v>
      </c>
    </row>
    <row r="23" spans="2:21" ht="17.25">
      <c r="B23" s="138" t="s">
        <v>90</v>
      </c>
      <c r="C23" s="161"/>
      <c r="D23" s="125"/>
      <c r="E23" s="125"/>
      <c r="F23" s="170">
        <f>'Operating Inputs'!D5*M10</f>
        <v>12950</v>
      </c>
      <c r="G23" s="170">
        <f>F23/'Capital Inputs'!$D$7</f>
        <v>1079.1666666666667</v>
      </c>
      <c r="H23" s="239">
        <f t="shared" si="0"/>
        <v>0.11990740740740741</v>
      </c>
      <c r="I23" s="185">
        <f t="shared" ref="I23:I28" si="1">F23/$F$5</f>
        <v>2.8213507625272333E-2</v>
      </c>
      <c r="L23" s="125"/>
      <c r="M23" s="125"/>
      <c r="N23" s="125"/>
      <c r="O23" s="188">
        <v>4.2</v>
      </c>
      <c r="P23" s="166">
        <v>5193.4582615725267</v>
      </c>
      <c r="Q23" s="125"/>
      <c r="R23" s="185">
        <v>0.55000000000000004</v>
      </c>
      <c r="S23" s="166">
        <v>5.3654281001686321</v>
      </c>
      <c r="T23" s="61">
        <f t="shared" ref="T23:T38" si="2">R22</f>
        <v>0.52500000000000002</v>
      </c>
      <c r="U23" s="62">
        <f t="shared" ref="U23:U38" si="3">S22</f>
        <v>5.5964188727957094</v>
      </c>
    </row>
    <row r="24" spans="2:21" ht="17.25">
      <c r="B24" s="138" t="s">
        <v>74</v>
      </c>
      <c r="C24" s="161"/>
      <c r="D24" s="125"/>
      <c r="E24" s="125"/>
      <c r="F24" s="170">
        <f>'Operating Inputs'!D11*M5/12</f>
        <v>1200</v>
      </c>
      <c r="G24" s="170">
        <f>F24/'Capital Inputs'!$D$7</f>
        <v>100</v>
      </c>
      <c r="H24" s="239">
        <f t="shared" si="0"/>
        <v>1.1111111111111112E-2</v>
      </c>
      <c r="I24" s="185">
        <f t="shared" si="1"/>
        <v>2.6143790849673201E-3</v>
      </c>
      <c r="L24" s="125"/>
      <c r="M24" s="125"/>
      <c r="N24" s="125"/>
      <c r="O24" s="188">
        <v>4.3499999999999996</v>
      </c>
      <c r="P24" s="166">
        <v>6379.99013657252</v>
      </c>
      <c r="Q24" s="125"/>
      <c r="R24" s="185">
        <v>0.57499999999999996</v>
      </c>
      <c r="S24" s="166">
        <v>5.1545234816830385</v>
      </c>
      <c r="T24" s="61">
        <f t="shared" si="2"/>
        <v>0.55000000000000004</v>
      </c>
      <c r="U24" s="62">
        <f t="shared" si="3"/>
        <v>5.3654281001686321</v>
      </c>
    </row>
    <row r="25" spans="2:21" ht="17.25">
      <c r="B25" s="138" t="s">
        <v>8</v>
      </c>
      <c r="C25" s="161" t="s">
        <v>214</v>
      </c>
      <c r="D25" s="143">
        <f>'Operating Inputs'!D8</f>
        <v>0.1</v>
      </c>
      <c r="E25" s="132">
        <f>F5</f>
        <v>459000</v>
      </c>
      <c r="F25" s="170">
        <f>D25*E25</f>
        <v>45900</v>
      </c>
      <c r="G25" s="170">
        <f>F25/'Capital Inputs'!$D$7</f>
        <v>3825</v>
      </c>
      <c r="H25" s="239">
        <f t="shared" si="0"/>
        <v>0.42499999999999999</v>
      </c>
      <c r="I25" s="185">
        <f t="shared" si="1"/>
        <v>0.1</v>
      </c>
      <c r="L25" s="125"/>
      <c r="M25" s="125"/>
      <c r="N25" s="125"/>
      <c r="O25" s="188">
        <v>4.5</v>
      </c>
      <c r="P25" s="166">
        <v>7566.5220115725278</v>
      </c>
      <c r="Q25" s="125"/>
      <c r="R25" s="185">
        <v>0.6</v>
      </c>
      <c r="S25" s="166">
        <v>4.9611942480712452</v>
      </c>
      <c r="T25" s="61">
        <f t="shared" si="2"/>
        <v>0.57499999999999996</v>
      </c>
      <c r="U25" s="62">
        <f t="shared" si="3"/>
        <v>5.1545234816830385</v>
      </c>
    </row>
    <row r="26" spans="2:21" ht="17.25">
      <c r="B26" s="138" t="s">
        <v>45</v>
      </c>
      <c r="C26" s="161"/>
      <c r="D26" s="125"/>
      <c r="E26" s="125"/>
      <c r="F26" s="546">
        <v>0</v>
      </c>
      <c r="G26" s="170">
        <f>F26/'Capital Inputs'!$D$7</f>
        <v>0</v>
      </c>
      <c r="H26" s="239">
        <f t="shared" si="0"/>
        <v>0</v>
      </c>
      <c r="I26" s="185">
        <f t="shared" si="1"/>
        <v>0</v>
      </c>
      <c r="L26" s="125"/>
      <c r="M26" s="125"/>
      <c r="N26" s="125"/>
      <c r="O26" s="188">
        <v>4.6500000000000004</v>
      </c>
      <c r="P26" s="166">
        <v>8753.0538865725357</v>
      </c>
      <c r="Q26" s="125"/>
      <c r="R26" s="185">
        <v>0.625</v>
      </c>
      <c r="S26" s="166">
        <v>4.7833313531483954</v>
      </c>
      <c r="T26" s="61">
        <f t="shared" si="2"/>
        <v>0.6</v>
      </c>
      <c r="U26" s="62">
        <f t="shared" si="3"/>
        <v>4.9611942480712452</v>
      </c>
    </row>
    <row r="27" spans="2:21" ht="17.25">
      <c r="B27" s="138" t="s">
        <v>46</v>
      </c>
      <c r="C27" s="161" t="s">
        <v>14</v>
      </c>
      <c r="D27" s="144">
        <f>'Operating Inputs'!D12</f>
        <v>7.2499999999999995E-2</v>
      </c>
      <c r="E27" s="125"/>
      <c r="F27" s="171">
        <f>SUM(F10:F17,F22:F26)/2*(1-'Operating Inputs'!D13)*D27*M5/12</f>
        <v>3072.6244121875002</v>
      </c>
      <c r="G27" s="171">
        <f>F27/'Capital Inputs'!$D$7</f>
        <v>256.05203434895833</v>
      </c>
      <c r="H27" s="240">
        <f t="shared" si="0"/>
        <v>2.845022603877315E-2</v>
      </c>
      <c r="I27" s="190">
        <f t="shared" si="1"/>
        <v>6.6941708326525061E-3</v>
      </c>
      <c r="L27" s="125"/>
      <c r="M27" s="125"/>
      <c r="N27" s="125"/>
      <c r="O27" s="188">
        <v>4.8</v>
      </c>
      <c r="P27" s="166">
        <v>9939.5857615725254</v>
      </c>
      <c r="Q27" s="125"/>
      <c r="R27" s="185">
        <v>0.65</v>
      </c>
      <c r="S27" s="166">
        <v>4.6191502193734575</v>
      </c>
      <c r="T27" s="61">
        <f t="shared" si="2"/>
        <v>0.625</v>
      </c>
      <c r="U27" s="62">
        <f t="shared" si="3"/>
        <v>4.7833313531483954</v>
      </c>
    </row>
    <row r="28" spans="2:21" ht="17.25">
      <c r="B28" s="162" t="s">
        <v>47</v>
      </c>
      <c r="C28" s="158"/>
      <c r="D28" s="125"/>
      <c r="E28" s="125"/>
      <c r="F28" s="172">
        <f>SUM(F10:F27)-F17</f>
        <v>342120.8354121875</v>
      </c>
      <c r="G28" s="172">
        <f>F28/'Capital Inputs'!$D$7</f>
        <v>28510.069617682293</v>
      </c>
      <c r="H28" s="241">
        <f t="shared" si="0"/>
        <v>3.1677855130758101</v>
      </c>
      <c r="I28" s="395">
        <f t="shared" si="1"/>
        <v>0.74536129719430833</v>
      </c>
      <c r="L28" s="125"/>
      <c r="M28" s="125"/>
      <c r="N28" s="125"/>
      <c r="O28" s="188">
        <v>4.95</v>
      </c>
      <c r="P28" s="166">
        <v>11126.117636572526</v>
      </c>
      <c r="Q28" s="125"/>
      <c r="R28" s="185">
        <v>0.67500000000000004</v>
      </c>
      <c r="S28" s="166">
        <v>4.4671306510633295</v>
      </c>
      <c r="T28" s="61">
        <f t="shared" si="2"/>
        <v>0.65</v>
      </c>
      <c r="U28" s="62">
        <f t="shared" si="3"/>
        <v>4.6191502193734575</v>
      </c>
    </row>
    <row r="29" spans="2:21" ht="17.25">
      <c r="B29" s="162"/>
      <c r="C29" s="158"/>
      <c r="D29" s="125"/>
      <c r="E29" s="125"/>
      <c r="F29" s="172"/>
      <c r="G29" s="172"/>
      <c r="H29" s="239"/>
      <c r="I29" s="155"/>
      <c r="L29" s="125"/>
      <c r="M29" s="125"/>
      <c r="N29" s="125"/>
      <c r="O29" s="188">
        <v>5.0999999999999996</v>
      </c>
      <c r="P29" s="166">
        <v>12312.649511572527</v>
      </c>
      <c r="Q29" s="182"/>
      <c r="R29" s="185">
        <v>0.7</v>
      </c>
      <c r="S29" s="166">
        <v>4.3259696233467819</v>
      </c>
      <c r="T29" s="61">
        <f t="shared" si="2"/>
        <v>0.67500000000000004</v>
      </c>
      <c r="U29" s="62">
        <f t="shared" si="3"/>
        <v>4.4671306510633295</v>
      </c>
    </row>
    <row r="30" spans="2:21" ht="17.25">
      <c r="B30" s="163" t="s">
        <v>48</v>
      </c>
      <c r="C30" s="128" t="s">
        <v>2</v>
      </c>
      <c r="D30" s="150" t="s">
        <v>387</v>
      </c>
      <c r="E30" s="150" t="s">
        <v>32</v>
      </c>
      <c r="F30" s="150" t="s">
        <v>33</v>
      </c>
      <c r="G30" s="150" t="s">
        <v>233</v>
      </c>
      <c r="H30" s="150" t="s">
        <v>144</v>
      </c>
      <c r="I30" s="150" t="s">
        <v>214</v>
      </c>
      <c r="L30" s="125"/>
      <c r="M30" s="125"/>
      <c r="N30" s="125"/>
      <c r="O30" s="188">
        <v>5.25</v>
      </c>
      <c r="P30" s="166">
        <v>13499.181386572527</v>
      </c>
      <c r="Q30" s="183"/>
      <c r="R30" s="185">
        <v>0.72499999999999998</v>
      </c>
      <c r="S30" s="166">
        <v>4.1945438389210308</v>
      </c>
      <c r="T30" s="61">
        <f t="shared" si="2"/>
        <v>0.7</v>
      </c>
      <c r="U30" s="62">
        <f t="shared" si="3"/>
        <v>4.3259696233467819</v>
      </c>
    </row>
    <row r="31" spans="2:21" ht="17.25">
      <c r="B31" s="138" t="s">
        <v>25</v>
      </c>
      <c r="C31" s="161" t="s">
        <v>81</v>
      </c>
      <c r="D31" s="146"/>
      <c r="E31" s="125"/>
      <c r="F31" s="170">
        <f>'Operating Inputs'!D31*'Capital Inputs'!K40</f>
        <v>2164.8919687500002</v>
      </c>
      <c r="G31" s="170">
        <f>F31/'Capital Inputs'!$D$7</f>
        <v>180.4076640625</v>
      </c>
      <c r="H31" s="239">
        <f t="shared" ref="H31:H37" si="4">F31/$E$5</f>
        <v>2.0045296006944446E-2</v>
      </c>
      <c r="I31" s="185">
        <f t="shared" ref="I31:I37" si="5">F31/$F$5</f>
        <v>4.7165402369281047E-3</v>
      </c>
      <c r="L31" s="125"/>
      <c r="M31" s="125"/>
      <c r="N31" s="125"/>
      <c r="O31" s="188">
        <v>5.4</v>
      </c>
      <c r="P31" s="166">
        <v>14685.713261572528</v>
      </c>
      <c r="Q31" s="183"/>
      <c r="R31" s="185">
        <v>0.75</v>
      </c>
      <c r="S31" s="166">
        <v>4.0718797734569963</v>
      </c>
      <c r="T31" s="61">
        <f t="shared" si="2"/>
        <v>0.72499999999999998</v>
      </c>
      <c r="U31" s="62">
        <f t="shared" si="3"/>
        <v>4.1945438389210308</v>
      </c>
    </row>
    <row r="32" spans="2:21" ht="17.25">
      <c r="B32" s="138" t="s">
        <v>49</v>
      </c>
      <c r="C32" s="161" t="s">
        <v>81</v>
      </c>
      <c r="D32" s="146"/>
      <c r="E32" s="125"/>
      <c r="F32" s="170">
        <f>'Operating Inputs'!D32</f>
        <v>1500</v>
      </c>
      <c r="G32" s="170">
        <f>F32/'Capital Inputs'!$D$7</f>
        <v>125</v>
      </c>
      <c r="H32" s="239">
        <f t="shared" si="4"/>
        <v>1.3888888888888888E-2</v>
      </c>
      <c r="I32" s="185">
        <f t="shared" si="5"/>
        <v>3.2679738562091504E-3</v>
      </c>
      <c r="L32" s="125"/>
      <c r="M32" s="125"/>
      <c r="N32" s="125"/>
      <c r="O32" s="188">
        <v>5.55</v>
      </c>
      <c r="P32" s="166">
        <v>15872.245136572528</v>
      </c>
      <c r="Q32" s="184"/>
      <c r="R32" s="185">
        <v>0.77500000000000002</v>
      </c>
      <c r="S32" s="166">
        <v>3.9571295186680611</v>
      </c>
      <c r="T32" s="61">
        <f t="shared" si="2"/>
        <v>0.75</v>
      </c>
      <c r="U32" s="62">
        <f t="shared" si="3"/>
        <v>4.0718797734569963</v>
      </c>
    </row>
    <row r="33" spans="2:21" ht="17.25">
      <c r="B33" s="138" t="s">
        <v>108</v>
      </c>
      <c r="C33" s="135"/>
      <c r="D33" s="144">
        <f>'Operating Inputs'!D34</f>
        <v>7.2499999999999995E-2</v>
      </c>
      <c r="E33" s="125"/>
      <c r="F33" s="171">
        <f>'Capital Inputs'!L40*ROUND(M5/12,0)</f>
        <v>29946.645980192185</v>
      </c>
      <c r="G33" s="171">
        <f>F33/'Capital Inputs'!$D$7</f>
        <v>2495.5538316826819</v>
      </c>
      <c r="H33" s="240">
        <f t="shared" si="4"/>
        <v>0.27728375907585356</v>
      </c>
      <c r="I33" s="190">
        <f t="shared" si="5"/>
        <v>6.5243237429612605E-2</v>
      </c>
      <c r="L33" s="125"/>
      <c r="M33" s="125"/>
      <c r="N33" s="125"/>
      <c r="O33" s="188">
        <v>5.7</v>
      </c>
      <c r="P33" s="166">
        <v>17058.777011572529</v>
      </c>
      <c r="Q33" s="184"/>
      <c r="R33" s="185">
        <v>0.8</v>
      </c>
      <c r="S33" s="166">
        <v>3.8495511548034345</v>
      </c>
      <c r="T33" s="61">
        <f t="shared" si="2"/>
        <v>0.77500000000000002</v>
      </c>
      <c r="U33" s="62">
        <f t="shared" si="3"/>
        <v>3.9571295186680611</v>
      </c>
    </row>
    <row r="34" spans="2:21" ht="17.25">
      <c r="B34" s="162" t="s">
        <v>50</v>
      </c>
      <c r="C34" s="158"/>
      <c r="D34" s="125"/>
      <c r="E34" s="125"/>
      <c r="F34" s="172">
        <f>SUM(F31:F33)</f>
        <v>33611.537948942183</v>
      </c>
      <c r="G34" s="172">
        <f>SUM(G31:G33)</f>
        <v>2800.9614957451818</v>
      </c>
      <c r="H34" s="241">
        <f t="shared" si="4"/>
        <v>0.31121794397168689</v>
      </c>
      <c r="I34" s="395">
        <f t="shared" si="5"/>
        <v>7.3227751522749851E-2</v>
      </c>
      <c r="L34" s="125"/>
      <c r="M34" s="125"/>
      <c r="N34" s="125"/>
      <c r="O34" s="188">
        <v>5.85</v>
      </c>
      <c r="P34" s="166">
        <v>18245.308886572529</v>
      </c>
      <c r="Q34" s="184"/>
      <c r="R34" s="185">
        <v>0.82499999999999996</v>
      </c>
      <c r="S34" s="166">
        <v>3.7484926917790875</v>
      </c>
      <c r="T34" s="61">
        <f t="shared" si="2"/>
        <v>0.8</v>
      </c>
      <c r="U34" s="62">
        <f t="shared" si="3"/>
        <v>3.8495511548034345</v>
      </c>
    </row>
    <row r="35" spans="2:21" ht="17.25">
      <c r="B35" s="162"/>
      <c r="C35" s="158"/>
      <c r="D35" s="125"/>
      <c r="E35" s="125"/>
      <c r="F35" s="172"/>
      <c r="G35" s="172"/>
      <c r="H35" s="239"/>
      <c r="I35" s="395"/>
      <c r="L35" s="125"/>
      <c r="M35" s="125"/>
      <c r="N35" s="125"/>
      <c r="O35" s="191">
        <v>6</v>
      </c>
      <c r="P35" s="192">
        <v>19431.840761572523</v>
      </c>
      <c r="Q35" s="184"/>
      <c r="R35" s="185">
        <v>0.85</v>
      </c>
      <c r="S35" s="166">
        <v>3.6533788442267614</v>
      </c>
      <c r="T35" s="61">
        <f t="shared" si="2"/>
        <v>0.82499999999999996</v>
      </c>
      <c r="U35" s="62">
        <f t="shared" si="3"/>
        <v>3.7484926917790875</v>
      </c>
    </row>
    <row r="36" spans="2:21" ht="17.25">
      <c r="B36" s="147" t="s">
        <v>51</v>
      </c>
      <c r="C36" s="147"/>
      <c r="D36" s="134"/>
      <c r="E36" s="134"/>
      <c r="F36" s="284">
        <f>SUM(F34,F28)</f>
        <v>375732.37336112966</v>
      </c>
      <c r="G36" s="284">
        <f>SUM(G34,G28)</f>
        <v>31311.031113427474</v>
      </c>
      <c r="H36" s="286">
        <f t="shared" si="4"/>
        <v>3.4790034570474968</v>
      </c>
      <c r="I36" s="404">
        <f t="shared" si="5"/>
        <v>0.81858904871705807</v>
      </c>
      <c r="L36" s="125"/>
      <c r="M36" s="125"/>
      <c r="N36" s="125"/>
      <c r="O36" s="185"/>
      <c r="P36" s="186"/>
      <c r="Q36" s="184"/>
      <c r="R36" s="185">
        <v>0.875</v>
      </c>
      <c r="S36" s="166">
        <v>3.5637000736774254</v>
      </c>
      <c r="T36" s="61">
        <f t="shared" si="2"/>
        <v>0.85</v>
      </c>
      <c r="U36" s="62">
        <f t="shared" si="3"/>
        <v>3.6533788442267614</v>
      </c>
    </row>
    <row r="37" spans="2:21" ht="16.5" customHeight="1">
      <c r="B37" s="145" t="s">
        <v>121</v>
      </c>
      <c r="C37" s="145"/>
      <c r="D37" s="129"/>
      <c r="E37" s="129"/>
      <c r="F37" s="285">
        <f>F7-F36</f>
        <v>67067.626638870337</v>
      </c>
      <c r="G37" s="285">
        <f>G7-G36</f>
        <v>5588.9688865725257</v>
      </c>
      <c r="H37" s="287">
        <f t="shared" si="4"/>
        <v>0.62099654295250317</v>
      </c>
      <c r="I37" s="397">
        <f t="shared" si="5"/>
        <v>0.1461168336358831</v>
      </c>
      <c r="L37" s="125"/>
      <c r="M37" s="125"/>
      <c r="N37" s="125"/>
      <c r="O37" s="185"/>
      <c r="P37" s="187"/>
      <c r="Q37" s="184"/>
      <c r="R37" s="190">
        <v>0.9</v>
      </c>
      <c r="S37" s="192">
        <v>3.4790034570474968</v>
      </c>
      <c r="T37" s="61">
        <f t="shared" si="2"/>
        <v>0.875</v>
      </c>
      <c r="U37" s="62">
        <f t="shared" si="3"/>
        <v>3.5637000736774254</v>
      </c>
    </row>
    <row r="38" spans="2:21" ht="16.5" customHeight="1">
      <c r="H38" s="125"/>
      <c r="I38" s="125"/>
      <c r="J38" s="14"/>
      <c r="R38" s="61">
        <f>R20</f>
        <v>0.47499999999999998</v>
      </c>
      <c r="S38" s="62">
        <f>S20</f>
        <v>6.1313448725636777</v>
      </c>
      <c r="T38" s="61">
        <f t="shared" si="2"/>
        <v>0.9</v>
      </c>
      <c r="U38" s="62">
        <f t="shared" si="3"/>
        <v>3.4790034570474968</v>
      </c>
    </row>
    <row r="39" spans="2:21" ht="16.5" customHeight="1">
      <c r="B39" s="290" t="s">
        <v>326</v>
      </c>
      <c r="C39" s="291" cm="1">
        <f t="array" ref="C39">IFERROR(INDEX(_xlfn._xlws.FILTER(B66:B75,F66:F75&gt; 0), 1),"&gt;25 years")</f>
        <v>5</v>
      </c>
      <c r="H39" s="125"/>
      <c r="I39" s="125"/>
      <c r="J39" s="15"/>
      <c r="R39" s="61">
        <f>R21</f>
        <v>0.5</v>
      </c>
      <c r="S39" s="62">
        <f>S21</f>
        <v>5.850508722685495</v>
      </c>
      <c r="T39" s="48"/>
      <c r="U39" s="48"/>
    </row>
    <row r="40" spans="2:21" ht="16.5" customHeight="1">
      <c r="B40" s="159" t="s">
        <v>331</v>
      </c>
      <c r="C40" s="288">
        <f>IFERROR(IRR(E65:E75),"High loss")</f>
        <v>0.21604468045397196</v>
      </c>
      <c r="H40" s="125"/>
      <c r="I40" s="125"/>
      <c r="R40" s="48"/>
      <c r="S40" s="48"/>
      <c r="T40" s="48"/>
      <c r="U40" s="48"/>
    </row>
    <row r="41" spans="2:21" ht="16.5" customHeight="1">
      <c r="B41" s="164" t="str">
        <f>"NPV at " &amp; 100*D34 &amp; " % in 10 years"</f>
        <v>NPV at 0 % in 10 years</v>
      </c>
      <c r="C41" s="289">
        <f>NPV(D33,E65:E75)</f>
        <v>359334.48310692492</v>
      </c>
      <c r="D41" s="5"/>
      <c r="E41" s="5"/>
      <c r="F41" s="5"/>
      <c r="G41" s="5"/>
      <c r="H41" s="5"/>
      <c r="R41" s="48"/>
      <c r="S41" s="48"/>
      <c r="T41" s="48"/>
      <c r="U41" s="48"/>
    </row>
    <row r="42" spans="2:21" ht="16.5" customHeight="1">
      <c r="B42" s="5"/>
      <c r="C42" s="5"/>
      <c r="D42" s="5"/>
      <c r="E42" s="5"/>
      <c r="F42" s="4" t="s">
        <v>36</v>
      </c>
      <c r="G42" s="4"/>
      <c r="H42" s="15"/>
      <c r="I42" s="15">
        <f>F7</f>
        <v>442800</v>
      </c>
    </row>
    <row r="43" spans="2:21" ht="33" customHeight="1">
      <c r="B43" s="297"/>
      <c r="C43" s="314" t="s">
        <v>421</v>
      </c>
      <c r="D43" s="314" t="s">
        <v>420</v>
      </c>
      <c r="E43" s="314" t="s">
        <v>419</v>
      </c>
      <c r="F43" s="13"/>
      <c r="G43" s="13"/>
      <c r="H43" s="13"/>
      <c r="J43" s="18"/>
    </row>
    <row r="44" spans="2:21" ht="17.25">
      <c r="B44" s="135"/>
      <c r="C44" s="301" t="s">
        <v>388</v>
      </c>
      <c r="D44" s="301" t="s">
        <v>390</v>
      </c>
      <c r="E44" s="301" t="s">
        <v>392</v>
      </c>
      <c r="F44" s="13"/>
      <c r="G44" s="13"/>
      <c r="H44" s="13"/>
      <c r="J44" s="18"/>
    </row>
    <row r="45" spans="2:21" ht="17.25">
      <c r="B45" s="135" t="s">
        <v>52</v>
      </c>
      <c r="C45" s="639">
        <f>H28</f>
        <v>3.1677855130758101</v>
      </c>
      <c r="D45" s="216">
        <f>F28/H7</f>
        <v>83444.106198094523</v>
      </c>
      <c r="E45" s="217">
        <f>D45*M6/M11</f>
        <v>463578.36776719184</v>
      </c>
      <c r="F45" s="13"/>
      <c r="G45" s="13"/>
      <c r="H45" s="13"/>
      <c r="I45" s="23"/>
      <c r="J45" s="18"/>
    </row>
    <row r="46" spans="2:21" ht="17.25">
      <c r="B46" s="140" t="s">
        <v>53</v>
      </c>
      <c r="C46" s="641">
        <f>H36</f>
        <v>3.4790034570474968</v>
      </c>
      <c r="D46" s="258">
        <f>F36/H7</f>
        <v>91642.042283202361</v>
      </c>
      <c r="E46" s="278">
        <f>D46*M6/M11</f>
        <v>509122.45712890197</v>
      </c>
      <c r="F46" s="13"/>
      <c r="G46" s="13"/>
      <c r="H46" s="13"/>
      <c r="I46" s="23"/>
      <c r="J46" s="18"/>
    </row>
    <row r="47" spans="2:21" ht="16.5" hidden="1" customHeight="1">
      <c r="B47" s="34"/>
      <c r="C47" s="29"/>
      <c r="D47" s="30"/>
      <c r="E47" s="35"/>
      <c r="F47" s="13"/>
      <c r="G47" s="13"/>
      <c r="H47" s="13"/>
      <c r="I47" s="23"/>
      <c r="J47" s="18"/>
    </row>
    <row r="48" spans="2:21" ht="17.25" hidden="1">
      <c r="B48" s="34"/>
      <c r="C48" s="29"/>
      <c r="D48" s="30"/>
      <c r="E48" s="35"/>
      <c r="F48" s="13"/>
      <c r="G48" s="13"/>
      <c r="H48" s="13"/>
      <c r="I48" s="23"/>
      <c r="J48" s="18"/>
    </row>
    <row r="49" spans="2:9" ht="17.25" hidden="1">
      <c r="B49" s="34"/>
      <c r="C49" s="29"/>
      <c r="D49" s="30"/>
      <c r="E49" s="35"/>
      <c r="F49" s="13"/>
      <c r="G49" s="13"/>
      <c r="H49" s="13"/>
      <c r="I49" s="23"/>
    </row>
    <row r="50" spans="2:9" ht="17.25" hidden="1">
      <c r="B50" s="34"/>
      <c r="C50" s="316"/>
      <c r="D50" s="316"/>
      <c r="E50" s="316"/>
      <c r="F50" s="184"/>
      <c r="G50" s="13"/>
      <c r="H50" s="13"/>
    </row>
    <row r="51" spans="2:9" ht="17.25" hidden="1">
      <c r="B51" s="5"/>
      <c r="C51" s="301"/>
      <c r="D51" s="301"/>
      <c r="E51" s="717"/>
      <c r="F51" s="717"/>
    </row>
    <row r="52" spans="2:9" ht="17.25" hidden="1">
      <c r="B52" s="5"/>
      <c r="C52" s="5"/>
      <c r="D52" s="5"/>
      <c r="E52" s="5"/>
      <c r="F52" s="15"/>
    </row>
    <row r="53" spans="2:9" ht="17.25" hidden="1">
      <c r="B53" s="5"/>
      <c r="C53" s="5"/>
      <c r="D53" s="5"/>
      <c r="E53" s="5"/>
      <c r="F53" s="15"/>
    </row>
    <row r="54" spans="2:9" ht="17.25" hidden="1">
      <c r="F54" s="4"/>
    </row>
    <row r="55" spans="2:9" ht="17.25" hidden="1">
      <c r="F55" s="4"/>
    </row>
    <row r="56" spans="2:9" ht="17.25" hidden="1">
      <c r="C56" s="69"/>
      <c r="F56" s="4"/>
    </row>
    <row r="57" spans="2:9" ht="17.25" hidden="1">
      <c r="B57" s="48" t="s">
        <v>103</v>
      </c>
      <c r="F57" s="4"/>
    </row>
    <row r="58" spans="2:9" ht="17.25" hidden="1">
      <c r="B58" s="48" t="s">
        <v>100</v>
      </c>
      <c r="C58" s="70">
        <v>1068.5999999999999</v>
      </c>
      <c r="D58" s="48" t="s">
        <v>101</v>
      </c>
      <c r="F58" s="4"/>
    </row>
    <row r="59" spans="2:9" ht="17.25" hidden="1">
      <c r="B59" s="48" t="s">
        <v>104</v>
      </c>
      <c r="C59" s="70">
        <v>325.85000000000002</v>
      </c>
      <c r="D59" s="48" t="s">
        <v>101</v>
      </c>
      <c r="F59" s="4"/>
    </row>
    <row r="60" spans="2:9" ht="17.25" hidden="1">
      <c r="B60" s="48" t="s">
        <v>105</v>
      </c>
      <c r="C60" s="48">
        <v>3.28084</v>
      </c>
      <c r="D60" s="48" t="s">
        <v>102</v>
      </c>
      <c r="F60" s="4"/>
    </row>
    <row r="61" spans="2:9" ht="17.25" hidden="1">
      <c r="B61" s="63" t="s">
        <v>96</v>
      </c>
      <c r="C61" s="64">
        <v>2.2046199999999998</v>
      </c>
      <c r="D61" s="48" t="s">
        <v>40</v>
      </c>
      <c r="F61" s="4"/>
    </row>
    <row r="62" spans="2:9" ht="17.25" hidden="1">
      <c r="F62" s="4"/>
    </row>
    <row r="63" spans="2:9" ht="17.25" hidden="1">
      <c r="F63" s="4"/>
    </row>
    <row r="64" spans="2:9" ht="17.25" hidden="1">
      <c r="B64" s="71" t="s">
        <v>317</v>
      </c>
      <c r="C64" s="71" t="s">
        <v>319</v>
      </c>
      <c r="D64" s="72" t="s">
        <v>320</v>
      </c>
      <c r="E64" s="72" t="s">
        <v>321</v>
      </c>
      <c r="F64" s="71" t="s">
        <v>322</v>
      </c>
    </row>
    <row r="65" spans="2:6" ht="17.25" hidden="1">
      <c r="B65" s="73">
        <v>0</v>
      </c>
      <c r="C65" s="65">
        <f>'Capital Inputs'!F43</f>
        <v>423964</v>
      </c>
      <c r="D65" s="65">
        <v>0</v>
      </c>
      <c r="E65" s="65">
        <f>D65-C65</f>
        <v>-423964</v>
      </c>
      <c r="F65" s="74">
        <f>E65</f>
        <v>-423964</v>
      </c>
    </row>
    <row r="66" spans="2:6" ht="17.25" hidden="1">
      <c r="B66" s="73">
        <v>1</v>
      </c>
      <c r="C66" s="65">
        <f>'Cash flow for investments-  Sto'!C2</f>
        <v>0</v>
      </c>
      <c r="D66" s="65">
        <f>F7-F28-F31-F32</f>
        <v>97014.272619062496</v>
      </c>
      <c r="E66" s="65">
        <f t="shared" ref="E66:E74" si="6">D66-C66</f>
        <v>97014.272619062496</v>
      </c>
      <c r="F66" s="74">
        <f>F65+E66</f>
        <v>-326949.72738093749</v>
      </c>
    </row>
    <row r="67" spans="2:6" ht="17.25" hidden="1">
      <c r="B67" s="73">
        <v>2</v>
      </c>
      <c r="C67" s="65">
        <f>'Cash flow for investments-  Sto'!C3</f>
        <v>0</v>
      </c>
      <c r="D67" s="65">
        <f t="shared" ref="D67:D75" si="7">D66</f>
        <v>97014.272619062496</v>
      </c>
      <c r="E67" s="65">
        <f t="shared" si="6"/>
        <v>97014.272619062496</v>
      </c>
      <c r="F67" s="74">
        <f t="shared" ref="F67:F75" si="8">F66+E67</f>
        <v>-229935.45476187498</v>
      </c>
    </row>
    <row r="68" spans="2:6" ht="17.25" hidden="1">
      <c r="B68" s="73">
        <v>3</v>
      </c>
      <c r="C68" s="65">
        <f>'Cash flow for investments-  Sto'!C4</f>
        <v>0</v>
      </c>
      <c r="D68" s="65">
        <f t="shared" si="7"/>
        <v>97014.272619062496</v>
      </c>
      <c r="E68" s="65">
        <f t="shared" si="6"/>
        <v>97014.272619062496</v>
      </c>
      <c r="F68" s="74">
        <f t="shared" si="8"/>
        <v>-132921.18214281247</v>
      </c>
    </row>
    <row r="69" spans="2:6" ht="17.25" hidden="1">
      <c r="B69" s="73">
        <v>4</v>
      </c>
      <c r="C69" s="65">
        <f>'Cash flow for investments-  Sto'!C5</f>
        <v>0</v>
      </c>
      <c r="D69" s="65">
        <f t="shared" si="7"/>
        <v>97014.272619062496</v>
      </c>
      <c r="E69" s="65">
        <f t="shared" si="6"/>
        <v>97014.272619062496</v>
      </c>
      <c r="F69" s="74">
        <f t="shared" si="8"/>
        <v>-35906.909523749971</v>
      </c>
    </row>
    <row r="70" spans="2:6" ht="17.25" hidden="1">
      <c r="B70" s="73">
        <v>5</v>
      </c>
      <c r="C70" s="65">
        <f>'Cash flow for investments-  Sto'!C6</f>
        <v>0</v>
      </c>
      <c r="D70" s="65">
        <f t="shared" si="7"/>
        <v>97014.272619062496</v>
      </c>
      <c r="E70" s="65">
        <f t="shared" si="6"/>
        <v>97014.272619062496</v>
      </c>
      <c r="F70" s="74">
        <f t="shared" si="8"/>
        <v>61107.363095312525</v>
      </c>
    </row>
    <row r="71" spans="2:6" ht="17.25" hidden="1">
      <c r="B71" s="73">
        <v>6</v>
      </c>
      <c r="C71" s="65">
        <f>'Cash flow for investments-  Sto'!C7</f>
        <v>0</v>
      </c>
      <c r="D71" s="65">
        <f t="shared" si="7"/>
        <v>97014.272619062496</v>
      </c>
      <c r="E71" s="65">
        <f t="shared" si="6"/>
        <v>97014.272619062496</v>
      </c>
      <c r="F71" s="74">
        <f t="shared" si="8"/>
        <v>158121.63571437501</v>
      </c>
    </row>
    <row r="72" spans="2:6" ht="17.25" hidden="1">
      <c r="B72" s="73">
        <v>7</v>
      </c>
      <c r="C72" s="65">
        <f>'Cash flow for investments-  Sto'!C8</f>
        <v>2000</v>
      </c>
      <c r="D72" s="65">
        <f t="shared" si="7"/>
        <v>97014.272619062496</v>
      </c>
      <c r="E72" s="65">
        <f t="shared" si="6"/>
        <v>95014.272619062496</v>
      </c>
      <c r="F72" s="74">
        <f t="shared" si="8"/>
        <v>253135.90833343752</v>
      </c>
    </row>
    <row r="73" spans="2:6" ht="17.25" hidden="1">
      <c r="B73" s="73">
        <v>8</v>
      </c>
      <c r="C73" s="65">
        <f>'Cash flow for investments-  Sto'!C9</f>
        <v>1750</v>
      </c>
      <c r="D73" s="65">
        <f t="shared" si="7"/>
        <v>97014.272619062496</v>
      </c>
      <c r="E73" s="65">
        <f t="shared" si="6"/>
        <v>95264.272619062496</v>
      </c>
      <c r="F73" s="74">
        <f t="shared" si="8"/>
        <v>348400.18095250003</v>
      </c>
    </row>
    <row r="74" spans="2:6" ht="17.25" hidden="1">
      <c r="B74" s="73">
        <v>9</v>
      </c>
      <c r="C74" s="65">
        <f>'Cash flow for investments-  Sto'!C10</f>
        <v>0</v>
      </c>
      <c r="D74" s="65">
        <f t="shared" si="7"/>
        <v>97014.272619062496</v>
      </c>
      <c r="E74" s="65">
        <f t="shared" si="6"/>
        <v>97014.272619062496</v>
      </c>
      <c r="F74" s="74">
        <f t="shared" si="8"/>
        <v>445414.45357156254</v>
      </c>
    </row>
    <row r="75" spans="2:6" ht="17.25" hidden="1">
      <c r="B75" s="73">
        <v>10</v>
      </c>
      <c r="C75" s="65">
        <f>'Cash flow for investments-  Sto'!C11</f>
        <v>57503.075000000004</v>
      </c>
      <c r="D75" s="65">
        <f t="shared" si="7"/>
        <v>97014.272619062496</v>
      </c>
      <c r="E75" s="65">
        <f>D75-C75+D76</f>
        <v>374876.18809525302</v>
      </c>
      <c r="F75" s="74">
        <f t="shared" si="8"/>
        <v>820290.64166681562</v>
      </c>
    </row>
    <row r="76" spans="2:6" ht="17.25" hidden="1">
      <c r="B76" s="73" t="s">
        <v>323</v>
      </c>
      <c r="C76" s="65"/>
      <c r="D76" s="65">
        <f>'Cash flow for investments- Food'!C12</f>
        <v>335364.99047619052</v>
      </c>
      <c r="E76" s="65"/>
      <c r="F76" s="74"/>
    </row>
    <row r="77" spans="2:6" ht="17.25" hidden="1">
      <c r="F77" s="4"/>
    </row>
    <row r="78" spans="2:6" ht="17.25" hidden="1">
      <c r="F78" s="4"/>
    </row>
    <row r="79" spans="2:6" ht="17.25" hidden="1">
      <c r="F79" s="4"/>
    </row>
    <row r="80" spans="2:6" ht="17.25" hidden="1">
      <c r="F80" s="4"/>
    </row>
    <row r="81" spans="2:6" ht="17.25" hidden="1">
      <c r="F81" s="4"/>
    </row>
    <row r="82" spans="2:6" ht="17.25" hidden="1">
      <c r="F82" s="4"/>
    </row>
    <row r="83" spans="2:6" ht="17.25" hidden="1"/>
    <row r="84" spans="2:6" ht="17.25" hidden="1"/>
    <row r="85" spans="2:6" ht="17.25" hidden="1"/>
    <row r="86" spans="2:6" ht="17.25" hidden="1"/>
    <row r="87" spans="2:6" ht="17.25" hidden="1"/>
    <row r="88" spans="2:6" ht="17.25" hidden="1"/>
    <row r="89" spans="2:6" ht="17.25" hidden="1"/>
    <row r="90" spans="2:6" ht="17.25" hidden="1"/>
    <row r="91" spans="2:6" ht="17.25" hidden="1"/>
    <row r="92" spans="2:6" ht="17.25" hidden="1"/>
    <row r="93" spans="2:6" ht="17.25" hidden="1"/>
    <row r="96" spans="2:6" ht="17.25" hidden="1">
      <c r="B96" s="63" t="s">
        <v>97</v>
      </c>
      <c r="C96" s="64">
        <v>2.47105</v>
      </c>
      <c r="D96" s="48" t="s">
        <v>29</v>
      </c>
    </row>
    <row r="97" spans="2:4" ht="17.25" hidden="1"/>
    <row r="98" spans="2:4" ht="0" hidden="1" customHeight="1">
      <c r="B98" s="66"/>
      <c r="C98" s="67"/>
      <c r="D98" s="68"/>
    </row>
  </sheetData>
  <sheetProtection sheet="1" objects="1" scenarios="1"/>
  <mergeCells count="2">
    <mergeCell ref="B2:I2"/>
    <mergeCell ref="E51:F51"/>
  </mergeCells>
  <conditionalFormatting sqref="V96:W413 V43:W93">
    <cfRule type="duplicateValues" dxfId="0" priority="21"/>
  </conditionalFormatting>
  <pageMargins left="0.7" right="0.7" top="0.75" bottom="0.75" header="0.3" footer="0.3"/>
  <pageSetup orientation="portrait" r:id="rId1"/>
  <ignoredErrors>
    <ignoredError sqref="F21" formula="1"/>
    <ignoredError sqref="C39"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99C03-B6B2-4652-9215-72B64AC2607D}">
  <sheetPr codeName="Sheet14"/>
  <dimension ref="B1:AI16"/>
  <sheetViews>
    <sheetView zoomScale="70" zoomScaleNormal="70" workbookViewId="0">
      <selection activeCell="I39" sqref="I39"/>
    </sheetView>
  </sheetViews>
  <sheetFormatPr defaultRowHeight="15"/>
  <cols>
    <col min="2" max="2" width="20.88671875" customWidth="1"/>
    <col min="3" max="3" width="17.5546875" bestFit="1" customWidth="1"/>
  </cols>
  <sheetData>
    <row r="1" spans="2:35">
      <c r="B1" s="45" t="s">
        <v>317</v>
      </c>
      <c r="C1" s="45" t="s">
        <v>318</v>
      </c>
    </row>
    <row r="2" spans="2:35" ht="17.25">
      <c r="B2">
        <v>1</v>
      </c>
      <c r="C2" s="46">
        <f t="array" ref="C2:C11">TRANSPOSE(K7:T7)</f>
        <v>0</v>
      </c>
      <c r="D2" s="16"/>
      <c r="E2" s="47"/>
      <c r="F2" s="48"/>
    </row>
    <row r="3" spans="2:35" ht="17.25">
      <c r="B3">
        <v>2</v>
      </c>
      <c r="C3" s="46">
        <v>0</v>
      </c>
      <c r="D3" s="16"/>
      <c r="E3" s="47"/>
      <c r="F3" s="48"/>
    </row>
    <row r="4" spans="2:35" ht="17.25">
      <c r="B4">
        <v>3</v>
      </c>
      <c r="C4" s="46">
        <v>0</v>
      </c>
      <c r="D4" s="16"/>
      <c r="E4" s="47"/>
      <c r="F4" s="48"/>
      <c r="J4" s="2" t="s">
        <v>313</v>
      </c>
      <c r="K4" s="2">
        <v>1</v>
      </c>
      <c r="L4" s="2">
        <v>2</v>
      </c>
      <c r="M4" s="2">
        <v>3</v>
      </c>
      <c r="N4" s="2">
        <v>4</v>
      </c>
      <c r="O4" s="2">
        <v>5</v>
      </c>
      <c r="P4" s="2">
        <v>6</v>
      </c>
      <c r="Q4" s="2">
        <v>7</v>
      </c>
      <c r="R4" s="2">
        <v>8</v>
      </c>
      <c r="S4" s="2">
        <v>9</v>
      </c>
      <c r="T4" s="2">
        <v>10</v>
      </c>
      <c r="U4" s="2"/>
      <c r="V4" s="2"/>
      <c r="W4" s="2"/>
      <c r="X4" s="2"/>
      <c r="Y4" s="2"/>
      <c r="Z4" s="2"/>
      <c r="AA4" s="2"/>
      <c r="AB4" s="2"/>
      <c r="AC4" s="2"/>
      <c r="AD4" s="2"/>
      <c r="AE4" s="2"/>
      <c r="AF4" s="2"/>
      <c r="AG4" s="2"/>
      <c r="AH4" s="2">
        <v>24</v>
      </c>
      <c r="AI4" s="2">
        <v>25</v>
      </c>
    </row>
    <row r="5" spans="2:35" ht="16.5">
      <c r="B5">
        <v>4</v>
      </c>
      <c r="C5" s="46">
        <v>0</v>
      </c>
      <c r="J5" s="2" t="s">
        <v>314</v>
      </c>
      <c r="K5" s="2">
        <f>SUMIF('Capital Inputs'!$H$14:$H$42,K$4,'Capital Inputs'!$F$14:$F$42)</f>
        <v>0</v>
      </c>
      <c r="L5" s="2">
        <f>SUMIF('Capital Inputs'!$H$14:$H$42,L$4,'Capital Inputs'!$F$14:$F$42)</f>
        <v>0</v>
      </c>
      <c r="M5" s="2">
        <f>SUMIF('Capital Inputs'!$H$14:$H$42,M$4,'Capital Inputs'!$F$14:$F$42)</f>
        <v>0</v>
      </c>
      <c r="N5" s="2">
        <f>SUMIF('Capital Inputs'!$H$14:$H$42,N$4,'Capital Inputs'!$F$14:$F$42)</f>
        <v>0</v>
      </c>
      <c r="O5" s="2">
        <f>SUMIF('Capital Inputs'!$H$14:$H$42,O$4,'Capital Inputs'!$F$14:$F$42)</f>
        <v>414</v>
      </c>
      <c r="P5" s="2">
        <f>SUMIF('Capital Inputs'!$H$14:$H$42,P$4,'Capital Inputs'!$F$14:$F$42)</f>
        <v>0</v>
      </c>
      <c r="Q5" s="2">
        <f>SUMIF('Capital Inputs'!$H$14:$H$42,Q$4,'Capital Inputs'!$F$14:$F$42)</f>
        <v>2500</v>
      </c>
      <c r="R5" s="2">
        <f>SUMIF('Capital Inputs'!$H$14:$H$42,R$4,'Capital Inputs'!$F$14:$F$42)</f>
        <v>2500</v>
      </c>
      <c r="S5" s="2">
        <f>SUMIF('Capital Inputs'!$H$14:$H$42,S$4,'Capital Inputs'!$F$14:$F$42)</f>
        <v>0</v>
      </c>
      <c r="T5" s="2">
        <f>SUMIF('Capital Inputs'!$H$14:$H$42,T$4,'Capital Inputs'!$F$14:$F$42)</f>
        <v>70201.3</v>
      </c>
      <c r="U5" s="2"/>
      <c r="V5" s="2"/>
      <c r="W5" s="2"/>
      <c r="X5" s="2"/>
      <c r="Y5" s="2"/>
      <c r="Z5" s="2"/>
      <c r="AA5" s="2"/>
      <c r="AB5" s="2"/>
      <c r="AC5" s="2"/>
      <c r="AD5" s="2"/>
      <c r="AE5" s="2"/>
      <c r="AF5" s="2"/>
      <c r="AG5" s="2"/>
      <c r="AH5" s="2">
        <f>SUMIF('Capital Inputs'!$H$14:$H$42,AH$4,'Capital Inputs'!$F$14:$F$42)</f>
        <v>0</v>
      </c>
      <c r="AI5" s="2">
        <f>SUMIF('Capital Inputs'!$H$14:$H$42,AI$4,'Capital Inputs'!$F$14:$F$42)</f>
        <v>4000</v>
      </c>
    </row>
    <row r="6" spans="2:35" ht="16.5">
      <c r="B6">
        <v>5</v>
      </c>
      <c r="C6" s="46">
        <v>414</v>
      </c>
      <c r="J6" s="2" t="s">
        <v>315</v>
      </c>
      <c r="K6" s="2">
        <f>SUMIF('Capital Inputs'!$H$14:$H$42,K$4,'Capital Inputs'!$N$14:$N$42)</f>
        <v>0</v>
      </c>
      <c r="L6" s="2">
        <f>SUMIF('Capital Inputs'!$H$14:$H$42,L$4,'Capital Inputs'!$N$14:$N$42)</f>
        <v>0</v>
      </c>
      <c r="M6" s="2">
        <f>SUMIF('Capital Inputs'!$H$14:$H$42,M$4,'Capital Inputs'!$N$14:$N$42)</f>
        <v>0</v>
      </c>
      <c r="N6" s="2">
        <f>SUMIF('Capital Inputs'!$H$14:$H$42,N$4,'Capital Inputs'!$N$14:$N$42)</f>
        <v>0</v>
      </c>
      <c r="O6" s="2">
        <f>SUMIF('Capital Inputs'!$H$14:$H$42,O$4,'Capital Inputs'!$N$14:$N$42)</f>
        <v>0</v>
      </c>
      <c r="P6" s="2">
        <f>SUMIF('Capital Inputs'!$H$14:$H$42,P$4,'Capital Inputs'!$N$14:$N$42)</f>
        <v>0</v>
      </c>
      <c r="Q6" s="2">
        <f>SUMIF('Capital Inputs'!$H$14:$H$42,Q$4,'Capital Inputs'!$N$14:$N$42)</f>
        <v>500</v>
      </c>
      <c r="R6" s="2">
        <f>SUMIF('Capital Inputs'!$H$14:$H$42,R$4,'Capital Inputs'!$N$14:$N$42)</f>
        <v>750</v>
      </c>
      <c r="S6" s="2">
        <f>SUMIF('Capital Inputs'!$H$14:$H$42,S$4,'Capital Inputs'!$N$14:$N$42)</f>
        <v>0</v>
      </c>
      <c r="T6" s="2">
        <f>SUMIF('Capital Inputs'!$H$14:$H$42,T$4,'Capital Inputs'!$N$14:$N$42)</f>
        <v>12698.224999999999</v>
      </c>
      <c r="U6" s="2"/>
      <c r="V6" s="2"/>
      <c r="W6" s="2"/>
      <c r="X6" s="2"/>
      <c r="Y6" s="2"/>
      <c r="Z6" s="2"/>
      <c r="AA6" s="2"/>
      <c r="AB6" s="2"/>
      <c r="AC6" s="2"/>
      <c r="AD6" s="2"/>
      <c r="AE6" s="2"/>
      <c r="AF6" s="2"/>
      <c r="AG6" s="2"/>
      <c r="AH6" s="2">
        <f>SUMIF('Capital Inputs'!$H$14:$H$42,AH$4,'Capital Inputs'!$N$14:$N$42)</f>
        <v>0</v>
      </c>
      <c r="AI6" s="2">
        <f>SUMIF('Capital Inputs'!$H$14:$H$42,AI$4,'Capital Inputs'!$N$14:$N$42)</f>
        <v>200</v>
      </c>
    </row>
    <row r="7" spans="2:35" ht="16.5">
      <c r="B7">
        <v>6</v>
      </c>
      <c r="C7" s="46">
        <v>0</v>
      </c>
      <c r="J7" s="2" t="s">
        <v>316</v>
      </c>
      <c r="K7" s="2">
        <f t="shared" ref="K7:T7" si="0">K5-K6</f>
        <v>0</v>
      </c>
      <c r="L7" s="2">
        <f t="shared" si="0"/>
        <v>0</v>
      </c>
      <c r="M7" s="2">
        <f t="shared" si="0"/>
        <v>0</v>
      </c>
      <c r="N7" s="2">
        <f t="shared" si="0"/>
        <v>0</v>
      </c>
      <c r="O7" s="2">
        <f t="shared" si="0"/>
        <v>414</v>
      </c>
      <c r="P7" s="2">
        <f t="shared" si="0"/>
        <v>0</v>
      </c>
      <c r="Q7" s="2">
        <f t="shared" si="0"/>
        <v>2000</v>
      </c>
      <c r="R7" s="2">
        <f t="shared" si="0"/>
        <v>1750</v>
      </c>
      <c r="S7" s="2">
        <f t="shared" si="0"/>
        <v>0</v>
      </c>
      <c r="T7" s="2">
        <f t="shared" si="0"/>
        <v>57503.075000000004</v>
      </c>
      <c r="U7" s="2"/>
      <c r="V7" s="2"/>
      <c r="W7" s="2"/>
      <c r="X7" s="2"/>
      <c r="Y7" s="2"/>
      <c r="Z7" s="2"/>
      <c r="AA7" s="2"/>
      <c r="AB7" s="2"/>
      <c r="AC7" s="2"/>
      <c r="AD7" s="2"/>
      <c r="AE7" s="2"/>
      <c r="AF7" s="2"/>
      <c r="AG7" s="2"/>
      <c r="AH7" s="2">
        <f t="shared" ref="AH7:AI7" si="1">AH5-AH6</f>
        <v>0</v>
      </c>
      <c r="AI7" s="2">
        <f t="shared" si="1"/>
        <v>3800</v>
      </c>
    </row>
    <row r="8" spans="2:35">
      <c r="B8">
        <v>7</v>
      </c>
      <c r="C8" s="46">
        <v>2000</v>
      </c>
    </row>
    <row r="9" spans="2:35">
      <c r="B9">
        <v>8</v>
      </c>
      <c r="C9" s="46">
        <v>1750</v>
      </c>
    </row>
    <row r="10" spans="2:35">
      <c r="B10">
        <v>9</v>
      </c>
      <c r="C10" s="46">
        <v>0</v>
      </c>
    </row>
    <row r="11" spans="2:35">
      <c r="B11">
        <v>10</v>
      </c>
      <c r="C11" s="46">
        <v>57503.075000000004</v>
      </c>
    </row>
    <row r="12" spans="2:35">
      <c r="B12" s="45" t="s">
        <v>324</v>
      </c>
      <c r="C12" s="49">
        <f>SUM('Capital Inputs'!P5:P42)</f>
        <v>335364.99047619052</v>
      </c>
    </row>
    <row r="13" spans="2:35" ht="17.25">
      <c r="M13" s="5"/>
    </row>
    <row r="14" spans="2:35" ht="17.25">
      <c r="M14" s="5"/>
    </row>
    <row r="15" spans="2:35" ht="17.25">
      <c r="M15" s="5"/>
    </row>
    <row r="16" spans="2:35">
      <c r="B16" t="s">
        <v>330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B5097-2FAD-4209-9424-92640F817D73}">
  <sheetPr codeName="Sheet15"/>
  <dimension ref="B1:AI16"/>
  <sheetViews>
    <sheetView zoomScale="70" zoomScaleNormal="70" workbookViewId="0">
      <selection activeCell="K42" sqref="K42"/>
    </sheetView>
  </sheetViews>
  <sheetFormatPr defaultRowHeight="15"/>
  <cols>
    <col min="2" max="2" width="20.88671875" customWidth="1"/>
    <col min="3" max="3" width="17.5546875" bestFit="1" customWidth="1"/>
  </cols>
  <sheetData>
    <row r="1" spans="2:35">
      <c r="B1" s="45" t="s">
        <v>317</v>
      </c>
      <c r="C1" s="45" t="s">
        <v>318</v>
      </c>
    </row>
    <row r="2" spans="2:35" ht="17.25">
      <c r="B2">
        <v>1</v>
      </c>
      <c r="C2" s="46">
        <f t="array" ref="C2:C11">TRANSPOSE(K7:T7)</f>
        <v>0</v>
      </c>
      <c r="D2" s="16"/>
      <c r="E2" s="47"/>
      <c r="F2" s="48"/>
    </row>
    <row r="3" spans="2:35" ht="17.25">
      <c r="B3">
        <v>2</v>
      </c>
      <c r="C3" s="46">
        <v>0</v>
      </c>
      <c r="D3" s="16"/>
      <c r="E3" s="47"/>
      <c r="F3" s="48"/>
    </row>
    <row r="4" spans="2:35" ht="17.25">
      <c r="B4">
        <v>3</v>
      </c>
      <c r="C4" s="46">
        <v>0</v>
      </c>
      <c r="D4" s="16"/>
      <c r="E4" s="47"/>
      <c r="F4" s="48"/>
      <c r="J4" s="2" t="s">
        <v>313</v>
      </c>
      <c r="K4" s="2">
        <v>1</v>
      </c>
      <c r="L4" s="2">
        <v>2</v>
      </c>
      <c r="M4" s="2">
        <v>3</v>
      </c>
      <c r="N4" s="2">
        <v>4</v>
      </c>
      <c r="O4" s="2">
        <v>5</v>
      </c>
      <c r="P4" s="2">
        <v>6</v>
      </c>
      <c r="Q4" s="2">
        <v>7</v>
      </c>
      <c r="R4" s="2">
        <v>8</v>
      </c>
      <c r="S4" s="2">
        <v>9</v>
      </c>
      <c r="T4" s="2">
        <v>10</v>
      </c>
      <c r="U4" s="2"/>
      <c r="V4" s="2"/>
      <c r="W4" s="2"/>
      <c r="X4" s="2"/>
      <c r="Y4" s="2"/>
      <c r="Z4" s="2"/>
      <c r="AA4" s="2"/>
      <c r="AB4" s="2"/>
      <c r="AC4" s="2"/>
      <c r="AD4" s="2"/>
      <c r="AE4" s="2"/>
      <c r="AF4" s="2"/>
      <c r="AG4" s="2"/>
      <c r="AH4" s="2">
        <v>24</v>
      </c>
      <c r="AI4" s="2">
        <v>25</v>
      </c>
    </row>
    <row r="5" spans="2:35" ht="16.5">
      <c r="B5">
        <v>4</v>
      </c>
      <c r="C5" s="46">
        <v>0</v>
      </c>
      <c r="J5" s="2" t="s">
        <v>314</v>
      </c>
      <c r="K5" s="51">
        <f>SUMIF('Capital Inputs'!$H$14:$H$39,K$4,'Capital Inputs'!$F$14:$F$39)</f>
        <v>0</v>
      </c>
      <c r="L5" s="51">
        <f>SUMIF('Capital Inputs'!$H$14:$H$39,L$4,'Capital Inputs'!$F$14:$F$39)</f>
        <v>0</v>
      </c>
      <c r="M5" s="51">
        <f>SUMIF('Capital Inputs'!$H$14:$H$39,M$4,'Capital Inputs'!$F$14:$F$39)</f>
        <v>0</v>
      </c>
      <c r="N5" s="51">
        <f>SUMIF('Capital Inputs'!$H$14:$H$39,N$4,'Capital Inputs'!$F$14:$F$39)</f>
        <v>0</v>
      </c>
      <c r="O5" s="51">
        <f>SUMIF('Capital Inputs'!$H$14:$H$39,O$4,'Capital Inputs'!$F$14:$F$39)</f>
        <v>0</v>
      </c>
      <c r="P5" s="51">
        <f>SUMIF('Capital Inputs'!$H$14:$H$39,P$4,'Capital Inputs'!$F$14:$F$39)</f>
        <v>0</v>
      </c>
      <c r="Q5" s="51">
        <f>SUMIF('Capital Inputs'!$H$14:$H$39,Q$4,'Capital Inputs'!$F$14:$F$39)</f>
        <v>2500</v>
      </c>
      <c r="R5" s="51">
        <f>SUMIF('Capital Inputs'!$H$14:$H$39,R$4,'Capital Inputs'!$F$14:$F$39)</f>
        <v>2500</v>
      </c>
      <c r="S5" s="51">
        <f>SUMIF('Capital Inputs'!$H$14:$H$39,S$4,'Capital Inputs'!$F$14:$F$39)</f>
        <v>0</v>
      </c>
      <c r="T5" s="51">
        <f>SUMIF('Capital Inputs'!$H$14:$H$39,T$4,'Capital Inputs'!$F$14:$F$39)</f>
        <v>70201.3</v>
      </c>
      <c r="U5" s="2"/>
      <c r="V5" s="2"/>
      <c r="W5" s="2"/>
      <c r="X5" s="2"/>
      <c r="Y5" s="2"/>
      <c r="Z5" s="2"/>
      <c r="AA5" s="2"/>
      <c r="AB5" s="2"/>
      <c r="AC5" s="2"/>
      <c r="AD5" s="2"/>
      <c r="AE5" s="2"/>
      <c r="AF5" s="2"/>
      <c r="AG5" s="2"/>
      <c r="AH5" s="2">
        <f>SUMIF('Capital Inputs'!$H$14:$H$42,AH$4,'Capital Inputs'!$F$14:$F$42)</f>
        <v>0</v>
      </c>
      <c r="AI5" s="2">
        <f>SUMIF('Capital Inputs'!$H$14:$H$42,AI$4,'Capital Inputs'!$F$14:$F$42)</f>
        <v>4000</v>
      </c>
    </row>
    <row r="6" spans="2:35" ht="16.5">
      <c r="B6">
        <v>5</v>
      </c>
      <c r="C6" s="46">
        <v>0</v>
      </c>
      <c r="J6" s="2" t="s">
        <v>315</v>
      </c>
      <c r="K6" s="51">
        <f>SUMIF('Capital Inputs'!$H$14:$H$39,K$4,'Capital Inputs'!$N$14:$N$39)</f>
        <v>0</v>
      </c>
      <c r="L6" s="51">
        <f>SUMIF('Capital Inputs'!$H$14:$H$39,L$4,'Capital Inputs'!$N$14:$N$39)</f>
        <v>0</v>
      </c>
      <c r="M6" s="51">
        <f>SUMIF('Capital Inputs'!$H$14:$H$39,M$4,'Capital Inputs'!$N$14:$N$39)</f>
        <v>0</v>
      </c>
      <c r="N6" s="51">
        <f>SUMIF('Capital Inputs'!$H$14:$H$39,N$4,'Capital Inputs'!$N$14:$N$39)</f>
        <v>0</v>
      </c>
      <c r="O6" s="51">
        <f>SUMIF('Capital Inputs'!$H$14:$H$39,O$4,'Capital Inputs'!$N$14:$N$39)</f>
        <v>0</v>
      </c>
      <c r="P6" s="51">
        <f>SUMIF('Capital Inputs'!$H$14:$H$39,P$4,'Capital Inputs'!$N$14:$N$39)</f>
        <v>0</v>
      </c>
      <c r="Q6" s="51">
        <f>SUMIF('Capital Inputs'!$H$14:$H$39,Q$4,'Capital Inputs'!$N$14:$N$39)</f>
        <v>500</v>
      </c>
      <c r="R6" s="51">
        <f>SUMIF('Capital Inputs'!$H$14:$H$39,R$4,'Capital Inputs'!$N$14:$N$39)</f>
        <v>750</v>
      </c>
      <c r="S6" s="51">
        <f>SUMIF('Capital Inputs'!$H$14:$H$39,S$4,'Capital Inputs'!$N$14:$N$39)</f>
        <v>0</v>
      </c>
      <c r="T6" s="51">
        <f>SUMIF('Capital Inputs'!$H$14:$H$39,T$4,'Capital Inputs'!$N$14:$N$39)</f>
        <v>12698.224999999999</v>
      </c>
      <c r="U6" s="2"/>
      <c r="V6" s="2"/>
      <c r="W6" s="2"/>
      <c r="X6" s="2"/>
      <c r="Y6" s="2"/>
      <c r="Z6" s="2"/>
      <c r="AA6" s="2"/>
      <c r="AB6" s="2"/>
      <c r="AC6" s="2"/>
      <c r="AD6" s="2"/>
      <c r="AE6" s="2"/>
      <c r="AF6" s="2"/>
      <c r="AG6" s="2"/>
      <c r="AH6" s="2">
        <f>SUMIF('Capital Inputs'!$H$14:$H$42,AH$4,'Capital Inputs'!$N$14:$N$42)</f>
        <v>0</v>
      </c>
      <c r="AI6" s="2">
        <f>SUMIF('Capital Inputs'!$H$14:$H$42,AI$4,'Capital Inputs'!$N$14:$N$42)</f>
        <v>200</v>
      </c>
    </row>
    <row r="7" spans="2:35" ht="16.5">
      <c r="B7">
        <v>6</v>
      </c>
      <c r="C7" s="46">
        <v>0</v>
      </c>
      <c r="J7" s="2" t="s">
        <v>316</v>
      </c>
      <c r="K7" s="51">
        <f t="shared" ref="K7:T7" si="0">K5-K6</f>
        <v>0</v>
      </c>
      <c r="L7" s="51">
        <f t="shared" si="0"/>
        <v>0</v>
      </c>
      <c r="M7" s="51">
        <f t="shared" si="0"/>
        <v>0</v>
      </c>
      <c r="N7" s="51">
        <f t="shared" si="0"/>
        <v>0</v>
      </c>
      <c r="O7" s="51">
        <f t="shared" si="0"/>
        <v>0</v>
      </c>
      <c r="P7" s="51">
        <f t="shared" si="0"/>
        <v>0</v>
      </c>
      <c r="Q7" s="51">
        <f t="shared" si="0"/>
        <v>2000</v>
      </c>
      <c r="R7" s="51">
        <f t="shared" si="0"/>
        <v>1750</v>
      </c>
      <c r="S7" s="51">
        <f t="shared" si="0"/>
        <v>0</v>
      </c>
      <c r="T7" s="51">
        <f t="shared" si="0"/>
        <v>57503.075000000004</v>
      </c>
      <c r="U7" s="2"/>
      <c r="V7" s="2"/>
      <c r="W7" s="2"/>
      <c r="X7" s="2"/>
      <c r="Y7" s="2"/>
      <c r="Z7" s="2"/>
      <c r="AA7" s="2"/>
      <c r="AB7" s="2"/>
      <c r="AC7" s="2"/>
      <c r="AD7" s="2"/>
      <c r="AE7" s="2"/>
      <c r="AF7" s="2"/>
      <c r="AG7" s="2"/>
      <c r="AH7" s="2">
        <f t="shared" ref="AH7:AI7" si="1">AH5-AH6</f>
        <v>0</v>
      </c>
      <c r="AI7" s="2">
        <f t="shared" si="1"/>
        <v>3800</v>
      </c>
    </row>
    <row r="8" spans="2:35">
      <c r="B8">
        <v>7</v>
      </c>
      <c r="C8" s="46">
        <v>2000</v>
      </c>
    </row>
    <row r="9" spans="2:35">
      <c r="B9">
        <v>8</v>
      </c>
      <c r="C9" s="46">
        <v>1750</v>
      </c>
    </row>
    <row r="10" spans="2:35">
      <c r="B10">
        <v>9</v>
      </c>
      <c r="C10" s="46">
        <v>0</v>
      </c>
    </row>
    <row r="11" spans="2:35">
      <c r="B11">
        <v>10</v>
      </c>
      <c r="C11" s="46">
        <v>57503.075000000004</v>
      </c>
    </row>
    <row r="12" spans="2:35">
      <c r="B12" s="45" t="s">
        <v>324</v>
      </c>
      <c r="C12" s="49">
        <f>SUM('Capital Inputs'!P5:P39)</f>
        <v>320364.99047619052</v>
      </c>
    </row>
    <row r="13" spans="2:35" ht="17.25">
      <c r="M13" s="5"/>
    </row>
    <row r="14" spans="2:35" ht="17.25">
      <c r="M14" s="5"/>
    </row>
    <row r="15" spans="2:35" ht="17.25">
      <c r="M15" s="5"/>
    </row>
    <row r="16" spans="2:35">
      <c r="B16" t="s">
        <v>330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C3859-CA3C-4FF7-B3F4-ED13AC215A5A}">
  <sheetPr codeName="Sheet5"/>
  <dimension ref="A1:T22"/>
  <sheetViews>
    <sheetView showGridLines="0" zoomScaleNormal="100" workbookViewId="0">
      <selection activeCell="G13" sqref="G13"/>
    </sheetView>
  </sheetViews>
  <sheetFormatPr defaultColWidth="0" defaultRowHeight="14.25" zeroHeight="1"/>
  <cols>
    <col min="1" max="1" width="3.33203125" style="44" customWidth="1"/>
    <col min="2" max="2" width="29" style="44" customWidth="1"/>
    <col min="3" max="3" width="20" style="44" customWidth="1"/>
    <col min="4" max="4" width="20.33203125" style="44" customWidth="1"/>
    <col min="5" max="5" width="15.33203125" style="44" customWidth="1"/>
    <col min="6" max="6" width="8.109375" style="44" customWidth="1"/>
    <col min="7" max="7" width="13.88671875" style="44" customWidth="1"/>
    <col min="8" max="8" width="10.44140625" style="44" customWidth="1"/>
    <col min="9" max="9" width="11.5546875" style="44" customWidth="1"/>
    <col min="10" max="10" width="11.109375" style="44" customWidth="1"/>
    <col min="11" max="11" width="9.5546875" style="44" customWidth="1"/>
    <col min="12" max="12" width="9.88671875" style="44" customWidth="1"/>
    <col min="13" max="13" width="15.6640625" style="44" customWidth="1"/>
    <col min="14" max="14" width="9" style="44" customWidth="1"/>
    <col min="15" max="15" width="10.5546875" style="44" customWidth="1"/>
    <col min="16" max="16" width="13.5546875" style="44" bestFit="1" customWidth="1"/>
    <col min="17" max="17" width="11.77734375" style="44" customWidth="1"/>
    <col min="18" max="18" width="16.109375" style="44" customWidth="1"/>
    <col min="19" max="19" width="3.33203125" style="44" customWidth="1"/>
    <col min="20" max="20" width="0" style="44" hidden="1" customWidth="1"/>
    <col min="21" max="16384" width="8.88671875" style="44" hidden="1"/>
  </cols>
  <sheetData>
    <row r="1" spans="2:18"/>
    <row r="2" spans="2:18" ht="45">
      <c r="B2" s="107" t="s">
        <v>367</v>
      </c>
      <c r="C2" s="107" t="s">
        <v>311</v>
      </c>
      <c r="D2" s="107" t="s">
        <v>306</v>
      </c>
      <c r="E2" s="107" t="s">
        <v>360</v>
      </c>
      <c r="F2" s="107" t="s">
        <v>361</v>
      </c>
      <c r="G2" s="107" t="s">
        <v>362</v>
      </c>
      <c r="H2" s="109" t="s">
        <v>363</v>
      </c>
      <c r="I2" s="107" t="s">
        <v>373</v>
      </c>
      <c r="J2" s="107" t="s">
        <v>374</v>
      </c>
      <c r="K2" s="107" t="s">
        <v>364</v>
      </c>
      <c r="L2" s="107" t="s">
        <v>365</v>
      </c>
      <c r="M2" s="108" t="s">
        <v>366</v>
      </c>
      <c r="N2" s="108" t="s">
        <v>368</v>
      </c>
      <c r="O2" s="108" t="s">
        <v>369</v>
      </c>
      <c r="P2" s="108" t="s">
        <v>370</v>
      </c>
      <c r="Q2" s="108" t="s">
        <v>371</v>
      </c>
      <c r="R2" s="110" t="s">
        <v>372</v>
      </c>
    </row>
    <row r="3" spans="2:18" ht="15">
      <c r="B3" s="96" t="s">
        <v>291</v>
      </c>
      <c r="C3" s="96" t="s">
        <v>335</v>
      </c>
      <c r="D3" s="96" t="s">
        <v>307</v>
      </c>
      <c r="E3" s="118">
        <f>'Capital Inputs'!F43</f>
        <v>423964</v>
      </c>
      <c r="F3" s="100">
        <f>'1- Food - Catfish'!M5</f>
        <v>12</v>
      </c>
      <c r="G3" s="101">
        <f>'1- Food - Catfish'!M4</f>
        <v>3750</v>
      </c>
      <c r="H3" s="102" t="s">
        <v>332</v>
      </c>
      <c r="I3" s="122">
        <f>J3*'1- Food - Catfish'!M16</f>
        <v>6.1126484320638204</v>
      </c>
      <c r="J3" s="122">
        <f>'1- Food - Catfish'!C46</f>
        <v>3.3959157955910113</v>
      </c>
      <c r="K3" s="120">
        <f>'1- Food - Catfish'!C39</f>
        <v>3</v>
      </c>
      <c r="L3" s="104">
        <f>'1- Food - Catfish'!C40</f>
        <v>0.35203959754187086</v>
      </c>
      <c r="M3" s="99">
        <f>'1- Food - Catfish'!E5</f>
        <v>56699.999999999993</v>
      </c>
      <c r="N3" s="118">
        <f>'1- Food - Catfish'!F5</f>
        <v>340199.99999999994</v>
      </c>
      <c r="O3" s="118">
        <f>'1- Food - Catfish'!F28</f>
        <v>158936.88766106812</v>
      </c>
      <c r="P3" s="97">
        <f>(Q3-O3)/Q3</f>
        <v>0.49493338525487979</v>
      </c>
      <c r="Q3" s="118">
        <f>'1- Food - Catfish'!F7</f>
        <v>314684.99999999994</v>
      </c>
      <c r="R3" s="101">
        <f>M3/'Capital Inputs'!$D$7</f>
        <v>4724.9999999999991</v>
      </c>
    </row>
    <row r="4" spans="2:18" ht="15">
      <c r="B4" s="96" t="s">
        <v>296</v>
      </c>
      <c r="C4" s="96"/>
      <c r="D4" s="96"/>
      <c r="E4" s="118"/>
      <c r="F4" s="100"/>
      <c r="G4" s="101"/>
      <c r="H4" s="102"/>
      <c r="I4" s="122"/>
      <c r="J4" s="122"/>
      <c r="K4" s="120"/>
      <c r="L4" s="102"/>
      <c r="M4" s="102"/>
      <c r="N4" s="118"/>
      <c r="O4" s="118"/>
      <c r="P4" s="97"/>
      <c r="Q4" s="118"/>
      <c r="R4" s="101"/>
    </row>
    <row r="5" spans="2:18" ht="15">
      <c r="B5" s="105" t="s">
        <v>126</v>
      </c>
      <c r="C5" s="96" t="s">
        <v>336</v>
      </c>
      <c r="D5" s="96" t="s">
        <v>337</v>
      </c>
      <c r="E5" s="118"/>
      <c r="F5" s="100">
        <f>'2- Food - Hybrid striped bass'!T6</f>
        <v>6</v>
      </c>
      <c r="G5" s="101">
        <f>'2- Food - Hybrid striped bass'!T5</f>
        <v>13400</v>
      </c>
      <c r="H5" s="106" t="s">
        <v>339</v>
      </c>
      <c r="I5" s="122">
        <f>'2- Food - Hybrid striped bass'!C45</f>
        <v>1.4753931083253633</v>
      </c>
      <c r="J5" s="122">
        <f>I5/'2- Food - Hybrid striped bass'!T13</f>
        <v>6.6922785256659347</v>
      </c>
      <c r="K5" s="120"/>
      <c r="L5" s="103"/>
      <c r="M5" s="99"/>
      <c r="N5" s="118"/>
      <c r="O5" s="118"/>
      <c r="P5" s="97"/>
      <c r="Q5" s="118"/>
      <c r="R5" s="101"/>
    </row>
    <row r="6" spans="2:18" ht="15">
      <c r="B6" s="105" t="s">
        <v>292</v>
      </c>
      <c r="C6" s="96" t="s">
        <v>338</v>
      </c>
      <c r="D6" s="96" t="s">
        <v>309</v>
      </c>
      <c r="E6" s="118"/>
      <c r="F6" s="100">
        <f>'2- Food - Hybrid striped bass'!U6</f>
        <v>12</v>
      </c>
      <c r="G6" s="101">
        <f>'2- Food - Hybrid striped bass'!U5</f>
        <v>3200</v>
      </c>
      <c r="H6" s="106" t="s">
        <v>333</v>
      </c>
      <c r="I6" s="122">
        <f>J6*'2- Food - Hybrid striped bass'!U13</f>
        <v>13.711652522716042</v>
      </c>
      <c r="J6" s="122">
        <f>'2- Food - Hybrid striped bass'!D45</f>
        <v>5.484661009086417</v>
      </c>
      <c r="K6" s="120"/>
      <c r="L6" s="103"/>
      <c r="M6" s="99"/>
      <c r="N6" s="118"/>
      <c r="O6" s="118"/>
      <c r="P6" s="97"/>
      <c r="Q6" s="118"/>
      <c r="R6" s="101"/>
    </row>
    <row r="7" spans="2:18" ht="15">
      <c r="B7" s="105" t="s">
        <v>293</v>
      </c>
      <c r="C7" s="96" t="s">
        <v>336</v>
      </c>
      <c r="D7" s="96" t="s">
        <v>309</v>
      </c>
      <c r="E7" s="118">
        <f>'Capital Inputs'!F43</f>
        <v>423964</v>
      </c>
      <c r="F7" s="100">
        <f>SUM(F5:F6)</f>
        <v>18</v>
      </c>
      <c r="G7" s="101" t="s">
        <v>305</v>
      </c>
      <c r="H7" s="106" t="s">
        <v>333</v>
      </c>
      <c r="I7" s="122">
        <f>J7*'2- Food - Hybrid striped bass'!U13</f>
        <v>13.140812611352342</v>
      </c>
      <c r="J7" s="122">
        <f>'2- Food - Hybrid striped bass'!E45</f>
        <v>5.2563250445409366</v>
      </c>
      <c r="K7" s="120">
        <f>'2- Food - Hybrid striped bass'!C38</f>
        <v>2</v>
      </c>
      <c r="L7" s="104">
        <f>'2- Food - Hybrid striped bass'!C39</f>
        <v>0.55894695471471167</v>
      </c>
      <c r="M7" s="99">
        <f>'2- Food - Hybrid striped bass'!K6</f>
        <v>57600</v>
      </c>
      <c r="N7" s="118">
        <f>'2- Food - Hybrid striped bass'!P6</f>
        <v>557956.62650602404</v>
      </c>
      <c r="O7" s="118">
        <f>'2- Food - Hybrid striped bass'!P29</f>
        <v>292991.10913382057</v>
      </c>
      <c r="P7" s="97">
        <f>(Q7-O7)/Q7</f>
        <v>0.45205444565877334</v>
      </c>
      <c r="Q7" s="118">
        <f>'2- Food - Hybrid striped bass'!P8</f>
        <v>534708.43373493967</v>
      </c>
      <c r="R7" s="101">
        <f>M7/'2- Food - Hybrid striped bass'!D43</f>
        <v>5946.2686567164183</v>
      </c>
    </row>
    <row r="8" spans="2:18" ht="15">
      <c r="B8" s="96" t="s">
        <v>297</v>
      </c>
      <c r="C8" s="96" t="s">
        <v>343</v>
      </c>
      <c r="D8" s="96" t="s">
        <v>344</v>
      </c>
      <c r="E8" s="118">
        <f>'Capital Inputs'!F43</f>
        <v>423964</v>
      </c>
      <c r="F8" s="100">
        <f>'3- Food - Yellow perch'!M5</f>
        <v>12</v>
      </c>
      <c r="G8" s="101">
        <f>'3- Food - Yellow perch'!M4</f>
        <v>10000</v>
      </c>
      <c r="H8" s="102" t="s">
        <v>334</v>
      </c>
      <c r="I8" s="122">
        <f>J8*'3- Food - Yellow perch'!M18</f>
        <v>2.6088721211996866</v>
      </c>
      <c r="J8" s="122">
        <f>'3- Food - Yellow perch'!C46</f>
        <v>7.905673094544504</v>
      </c>
      <c r="K8" s="120">
        <f>'3- Food - Yellow perch'!C39</f>
        <v>8</v>
      </c>
      <c r="L8" s="104">
        <f>'3- Food - Yellow perch'!C40</f>
        <v>0.12043560440325041</v>
      </c>
      <c r="M8" s="99">
        <f>'3- Food - Yellow perch'!E5</f>
        <v>33660</v>
      </c>
      <c r="N8" s="118">
        <f>'3- Food - Yellow perch'!F5</f>
        <v>302940</v>
      </c>
      <c r="O8" s="118">
        <f>'3- Food - Yellow perch'!F28</f>
        <v>229983.80684334825</v>
      </c>
      <c r="P8" s="97">
        <f t="shared" ref="P8:P21" si="0">(Q8-O8)/Q8</f>
        <v>0.21633775888900131</v>
      </c>
      <c r="Q8" s="118">
        <f>'3- Food - Yellow perch'!F7</f>
        <v>293473.125</v>
      </c>
      <c r="R8" s="101">
        <f>M8/'Capital Inputs'!$D$7</f>
        <v>2805</v>
      </c>
    </row>
    <row r="9" spans="2:18" ht="15">
      <c r="B9" s="96" t="s">
        <v>298</v>
      </c>
      <c r="C9" s="96" t="s">
        <v>347</v>
      </c>
      <c r="D9" s="96" t="s">
        <v>348</v>
      </c>
      <c r="E9" s="118">
        <f>'Capital Inputs'!F40</f>
        <v>399151.30000000005</v>
      </c>
      <c r="F9" s="100">
        <f>'4-Stocking - Bluegill'!M5</f>
        <v>8</v>
      </c>
      <c r="G9" s="101">
        <f>'4-Stocking - Bluegill'!M4</f>
        <v>15000</v>
      </c>
      <c r="H9" s="102" t="s">
        <v>340</v>
      </c>
      <c r="I9" s="122">
        <f>'4-Stocking - Bluegill'!C47</f>
        <v>1.6514895019716815</v>
      </c>
      <c r="J9" s="122">
        <f>I9/'4-Stocking - Bluegill'!M16</f>
        <v>16.514895019716814</v>
      </c>
      <c r="K9" s="120">
        <f>'4-Stocking - Bluegill'!C40</f>
        <v>8</v>
      </c>
      <c r="L9" s="104">
        <f>'4-Stocking - Bluegill'!C41</f>
        <v>0.12165522773585824</v>
      </c>
      <c r="M9" s="99">
        <f>'4-Stocking - Bluegill'!E6*'4-Stocking - Bluegill'!M16</f>
        <v>13500</v>
      </c>
      <c r="N9" s="118">
        <f>'4-Stocking - Bluegill'!F6</f>
        <v>263250</v>
      </c>
      <c r="O9" s="118">
        <f>'4-Stocking - Bluegill'!F29</f>
        <v>189339.54481723483</v>
      </c>
      <c r="P9" s="97">
        <f t="shared" si="0"/>
        <v>0.25199192170968959</v>
      </c>
      <c r="Q9" s="118">
        <f>'4-Stocking - Bluegill'!F8</f>
        <v>253125</v>
      </c>
      <c r="R9" s="101">
        <f>M9/'Capital Inputs'!$D$7</f>
        <v>1125</v>
      </c>
    </row>
    <row r="10" spans="2:18" ht="15">
      <c r="B10" s="96" t="s">
        <v>299</v>
      </c>
      <c r="C10" s="96" t="s">
        <v>335</v>
      </c>
      <c r="D10" s="96" t="s">
        <v>346</v>
      </c>
      <c r="E10" s="118">
        <f>'Capital Inputs'!F40</f>
        <v>399151.30000000005</v>
      </c>
      <c r="F10" s="100">
        <f>'5- Stocking - Catfish'!M5</f>
        <v>8</v>
      </c>
      <c r="G10" s="101">
        <f>'5- Stocking - Catfish'!M4</f>
        <v>15000</v>
      </c>
      <c r="H10" s="102" t="s">
        <v>341</v>
      </c>
      <c r="I10" s="122">
        <f>'5- Stocking - Catfish'!C46</f>
        <v>1.8507761875639372</v>
      </c>
      <c r="J10" s="122">
        <f>I10/'5- Stocking - Catfish'!M16</f>
        <v>3.7015523751278745</v>
      </c>
      <c r="K10" s="120">
        <f>'5- Stocking - Catfish'!C39</f>
        <v>4</v>
      </c>
      <c r="L10" s="104">
        <f>'5- Stocking - Catfish'!C40</f>
        <v>0.30352705070622044</v>
      </c>
      <c r="M10" s="99">
        <f>'5- Stocking - Catfish'!E5*'5- Stocking - Catfish'!M16</f>
        <v>62999.999999999993</v>
      </c>
      <c r="N10" s="118">
        <f>'5- Stocking - Catfish'!F5</f>
        <v>377999.99999999994</v>
      </c>
      <c r="O10" s="118">
        <f>'5- Stocking - Catfish'!F28</f>
        <v>199586.26168411388</v>
      </c>
      <c r="P10" s="97">
        <f t="shared" si="0"/>
        <v>0.40506368079852773</v>
      </c>
      <c r="Q10" s="118">
        <f>'5- Stocking - Catfish'!F7</f>
        <v>335474.99999999994</v>
      </c>
      <c r="R10" s="101">
        <f>M10/'Capital Inputs'!$D$7</f>
        <v>5249.9999999999991</v>
      </c>
    </row>
    <row r="11" spans="2:18" ht="15">
      <c r="B11" s="96" t="s">
        <v>300</v>
      </c>
      <c r="C11" s="96" t="s">
        <v>312</v>
      </c>
      <c r="D11" s="96" t="s">
        <v>349</v>
      </c>
      <c r="E11" s="118">
        <f>'Capital Inputs'!F40</f>
        <v>399151.30000000005</v>
      </c>
      <c r="F11" s="100">
        <f>'6- Stocking- Golden shiner bait'!M19</f>
        <v>18</v>
      </c>
      <c r="G11" s="101">
        <f>'6- Stocking- Golden shiner bait'!M8</f>
        <v>100000</v>
      </c>
      <c r="H11" s="102" t="s">
        <v>342</v>
      </c>
      <c r="I11" s="122">
        <f>J11/'6- Stocking- Golden shiner bait'!M7</f>
        <v>0.24875236378227467</v>
      </c>
      <c r="J11" s="122">
        <f>'6- Stocking- Golden shiner bait'!C45</f>
        <v>21.143950921493346</v>
      </c>
      <c r="K11" s="120">
        <f>'6- Stocking- Golden shiner bait'!C38</f>
        <v>9</v>
      </c>
      <c r="L11" s="104">
        <f>'6- Stocking- Golden shiner bait'!C39</f>
        <v>9.5636573679244608E-2</v>
      </c>
      <c r="M11" s="99">
        <f>'6- Stocking- Golden shiner bait'!E5</f>
        <v>5647.0588235294117</v>
      </c>
      <c r="N11" s="118">
        <f>'6- Stocking- Golden shiner bait'!F5</f>
        <v>141176.4705882353</v>
      </c>
      <c r="O11" s="118">
        <f>'6- Stocking- Golden shiner bait'!F27</f>
        <v>55842.950686357472</v>
      </c>
      <c r="P11" s="97">
        <f t="shared" si="0"/>
        <v>0.58580708478705179</v>
      </c>
      <c r="Q11" s="118">
        <f>'6- Stocking- Golden shiner bait'!F7</f>
        <v>134823.5294117647</v>
      </c>
      <c r="R11" s="101">
        <f>M11/'Capital Inputs'!$D$7</f>
        <v>470.58823529411762</v>
      </c>
    </row>
    <row r="12" spans="2:18" ht="15">
      <c r="B12" s="96" t="s">
        <v>301</v>
      </c>
      <c r="C12" s="96" t="s">
        <v>351</v>
      </c>
      <c r="D12" s="96" t="s">
        <v>350</v>
      </c>
      <c r="E12" s="118">
        <f>'Capital Inputs'!F40</f>
        <v>399151.30000000005</v>
      </c>
      <c r="F12" s="100">
        <f>'7- Stocking - Grass carp'!M5</f>
        <v>9</v>
      </c>
      <c r="G12" s="101">
        <f>'7- Stocking - Grass carp'!M4</f>
        <v>3750</v>
      </c>
      <c r="H12" s="102" t="s">
        <v>305</v>
      </c>
      <c r="I12" s="122">
        <f>'7- Stocking - Grass carp'!C45</f>
        <v>5.4184436379484175</v>
      </c>
      <c r="J12" s="122">
        <f>I12/'7- Stocking - Grass carp'!M16</f>
        <v>10.836887275896835</v>
      </c>
      <c r="K12" s="120">
        <f>'7- Stocking - Grass carp'!C38</f>
        <v>5</v>
      </c>
      <c r="L12" s="104">
        <f>'7- Stocking - Grass carp'!C39</f>
        <v>0.19407167895310984</v>
      </c>
      <c r="M12" s="99">
        <f>'7- Stocking - Grass carp'!E5*'7- Stocking - Grass carp'!M16</f>
        <v>20250</v>
      </c>
      <c r="N12" s="118">
        <f>'7- Stocking - Grass carp'!F5</f>
        <v>324000</v>
      </c>
      <c r="O12" s="118">
        <f>'7- Stocking - Grass carp'!F27</f>
        <v>185835.42938796873</v>
      </c>
      <c r="P12" s="97">
        <f t="shared" si="0"/>
        <v>0.39188168280004276</v>
      </c>
      <c r="Q12" s="118">
        <f>'7- Stocking - Grass carp'!F7</f>
        <v>305590.90909090906</v>
      </c>
      <c r="R12" s="101">
        <f>M12/'Capital Inputs'!$D$7</f>
        <v>1687.5</v>
      </c>
    </row>
    <row r="13" spans="2:18" ht="15">
      <c r="B13" s="96" t="s">
        <v>302</v>
      </c>
      <c r="C13" s="96"/>
      <c r="D13" s="96"/>
      <c r="E13" s="118"/>
      <c r="F13" s="100"/>
      <c r="G13" s="101"/>
      <c r="H13" s="102"/>
      <c r="I13" s="122"/>
      <c r="J13" s="122"/>
      <c r="K13" s="120"/>
      <c r="L13" s="102"/>
      <c r="M13" s="99"/>
      <c r="N13" s="118"/>
      <c r="O13" s="118"/>
      <c r="P13" s="97"/>
      <c r="Q13" s="118"/>
      <c r="R13" s="101"/>
    </row>
    <row r="14" spans="2:18" ht="15">
      <c r="B14" s="105" t="s">
        <v>126</v>
      </c>
      <c r="C14" s="96" t="s">
        <v>336</v>
      </c>
      <c r="D14" s="96" t="s">
        <v>337</v>
      </c>
      <c r="E14" s="118">
        <f>'Capital Inputs'!F40</f>
        <v>399151.30000000005</v>
      </c>
      <c r="F14" s="100">
        <f>'8-Stocking- Hybrid striped bass'!T7</f>
        <v>6</v>
      </c>
      <c r="G14" s="101">
        <f>'8-Stocking- Hybrid striped bass'!T6</f>
        <v>13400</v>
      </c>
      <c r="H14" s="106" t="s">
        <v>339</v>
      </c>
      <c r="I14" s="122">
        <f>'8-Stocking- Hybrid striped bass'!C45</f>
        <v>1.4666866597270767</v>
      </c>
      <c r="J14" s="122">
        <f>I14/'8-Stocking- Hybrid striped bass'!T14</f>
        <v>6.6527866921604479</v>
      </c>
      <c r="K14" s="120"/>
      <c r="L14" s="103"/>
      <c r="M14" s="99"/>
      <c r="N14" s="118"/>
      <c r="O14" s="118"/>
      <c r="P14" s="97"/>
      <c r="Q14" s="118"/>
      <c r="R14" s="101"/>
    </row>
    <row r="15" spans="2:18" ht="15">
      <c r="B15" s="105" t="s">
        <v>292</v>
      </c>
      <c r="C15" s="96" t="s">
        <v>338</v>
      </c>
      <c r="D15" s="96" t="s">
        <v>310</v>
      </c>
      <c r="E15" s="118">
        <f>'Capital Inputs'!F40</f>
        <v>399151.30000000005</v>
      </c>
      <c r="F15" s="100">
        <f>'8-Stocking- Hybrid striped bass'!U7</f>
        <v>5</v>
      </c>
      <c r="G15" s="101">
        <f>'8-Stocking- Hybrid striped bass'!U6</f>
        <v>4000</v>
      </c>
      <c r="H15" s="106" t="s">
        <v>333</v>
      </c>
      <c r="I15" s="122">
        <f>'8-Stocking- Hybrid striped bass'!D45</f>
        <v>5.4390512864018952</v>
      </c>
      <c r="J15" s="122">
        <f>I15/'8-Stocking- Hybrid striped bass'!U14</f>
        <v>6.798814108002369</v>
      </c>
      <c r="K15" s="120"/>
      <c r="L15" s="103"/>
      <c r="M15" s="99"/>
      <c r="N15" s="118"/>
      <c r="O15" s="118"/>
      <c r="P15" s="97"/>
      <c r="Q15" s="118"/>
      <c r="R15" s="101"/>
    </row>
    <row r="16" spans="2:18" ht="15">
      <c r="B16" s="105" t="s">
        <v>293</v>
      </c>
      <c r="C16" s="96" t="s">
        <v>338</v>
      </c>
      <c r="D16" s="96" t="s">
        <v>310</v>
      </c>
      <c r="E16" s="118">
        <f>'Capital Inputs'!F40</f>
        <v>399151.30000000005</v>
      </c>
      <c r="F16" s="100">
        <f>F14+F15</f>
        <v>11</v>
      </c>
      <c r="G16" s="101" t="s">
        <v>305</v>
      </c>
      <c r="H16" s="106" t="s">
        <v>333</v>
      </c>
      <c r="I16" s="122">
        <f>'8-Stocking- Hybrid striped bass'!E45</f>
        <v>4.7481717317700838</v>
      </c>
      <c r="J16" s="122">
        <f>I16/'8-Stocking- Hybrid striped bass'!U14</f>
        <v>5.9352146647126043</v>
      </c>
      <c r="K16" s="120">
        <f>'8-Stocking- Hybrid striped bass'!C38</f>
        <v>5</v>
      </c>
      <c r="L16" s="104">
        <f>'8-Stocking- Hybrid striped bass'!C39</f>
        <v>0.2198563754867835</v>
      </c>
      <c r="M16" s="99">
        <f>'8-Stocking- Hybrid striped bass'!K7*'8-Stocking- Hybrid striped bass'!U14</f>
        <v>20480</v>
      </c>
      <c r="N16" s="118">
        <f>'8-Stocking- Hybrid striped bass'!P7</f>
        <v>236579.31034482762</v>
      </c>
      <c r="O16" s="118">
        <f>'8-Stocking- Hybrid striped bass'!P29</f>
        <v>123698.5475494391</v>
      </c>
      <c r="P16" s="97">
        <f t="shared" si="0"/>
        <v>0.45249956671153801</v>
      </c>
      <c r="Q16" s="118">
        <f>'8-Stocking- Hybrid striped bass'!P9</f>
        <v>225933.24137931038</v>
      </c>
      <c r="R16" s="101">
        <f>M16/'8-Stocking- Hybrid striped bass'!D43</f>
        <v>2216.1194029850744</v>
      </c>
    </row>
    <row r="17" spans="2:18" ht="15">
      <c r="B17" s="96" t="s">
        <v>303</v>
      </c>
      <c r="C17" s="96"/>
      <c r="D17" s="96"/>
      <c r="E17" s="118"/>
      <c r="F17" s="100"/>
      <c r="G17" s="101"/>
      <c r="H17" s="102"/>
      <c r="I17" s="122"/>
      <c r="J17" s="122"/>
      <c r="K17" s="120"/>
      <c r="L17" s="102"/>
      <c r="M17" s="102"/>
      <c r="N17" s="118"/>
      <c r="O17" s="118"/>
      <c r="P17" s="97"/>
      <c r="Q17" s="118"/>
      <c r="R17" s="101"/>
    </row>
    <row r="18" spans="2:18" ht="15">
      <c r="B18" s="105" t="s">
        <v>126</v>
      </c>
      <c r="C18" s="96" t="s">
        <v>345</v>
      </c>
      <c r="D18" s="96" t="s">
        <v>308</v>
      </c>
      <c r="E18" s="118">
        <f>'Capital Inputs'!F40</f>
        <v>399151.30000000005</v>
      </c>
      <c r="F18" s="100">
        <f>'9- Stocking- Large mouth bass'!T6</f>
        <v>6</v>
      </c>
      <c r="G18" s="101">
        <f>'9- Stocking- Large mouth bass'!T5</f>
        <v>30000</v>
      </c>
      <c r="H18" s="106" t="s">
        <v>339</v>
      </c>
      <c r="I18" s="122">
        <f>'9- Stocking- Large mouth bass'!C44</f>
        <v>2.6923519788282846</v>
      </c>
      <c r="J18" s="122">
        <f>I18/'9- Stocking- Large mouth bass'!T13</f>
        <v>12.212317673015235</v>
      </c>
      <c r="K18" s="120"/>
      <c r="L18" s="103"/>
      <c r="M18" s="99"/>
      <c r="N18" s="118"/>
      <c r="O18" s="118"/>
      <c r="P18" s="97"/>
      <c r="Q18" s="118"/>
      <c r="R18" s="101"/>
    </row>
    <row r="19" spans="2:18" ht="15">
      <c r="B19" s="105" t="s">
        <v>292</v>
      </c>
      <c r="C19" s="96" t="s">
        <v>338</v>
      </c>
      <c r="D19" s="96" t="s">
        <v>310</v>
      </c>
      <c r="E19" s="118">
        <f>'Capital Inputs'!F40</f>
        <v>399151.30000000005</v>
      </c>
      <c r="F19" s="100">
        <f>'9- Stocking- Large mouth bass'!U6</f>
        <v>5</v>
      </c>
      <c r="G19" s="101">
        <f>'9- Stocking- Large mouth bass'!U5</f>
        <v>8000</v>
      </c>
      <c r="H19" s="106" t="s">
        <v>333</v>
      </c>
      <c r="I19" s="122">
        <f>'9- Stocking- Large mouth bass'!D44</f>
        <v>7.1945004852586356</v>
      </c>
      <c r="J19" s="122">
        <f>I19/'9- Stocking- Large mouth bass'!U13</f>
        <v>8.9931256065732939</v>
      </c>
      <c r="K19" s="120"/>
      <c r="L19" s="103"/>
      <c r="M19" s="99"/>
      <c r="N19" s="118"/>
      <c r="O19" s="118"/>
      <c r="P19" s="97"/>
      <c r="Q19" s="118"/>
      <c r="R19" s="101"/>
    </row>
    <row r="20" spans="2:18" ht="15">
      <c r="B20" s="105" t="s">
        <v>293</v>
      </c>
      <c r="C20" s="96" t="s">
        <v>338</v>
      </c>
      <c r="D20" s="96" t="s">
        <v>310</v>
      </c>
      <c r="E20" s="118">
        <f>'Capital Inputs'!F40</f>
        <v>399151.30000000005</v>
      </c>
      <c r="F20" s="100">
        <f>SUM(F18:F19)</f>
        <v>11</v>
      </c>
      <c r="G20" s="101" t="s">
        <v>305</v>
      </c>
      <c r="H20" s="106" t="s">
        <v>333</v>
      </c>
      <c r="I20" s="122">
        <f>'9- Stocking- Large mouth bass'!E44</f>
        <v>5.9704041349653947</v>
      </c>
      <c r="J20" s="122">
        <f>I20/'9- Stocking- Large mouth bass'!U13</f>
        <v>7.4630051687067427</v>
      </c>
      <c r="K20" s="120">
        <f>'9- Stocking- Large mouth bass'!C37</f>
        <v>4</v>
      </c>
      <c r="L20" s="104">
        <f>'9- Stocking- Large mouth bass'!C38</f>
        <v>0.24323024020852757</v>
      </c>
      <c r="M20" s="99">
        <f>'9- Stocking- Large mouth bass'!K6*'9- Stocking- Large mouth bass'!U13</f>
        <v>38400</v>
      </c>
      <c r="N20" s="118">
        <f>'9- Stocking- Large mouth bass'!P6</f>
        <v>454736.84210526315</v>
      </c>
      <c r="O20" s="118">
        <f>'9- Stocking- Large mouth bass'!P28</f>
        <v>322702.29942209425</v>
      </c>
      <c r="P20" s="97">
        <f t="shared" si="0"/>
        <v>0.25691491067726013</v>
      </c>
      <c r="Q20" s="118">
        <f>'9- Stocking- Large mouth bass'!P8</f>
        <v>434273.68421052629</v>
      </c>
      <c r="R20" s="101">
        <f>M16/'9- Stocking- Large mouth bass'!D42</f>
        <v>2161.7777777777778</v>
      </c>
    </row>
    <row r="21" spans="2:18" ht="15">
      <c r="B21" s="111" t="s">
        <v>304</v>
      </c>
      <c r="C21" s="111" t="s">
        <v>343</v>
      </c>
      <c r="D21" s="111" t="s">
        <v>352</v>
      </c>
      <c r="E21" s="119">
        <f>'Capital Inputs'!F40</f>
        <v>399151.30000000005</v>
      </c>
      <c r="F21" s="113">
        <f>'10- Stocking - Yellow perch'!M5</f>
        <v>6</v>
      </c>
      <c r="G21" s="114">
        <f>'10- Stocking - Yellow perch'!M4</f>
        <v>10000</v>
      </c>
      <c r="H21" s="115" t="s">
        <v>334</v>
      </c>
      <c r="I21" s="123">
        <f>'10- Stocking - Yellow perch'!C46</f>
        <v>3.4790034570474968</v>
      </c>
      <c r="J21" s="123">
        <f>I21/'10- Stocking - Yellow perch'!M16</f>
        <v>17.395017285237483</v>
      </c>
      <c r="K21" s="121">
        <f>'10- Stocking - Yellow perch'!C39</f>
        <v>5</v>
      </c>
      <c r="L21" s="116">
        <f>'10- Stocking - Yellow perch'!C40</f>
        <v>0.21604468045397196</v>
      </c>
      <c r="M21" s="112">
        <f>'10- Stocking - Yellow perch'!E5*'10- Stocking - Yellow perch'!M16</f>
        <v>21600</v>
      </c>
      <c r="N21" s="119">
        <f>'10- Stocking - Yellow perch'!F5</f>
        <v>459000</v>
      </c>
      <c r="O21" s="119">
        <f>'10- Stocking - Yellow perch'!F28</f>
        <v>342120.8354121875</v>
      </c>
      <c r="P21" s="117">
        <f t="shared" si="0"/>
        <v>0.22736938705468043</v>
      </c>
      <c r="Q21" s="119">
        <f>'10- Stocking - Yellow perch'!F7</f>
        <v>442800</v>
      </c>
      <c r="R21" s="114">
        <f>M21/'Capital Inputs'!$D$7</f>
        <v>1800</v>
      </c>
    </row>
    <row r="22" spans="2:18" ht="15">
      <c r="B22" s="124" t="s">
        <v>294</v>
      </c>
      <c r="C22" s="43"/>
      <c r="E22" s="96"/>
      <c r="F22" s="98"/>
      <c r="G22" s="98"/>
      <c r="H22" s="96"/>
      <c r="I22" s="96"/>
      <c r="J22" s="96"/>
      <c r="K22" s="96"/>
      <c r="L22" s="96"/>
      <c r="M22" s="96"/>
      <c r="N22" s="96"/>
      <c r="O22" s="96"/>
      <c r="P22" s="96"/>
      <c r="Q22" s="96"/>
      <c r="R22" s="96"/>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00176-34B6-4DE5-A7EF-5327B83FFD41}">
  <sheetPr codeName="Sheet2"/>
  <dimension ref="A1:XFC44"/>
  <sheetViews>
    <sheetView showGridLines="0" workbookViewId="0">
      <selection activeCell="D34" sqref="D34"/>
    </sheetView>
  </sheetViews>
  <sheetFormatPr defaultColWidth="0" defaultRowHeight="17.25" zeroHeight="1"/>
  <cols>
    <col min="1" max="1" width="3.33203125" style="5" customWidth="1"/>
    <col min="2" max="2" width="39.5546875" style="5" bestFit="1" customWidth="1"/>
    <col min="3" max="3" width="25" style="5" customWidth="1"/>
    <col min="4" max="4" width="10.21875" style="5" customWidth="1"/>
    <col min="5" max="5" width="3.33203125" style="5" customWidth="1"/>
    <col min="6" max="17" width="0" style="5" hidden="1" customWidth="1"/>
    <col min="18" max="16383" width="8.88671875" style="5" hidden="1"/>
    <col min="16384" max="16384" width="6.77734375" style="5" hidden="1"/>
  </cols>
  <sheetData>
    <row r="1" spans="2:5" ht="21.75" customHeight="1" thickBot="1">
      <c r="B1" s="702" t="s">
        <v>1</v>
      </c>
      <c r="C1" s="703"/>
      <c r="D1" s="704"/>
    </row>
    <row r="2" spans="2:5" ht="16.5" customHeight="1">
      <c r="B2" s="405"/>
      <c r="C2" s="405"/>
      <c r="D2" s="405"/>
    </row>
    <row r="3" spans="2:5" ht="16.5" customHeight="1">
      <c r="B3" s="406" t="s">
        <v>429</v>
      </c>
      <c r="C3" s="406" t="s">
        <v>2</v>
      </c>
      <c r="D3" s="407" t="s">
        <v>387</v>
      </c>
    </row>
    <row r="4" spans="2:5" ht="16.5" customHeight="1">
      <c r="B4" s="701" t="s">
        <v>3</v>
      </c>
      <c r="C4" s="701"/>
      <c r="D4" s="701"/>
    </row>
    <row r="5" spans="2:5" ht="16.5" customHeight="1">
      <c r="B5" s="125" t="s">
        <v>90</v>
      </c>
      <c r="C5" s="126" t="s">
        <v>4</v>
      </c>
      <c r="D5" s="414">
        <v>18.5</v>
      </c>
    </row>
    <row r="6" spans="2:5" ht="16.5" customHeight="1">
      <c r="B6" s="701" t="s">
        <v>5</v>
      </c>
      <c r="C6" s="701"/>
      <c r="D6" s="701"/>
    </row>
    <row r="7" spans="2:5" ht="16.5" customHeight="1">
      <c r="B7" s="125" t="s">
        <v>6</v>
      </c>
      <c r="C7" s="126" t="s">
        <v>136</v>
      </c>
      <c r="D7" s="414">
        <v>150</v>
      </c>
    </row>
    <row r="8" spans="2:5" ht="16.5" customHeight="1">
      <c r="B8" s="125" t="s">
        <v>8</v>
      </c>
      <c r="C8" s="126" t="s">
        <v>9</v>
      </c>
      <c r="D8" s="415">
        <v>0.1</v>
      </c>
    </row>
    <row r="9" spans="2:5" ht="16.5" customHeight="1">
      <c r="B9" s="125" t="s">
        <v>10</v>
      </c>
      <c r="C9" s="126" t="s">
        <v>9</v>
      </c>
      <c r="D9" s="415">
        <v>0.02</v>
      </c>
      <c r="E9" s="48"/>
    </row>
    <row r="10" spans="2:5" ht="16.5" customHeight="1">
      <c r="B10" s="125" t="s">
        <v>12</v>
      </c>
      <c r="C10" s="126" t="s">
        <v>7</v>
      </c>
      <c r="D10" s="416">
        <v>300</v>
      </c>
      <c r="E10" s="48"/>
    </row>
    <row r="11" spans="2:5" ht="16.5" customHeight="1">
      <c r="B11" s="125" t="s">
        <v>74</v>
      </c>
      <c r="C11" s="126" t="s">
        <v>26</v>
      </c>
      <c r="D11" s="416">
        <v>2400</v>
      </c>
      <c r="E11" s="48"/>
    </row>
    <row r="12" spans="2:5" ht="16.5" customHeight="1">
      <c r="B12" s="125" t="s">
        <v>13</v>
      </c>
      <c r="C12" s="126" t="s">
        <v>14</v>
      </c>
      <c r="D12" s="417">
        <v>7.2499999999999995E-2</v>
      </c>
      <c r="E12" s="48"/>
    </row>
    <row r="13" spans="2:5" ht="16.5" customHeight="1">
      <c r="B13" s="125" t="s">
        <v>75</v>
      </c>
      <c r="C13" s="126" t="s">
        <v>76</v>
      </c>
      <c r="D13" s="418">
        <v>0.5</v>
      </c>
      <c r="E13" s="48"/>
    </row>
    <row r="14" spans="2:5" ht="16.5" customHeight="1">
      <c r="B14" s="125" t="s">
        <v>187</v>
      </c>
      <c r="C14" s="126" t="s">
        <v>93</v>
      </c>
      <c r="D14" s="419">
        <v>0.4</v>
      </c>
      <c r="E14" s="48"/>
    </row>
    <row r="15" spans="2:5" ht="16.5" customHeight="1">
      <c r="B15" s="125" t="s">
        <v>195</v>
      </c>
      <c r="C15" s="126" t="s">
        <v>198</v>
      </c>
      <c r="D15" s="419">
        <v>195</v>
      </c>
      <c r="E15" s="48"/>
    </row>
    <row r="16" spans="2:5" ht="16.5" customHeight="1">
      <c r="B16" s="125" t="s">
        <v>199</v>
      </c>
      <c r="C16" s="126" t="s">
        <v>198</v>
      </c>
      <c r="D16" s="419">
        <v>30</v>
      </c>
      <c r="E16" s="48"/>
    </row>
    <row r="17" spans="2:5" ht="16.5" customHeight="1">
      <c r="B17" s="701" t="s">
        <v>15</v>
      </c>
      <c r="C17" s="701"/>
      <c r="D17" s="701"/>
      <c r="E17" s="48"/>
    </row>
    <row r="18" spans="2:5" ht="16.5" customHeight="1">
      <c r="B18" s="125" t="s">
        <v>221</v>
      </c>
      <c r="C18" s="126" t="s">
        <v>16</v>
      </c>
      <c r="D18" s="414">
        <v>3</v>
      </c>
      <c r="E18" s="48"/>
    </row>
    <row r="19" spans="2:5" ht="16.5" customHeight="1">
      <c r="B19" s="125" t="s">
        <v>17</v>
      </c>
      <c r="C19" s="126" t="s">
        <v>18</v>
      </c>
      <c r="D19" s="420">
        <v>3</v>
      </c>
      <c r="E19" s="48"/>
    </row>
    <row r="20" spans="2:5" ht="16.5" customHeight="1">
      <c r="B20" s="125" t="s">
        <v>205</v>
      </c>
      <c r="C20" s="126" t="s">
        <v>206</v>
      </c>
      <c r="D20" s="420">
        <v>2.2000000000000002</v>
      </c>
      <c r="E20" s="52"/>
    </row>
    <row r="21" spans="2:5" ht="16.5" customHeight="1">
      <c r="B21" s="125" t="s">
        <v>19</v>
      </c>
      <c r="C21" s="126" t="s">
        <v>20</v>
      </c>
      <c r="D21" s="414">
        <v>56</v>
      </c>
      <c r="E21" s="48"/>
    </row>
    <row r="22" spans="2:5" ht="16.5" customHeight="1">
      <c r="B22" s="125" t="s">
        <v>21</v>
      </c>
      <c r="C22" s="126" t="s">
        <v>22</v>
      </c>
      <c r="D22" s="414">
        <v>0.15</v>
      </c>
      <c r="E22" s="48"/>
    </row>
    <row r="23" spans="2:5" ht="16.5" customHeight="1">
      <c r="B23" s="125" t="s">
        <v>172</v>
      </c>
      <c r="C23" s="126" t="s">
        <v>23</v>
      </c>
      <c r="D23" s="414">
        <v>3.5</v>
      </c>
      <c r="E23" s="48"/>
    </row>
    <row r="24" spans="2:5" ht="16.5" customHeight="1">
      <c r="B24" s="125" t="s">
        <v>177</v>
      </c>
      <c r="C24" s="126" t="s">
        <v>24</v>
      </c>
      <c r="D24" s="421">
        <v>1200</v>
      </c>
      <c r="E24" s="48"/>
    </row>
    <row r="25" spans="2:5" ht="16.5" customHeight="1">
      <c r="B25" s="125" t="s">
        <v>212</v>
      </c>
      <c r="C25" s="126" t="s">
        <v>16</v>
      </c>
      <c r="D25" s="414">
        <v>1.5</v>
      </c>
      <c r="E25" s="48"/>
    </row>
    <row r="26" spans="2:5" ht="16.5" customHeight="1">
      <c r="B26" s="125" t="s">
        <v>201</v>
      </c>
      <c r="C26" s="126" t="s">
        <v>202</v>
      </c>
      <c r="D26" s="420">
        <v>50</v>
      </c>
      <c r="E26" s="48"/>
    </row>
    <row r="27" spans="2:5" ht="16.5" customHeight="1">
      <c r="B27" s="125" t="s">
        <v>160</v>
      </c>
      <c r="C27" s="126" t="s">
        <v>111</v>
      </c>
      <c r="D27" s="422">
        <v>50</v>
      </c>
      <c r="E27" s="48"/>
    </row>
    <row r="28" spans="2:5" ht="16.5" customHeight="1">
      <c r="B28" s="125" t="s">
        <v>256</v>
      </c>
      <c r="C28" s="408" t="s">
        <v>259</v>
      </c>
      <c r="D28" s="420">
        <f>1.37</f>
        <v>1.37</v>
      </c>
      <c r="E28" s="52"/>
    </row>
    <row r="29" spans="2:5" ht="16.5" customHeight="1">
      <c r="B29" s="125" t="s">
        <v>257</v>
      </c>
      <c r="C29" s="126" t="s">
        <v>258</v>
      </c>
      <c r="D29" s="420">
        <v>200</v>
      </c>
      <c r="E29" s="52"/>
    </row>
    <row r="30" spans="2:5" ht="16.5" customHeight="1">
      <c r="B30" s="409" t="s">
        <v>48</v>
      </c>
      <c r="C30" s="127"/>
      <c r="D30" s="127"/>
      <c r="E30" s="48"/>
    </row>
    <row r="31" spans="2:5" ht="16.5" customHeight="1">
      <c r="B31" s="125" t="s">
        <v>25</v>
      </c>
      <c r="C31" s="126" t="s">
        <v>376</v>
      </c>
      <c r="D31" s="423">
        <v>7.4999999999999997E-3</v>
      </c>
      <c r="E31" s="52"/>
    </row>
    <row r="32" spans="2:5" ht="16.5" customHeight="1">
      <c r="B32" s="125" t="s">
        <v>27</v>
      </c>
      <c r="C32" s="126" t="s">
        <v>26</v>
      </c>
      <c r="D32" s="416">
        <v>1500</v>
      </c>
      <c r="E32" s="48"/>
    </row>
    <row r="33" spans="2:5" ht="16.5" customHeight="1">
      <c r="B33" s="701" t="s">
        <v>375</v>
      </c>
      <c r="C33" s="701"/>
      <c r="D33" s="701"/>
      <c r="E33" s="48"/>
    </row>
    <row r="34" spans="2:5" ht="16.5" customHeight="1">
      <c r="B34" s="129" t="s">
        <v>91</v>
      </c>
      <c r="C34" s="410" t="s">
        <v>14</v>
      </c>
      <c r="D34" s="424">
        <v>7.2499999999999995E-2</v>
      </c>
      <c r="E34" s="48"/>
    </row>
    <row r="35" spans="2:5" hidden="1">
      <c r="C35" s="411"/>
      <c r="D35" s="411"/>
      <c r="E35" s="48"/>
    </row>
    <row r="36" spans="2:5" hidden="1">
      <c r="B36" s="48" t="s">
        <v>100</v>
      </c>
      <c r="C36" s="412">
        <v>1068.5999999999999</v>
      </c>
      <c r="D36" s="48" t="s">
        <v>101</v>
      </c>
      <c r="E36" s="48"/>
    </row>
    <row r="37" spans="2:5" hidden="1">
      <c r="B37" s="48" t="s">
        <v>166</v>
      </c>
      <c r="C37" s="48">
        <v>1.34</v>
      </c>
      <c r="D37" s="48"/>
      <c r="E37" s="48"/>
    </row>
    <row r="38" spans="2:5" hidden="1">
      <c r="B38" s="48" t="s">
        <v>179</v>
      </c>
      <c r="C38" s="48">
        <v>50</v>
      </c>
      <c r="D38" s="48" t="s">
        <v>181</v>
      </c>
      <c r="E38" s="48"/>
    </row>
    <row r="39" spans="2:5" hidden="1">
      <c r="B39" s="48" t="s">
        <v>180</v>
      </c>
      <c r="C39" s="413">
        <v>0.7</v>
      </c>
      <c r="D39" s="48"/>
      <c r="E39" s="48"/>
    </row>
    <row r="40" spans="2:5" hidden="1">
      <c r="B40" s="48" t="s">
        <v>182</v>
      </c>
      <c r="C40" s="48">
        <v>10</v>
      </c>
      <c r="D40" s="48" t="s">
        <v>181</v>
      </c>
      <c r="E40" s="48" t="s">
        <v>188</v>
      </c>
    </row>
    <row r="41" spans="2:5" hidden="1">
      <c r="B41" s="48" t="s">
        <v>183</v>
      </c>
      <c r="C41" s="48">
        <v>60</v>
      </c>
      <c r="D41" s="48"/>
      <c r="E41" s="48" t="s">
        <v>196</v>
      </c>
    </row>
    <row r="42" spans="2:5" hidden="1">
      <c r="B42" s="48" t="s">
        <v>189</v>
      </c>
      <c r="C42" s="48">
        <v>350</v>
      </c>
      <c r="D42" s="48" t="s">
        <v>192</v>
      </c>
      <c r="E42" s="48" t="s">
        <v>197</v>
      </c>
    </row>
    <row r="43" spans="2:5" hidden="1">
      <c r="B43" s="48" t="s">
        <v>190</v>
      </c>
      <c r="C43" s="48">
        <v>0.4</v>
      </c>
      <c r="D43" s="48" t="s">
        <v>191</v>
      </c>
      <c r="E43" s="48"/>
    </row>
    <row r="44" spans="2:5" hidden="1">
      <c r="B44" s="48" t="s">
        <v>193</v>
      </c>
      <c r="C44" s="48">
        <v>50</v>
      </c>
      <c r="D44" s="48" t="s">
        <v>194</v>
      </c>
      <c r="E44" s="48"/>
    </row>
  </sheetData>
  <sheetProtection sheet="1" objects="1" scenarios="1"/>
  <mergeCells count="5">
    <mergeCell ref="B33:D33"/>
    <mergeCell ref="B4:D4"/>
    <mergeCell ref="B6:D6"/>
    <mergeCell ref="B1:D1"/>
    <mergeCell ref="B17:D1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743FD-CB18-4A1B-9633-CE02AB68AAA5}">
  <sheetPr codeName="Sheet3"/>
  <dimension ref="A1:T43"/>
  <sheetViews>
    <sheetView showGridLines="0" zoomScaleNormal="100" workbookViewId="0">
      <selection activeCell="K25" sqref="K25"/>
    </sheetView>
  </sheetViews>
  <sheetFormatPr defaultColWidth="0" defaultRowHeight="17.25" zeroHeight="1"/>
  <cols>
    <col min="1" max="1" width="2.33203125" style="5" customWidth="1"/>
    <col min="2" max="2" width="31.33203125" style="5" customWidth="1"/>
    <col min="3" max="3" width="8.77734375" style="5" customWidth="1"/>
    <col min="4" max="4" width="11.21875" style="5" customWidth="1"/>
    <col min="5" max="5" width="11.5546875" style="5" customWidth="1"/>
    <col min="6" max="6" width="12.109375" style="5" customWidth="1"/>
    <col min="7" max="7" width="14.109375" style="5" bestFit="1" customWidth="1"/>
    <col min="8" max="8" width="16.109375" style="5" customWidth="1"/>
    <col min="9" max="9" width="15" style="5" bestFit="1" customWidth="1"/>
    <col min="10" max="10" width="12.6640625" style="454" bestFit="1" customWidth="1"/>
    <col min="11" max="11" width="24.6640625" style="454" customWidth="1"/>
    <col min="12" max="12" width="24.88671875" style="455" customWidth="1"/>
    <col min="13" max="13" width="3.33203125" style="48" customWidth="1"/>
    <col min="14" max="14" width="26.109375" style="48" hidden="1" customWidth="1"/>
    <col min="15" max="20" width="0" style="48" hidden="1" customWidth="1"/>
    <col min="21" max="16384" width="17.77734375" style="5" hidden="1"/>
  </cols>
  <sheetData>
    <row r="1" spans="2:18" ht="21.75" thickBot="1">
      <c r="B1" s="702" t="s">
        <v>77</v>
      </c>
      <c r="C1" s="703"/>
      <c r="D1" s="704"/>
      <c r="E1" s="425"/>
      <c r="F1" s="425"/>
      <c r="G1" s="425"/>
      <c r="H1" s="425"/>
      <c r="I1" s="425"/>
      <c r="J1" s="426"/>
      <c r="K1" s="427"/>
      <c r="L1"/>
    </row>
    <row r="2" spans="2:18">
      <c r="B2" s="428"/>
      <c r="C2" s="428"/>
      <c r="D2" s="428"/>
      <c r="J2" s="17"/>
      <c r="K2" s="17"/>
      <c r="L2"/>
    </row>
    <row r="3" spans="2:18">
      <c r="B3" s="429" t="s">
        <v>31</v>
      </c>
      <c r="C3" s="430" t="s">
        <v>2</v>
      </c>
      <c r="D3" s="431" t="s">
        <v>32</v>
      </c>
      <c r="E3" s="431" t="s">
        <v>387</v>
      </c>
      <c r="F3" s="431" t="s">
        <v>51</v>
      </c>
      <c r="G3" s="431" t="s">
        <v>382</v>
      </c>
      <c r="H3" s="431" t="s">
        <v>315</v>
      </c>
      <c r="I3" s="431"/>
      <c r="J3" s="431" t="s">
        <v>377</v>
      </c>
      <c r="K3" s="431" t="s">
        <v>378</v>
      </c>
      <c r="L3"/>
      <c r="N3" s="48" t="s">
        <v>325</v>
      </c>
      <c r="O3" s="48" t="s">
        <v>329</v>
      </c>
      <c r="R3" s="48" t="s">
        <v>328</v>
      </c>
    </row>
    <row r="4" spans="2:18">
      <c r="B4" s="432"/>
      <c r="C4" s="130"/>
      <c r="D4" s="433"/>
      <c r="E4" s="433"/>
      <c r="F4" s="131" t="s">
        <v>380</v>
      </c>
      <c r="G4" s="131" t="s">
        <v>381</v>
      </c>
      <c r="H4" s="131" t="s">
        <v>383</v>
      </c>
      <c r="I4" s="433"/>
      <c r="J4" s="131" t="s">
        <v>380</v>
      </c>
      <c r="K4" s="131" t="s">
        <v>379</v>
      </c>
      <c r="L4"/>
    </row>
    <row r="5" spans="2:18" ht="17.25" customHeight="1">
      <c r="B5" s="125" t="s">
        <v>28</v>
      </c>
      <c r="C5" s="126" t="s">
        <v>78</v>
      </c>
      <c r="D5" s="449">
        <v>20</v>
      </c>
      <c r="E5" s="450">
        <v>5000</v>
      </c>
      <c r="F5" s="434">
        <f>D5*E5</f>
        <v>100000</v>
      </c>
      <c r="G5" s="125">
        <v>30</v>
      </c>
      <c r="H5" s="451">
        <v>1</v>
      </c>
      <c r="I5" s="125"/>
      <c r="J5" s="133">
        <f>(F5+F5*H5)/2</f>
        <v>100000</v>
      </c>
      <c r="K5" s="133">
        <f>D5*((E5-E5*H5)*'Operating Inputs'!D$34/(1-(1+'Operating Inputs'!D$34)^-G5)+'Operating Inputs'!D$34*E5*H5)</f>
        <v>7250</v>
      </c>
      <c r="L5"/>
      <c r="M5" s="53" t="s">
        <v>178</v>
      </c>
      <c r="N5" s="54">
        <f>H5*F5</f>
        <v>100000</v>
      </c>
      <c r="O5" s="54">
        <f>(10/G5-INT(10/G5))*G5*(F5*(1-H5)/G5)</f>
        <v>0</v>
      </c>
      <c r="P5" s="54">
        <f>F5-O5</f>
        <v>100000</v>
      </c>
      <c r="R5" s="48">
        <f>(25/G5-INT(25/G5))</f>
        <v>0.83333333333333337</v>
      </c>
    </row>
    <row r="6" spans="2:18">
      <c r="B6" s="125" t="s">
        <v>56</v>
      </c>
      <c r="C6" s="126" t="s">
        <v>78</v>
      </c>
      <c r="D6" s="449">
        <v>15</v>
      </c>
      <c r="E6" s="450">
        <v>4000</v>
      </c>
      <c r="F6" s="434">
        <f>D6*E6</f>
        <v>60000</v>
      </c>
      <c r="G6" s="125">
        <v>30</v>
      </c>
      <c r="H6" s="451">
        <v>0.5</v>
      </c>
      <c r="I6" s="125"/>
      <c r="J6" s="133">
        <f>(F6+F6*H6)/2</f>
        <v>45000</v>
      </c>
      <c r="K6" s="133">
        <f>D6*((E6-E6*H6)*'Operating Inputs'!D$34/(1-(1+'Operating Inputs'!D$34)^-G6)+'Operating Inputs'!D$34*E6*H6)</f>
        <v>4653.58857032986</v>
      </c>
      <c r="L6"/>
      <c r="M6" s="53"/>
      <c r="N6" s="54">
        <f>H6*F6</f>
        <v>30000</v>
      </c>
      <c r="O6" s="54">
        <f>(10/G6-INT(10/G6))*G6*(F6*(1-H6)/G6)</f>
        <v>10000</v>
      </c>
      <c r="P6" s="54">
        <f>F6-O6</f>
        <v>50000</v>
      </c>
      <c r="R6" s="48">
        <f t="shared" ref="R6" si="0">(25/G6-INT(25/G6))</f>
        <v>0.83333333333333337</v>
      </c>
    </row>
    <row r="7" spans="2:18">
      <c r="B7" s="125" t="s">
        <v>30</v>
      </c>
      <c r="C7" s="126" t="s">
        <v>29</v>
      </c>
      <c r="D7" s="449">
        <v>12</v>
      </c>
      <c r="E7" s="450"/>
      <c r="F7" s="434"/>
      <c r="G7" s="435">
        <f>D7/D6</f>
        <v>0.8</v>
      </c>
      <c r="H7" s="125" t="s">
        <v>92</v>
      </c>
      <c r="I7" s="125"/>
      <c r="J7" s="436"/>
      <c r="K7" s="436"/>
      <c r="L7"/>
      <c r="M7" s="53"/>
      <c r="N7" s="53"/>
    </row>
    <row r="8" spans="2:18">
      <c r="B8" s="127"/>
      <c r="C8" s="127"/>
      <c r="D8" s="127"/>
      <c r="E8" s="127"/>
      <c r="F8" s="437"/>
      <c r="G8" s="438"/>
      <c r="H8" s="437"/>
      <c r="I8" s="439" t="s">
        <v>33</v>
      </c>
      <c r="J8" s="440">
        <f>SUM(J5:J6)</f>
        <v>145000</v>
      </c>
      <c r="K8" s="440">
        <f>SUM(K5:K6)</f>
        <v>11903.588570329859</v>
      </c>
      <c r="L8"/>
      <c r="M8" s="53"/>
      <c r="N8" s="53"/>
    </row>
    <row r="9" spans="2:18" ht="18" thickBot="1">
      <c r="B9" s="127"/>
      <c r="C9" s="127"/>
      <c r="D9" s="127"/>
      <c r="E9" s="127"/>
      <c r="F9" s="437"/>
      <c r="G9" s="438"/>
      <c r="H9" s="437"/>
      <c r="I9" s="439"/>
      <c r="J9" s="441"/>
      <c r="K9" s="441"/>
      <c r="L9"/>
      <c r="M9" s="53"/>
      <c r="N9" s="53"/>
    </row>
    <row r="10" spans="2:18" ht="21.75" thickBot="1">
      <c r="B10" s="702" t="s">
        <v>57</v>
      </c>
      <c r="C10" s="703"/>
      <c r="D10" s="704"/>
      <c r="E10" s="426"/>
      <c r="F10" s="426"/>
      <c r="G10" s="426"/>
      <c r="H10" s="426"/>
      <c r="I10" s="426"/>
      <c r="J10" s="426"/>
      <c r="K10" s="442"/>
      <c r="L10" s="427"/>
      <c r="M10" s="55"/>
    </row>
    <row r="11" spans="2:18" ht="21">
      <c r="B11" s="405"/>
      <c r="C11" s="405"/>
      <c r="D11" s="405"/>
      <c r="E11" s="17"/>
      <c r="F11" s="17"/>
      <c r="G11" s="17"/>
      <c r="H11" s="17"/>
      <c r="I11" s="17"/>
      <c r="J11" s="17"/>
      <c r="K11" s="443"/>
      <c r="L11" s="17"/>
      <c r="M11" s="55"/>
    </row>
    <row r="12" spans="2:18">
      <c r="B12" s="430" t="s">
        <v>31</v>
      </c>
      <c r="C12" s="430" t="s">
        <v>2</v>
      </c>
      <c r="D12" s="431" t="s">
        <v>32</v>
      </c>
      <c r="E12" s="431" t="s">
        <v>387</v>
      </c>
      <c r="F12" s="431" t="s">
        <v>51</v>
      </c>
      <c r="G12" s="444" t="s">
        <v>385</v>
      </c>
      <c r="H12" s="431" t="s">
        <v>382</v>
      </c>
      <c r="I12" s="431" t="s">
        <v>315</v>
      </c>
      <c r="J12" s="431" t="s">
        <v>384</v>
      </c>
      <c r="K12" s="431" t="s">
        <v>377</v>
      </c>
      <c r="L12" s="444" t="s">
        <v>378</v>
      </c>
      <c r="M12" s="55"/>
    </row>
    <row r="13" spans="2:18">
      <c r="B13" s="130"/>
      <c r="C13" s="130"/>
      <c r="D13" s="433"/>
      <c r="E13" s="433"/>
      <c r="F13" s="131" t="s">
        <v>380</v>
      </c>
      <c r="G13" s="445" t="s">
        <v>386</v>
      </c>
      <c r="H13" s="131" t="s">
        <v>381</v>
      </c>
      <c r="I13" s="131" t="s">
        <v>383</v>
      </c>
      <c r="J13" s="131" t="s">
        <v>380</v>
      </c>
      <c r="K13" s="131" t="s">
        <v>380</v>
      </c>
      <c r="L13" s="131" t="s">
        <v>379</v>
      </c>
      <c r="M13" s="55"/>
    </row>
    <row r="14" spans="2:18">
      <c r="B14" s="125" t="s">
        <v>58</v>
      </c>
      <c r="C14" s="126" t="s">
        <v>80</v>
      </c>
      <c r="D14" s="449">
        <v>1</v>
      </c>
      <c r="E14" s="452">
        <v>40000</v>
      </c>
      <c r="F14" s="446">
        <f t="shared" ref="F14:F24" si="1">D14*E14</f>
        <v>40000</v>
      </c>
      <c r="G14" s="415">
        <v>0.02</v>
      </c>
      <c r="H14" s="449">
        <v>30</v>
      </c>
      <c r="I14" s="451">
        <v>0.2</v>
      </c>
      <c r="J14" s="446">
        <f t="shared" ref="J14:J39" si="2">(F14-(F14*I14))/H14</f>
        <v>1066.6666666666667</v>
      </c>
      <c r="K14" s="133">
        <f t="shared" ref="K14:K39" si="3">(F14+F14*I14)/2</f>
        <v>24000</v>
      </c>
      <c r="L14" s="133">
        <f>D14*((E14-E14*I14)*'Operating Inputs'!D$34/(1-(1+'Operating Inputs'!D$34)^-H14)+'Operating Inputs'!D$34*E14*I14)</f>
        <v>3223.8278083518508</v>
      </c>
      <c r="M14" s="55"/>
      <c r="N14" s="48">
        <f>I14*F14</f>
        <v>8000</v>
      </c>
      <c r="O14" s="54">
        <f>(10/H14-INT(10/H14))*H14*(F14*(1-I14)/H14)</f>
        <v>10666.666666666668</v>
      </c>
      <c r="P14" s="54">
        <f>F14-O14</f>
        <v>29333.333333333332</v>
      </c>
      <c r="Q14" s="48">
        <f>(F14*(1-H14)/G14)</f>
        <v>-58000000</v>
      </c>
      <c r="R14" s="56">
        <f>(25/H14-INT(25/H14))</f>
        <v>0.83333333333333337</v>
      </c>
    </row>
    <row r="15" spans="2:18">
      <c r="B15" s="125" t="s">
        <v>59</v>
      </c>
      <c r="C15" s="126" t="s">
        <v>80</v>
      </c>
      <c r="D15" s="449">
        <v>1</v>
      </c>
      <c r="E15" s="452">
        <v>6250</v>
      </c>
      <c r="F15" s="446">
        <f t="shared" si="1"/>
        <v>6250</v>
      </c>
      <c r="G15" s="415">
        <v>0.02</v>
      </c>
      <c r="H15" s="449">
        <v>15</v>
      </c>
      <c r="I15" s="451">
        <v>0.1</v>
      </c>
      <c r="J15" s="446">
        <f t="shared" si="2"/>
        <v>375</v>
      </c>
      <c r="K15" s="133">
        <f t="shared" si="3"/>
        <v>3437.5</v>
      </c>
      <c r="L15" s="133">
        <f>D15*((E15-E15*I15)*'Operating Inputs'!D$34/(1-(1+'Operating Inputs'!D$34)^-H15)+'Operating Inputs'!D$34*E15*I15)</f>
        <v>672.69491112600895</v>
      </c>
      <c r="M15" s="55"/>
      <c r="N15" s="48">
        <f t="shared" ref="N15:N43" si="4">I15*F15</f>
        <v>625</v>
      </c>
      <c r="O15" s="54">
        <f t="shared" ref="O15:O42" si="5">(10/H15-INT(10/H15))*H15*(F15*(1-I15)/H15)</f>
        <v>3750</v>
      </c>
      <c r="P15" s="54">
        <f t="shared" ref="P15:P39" si="6">F15-O15</f>
        <v>2500</v>
      </c>
      <c r="R15" s="56">
        <f t="shared" ref="R15:R39" si="7">(25/H15-INT(25/H15))</f>
        <v>0.66666666666666674</v>
      </c>
    </row>
    <row r="16" spans="2:18">
      <c r="B16" s="125" t="s">
        <v>60</v>
      </c>
      <c r="C16" s="126" t="s">
        <v>80</v>
      </c>
      <c r="D16" s="449">
        <v>2</v>
      </c>
      <c r="E16" s="452">
        <v>4000</v>
      </c>
      <c r="F16" s="446">
        <f t="shared" si="1"/>
        <v>8000</v>
      </c>
      <c r="G16" s="415">
        <v>0.02</v>
      </c>
      <c r="H16" s="449">
        <v>30</v>
      </c>
      <c r="I16" s="451">
        <v>0.1</v>
      </c>
      <c r="J16" s="446">
        <f t="shared" si="2"/>
        <v>240</v>
      </c>
      <c r="K16" s="133">
        <f t="shared" si="3"/>
        <v>4400</v>
      </c>
      <c r="L16" s="133">
        <f>D16*((E16-E16*I16)*'Operating Inputs'!D$34/(1-(1+'Operating Inputs'!D$34)^-H16)+'Operating Inputs'!D$34*E16*I16)</f>
        <v>652.86125687916638</v>
      </c>
      <c r="M16" s="55"/>
      <c r="N16" s="48">
        <f t="shared" si="4"/>
        <v>800</v>
      </c>
      <c r="O16" s="54">
        <f t="shared" si="5"/>
        <v>2400</v>
      </c>
      <c r="P16" s="54">
        <f t="shared" si="6"/>
        <v>5600</v>
      </c>
      <c r="R16" s="56">
        <f t="shared" si="7"/>
        <v>0.83333333333333337</v>
      </c>
    </row>
    <row r="17" spans="2:18">
      <c r="B17" s="125" t="s">
        <v>86</v>
      </c>
      <c r="C17" s="126" t="s">
        <v>80</v>
      </c>
      <c r="D17" s="449">
        <v>1</v>
      </c>
      <c r="E17" s="452">
        <v>6000</v>
      </c>
      <c r="F17" s="446">
        <f t="shared" si="1"/>
        <v>6000</v>
      </c>
      <c r="G17" s="415">
        <v>0.02</v>
      </c>
      <c r="H17" s="449">
        <v>30</v>
      </c>
      <c r="I17" s="451">
        <v>0.05</v>
      </c>
      <c r="J17" s="446">
        <f t="shared" si="2"/>
        <v>190</v>
      </c>
      <c r="K17" s="133">
        <f t="shared" si="3"/>
        <v>3150</v>
      </c>
      <c r="L17" s="133">
        <f>D17*((E17-E17*I17)*'Operating Inputs'!D$34/(1-(1+'Operating Inputs'!D$34)^-H17)+'Operating Inputs'!D$34*E17*I17)</f>
        <v>492.68182836267334</v>
      </c>
      <c r="M17" s="55"/>
      <c r="N17" s="48">
        <f t="shared" si="4"/>
        <v>300</v>
      </c>
      <c r="O17" s="54">
        <f t="shared" si="5"/>
        <v>1900</v>
      </c>
      <c r="P17" s="54">
        <f t="shared" si="6"/>
        <v>4100</v>
      </c>
      <c r="R17" s="56">
        <f t="shared" si="7"/>
        <v>0.83333333333333337</v>
      </c>
    </row>
    <row r="18" spans="2:18">
      <c r="B18" s="125" t="s">
        <v>61</v>
      </c>
      <c r="C18" s="126" t="s">
        <v>80</v>
      </c>
      <c r="D18" s="449">
        <v>1</v>
      </c>
      <c r="E18" s="452">
        <v>15000</v>
      </c>
      <c r="F18" s="446">
        <f t="shared" si="1"/>
        <v>15000</v>
      </c>
      <c r="G18" s="415">
        <v>0.02</v>
      </c>
      <c r="H18" s="449">
        <v>30</v>
      </c>
      <c r="I18" s="451">
        <v>0</v>
      </c>
      <c r="J18" s="446">
        <f t="shared" si="2"/>
        <v>500</v>
      </c>
      <c r="K18" s="133">
        <f t="shared" si="3"/>
        <v>7500</v>
      </c>
      <c r="L18" s="133">
        <f>D18*((E18-E18*I18)*'Operating Inputs'!D$34/(1-(1+'Operating Inputs'!D$34)^-H18)+'Operating Inputs'!D$34*E18*I18)</f>
        <v>1239.29428516493</v>
      </c>
      <c r="M18" s="55"/>
      <c r="N18" s="48">
        <f t="shared" si="4"/>
        <v>0</v>
      </c>
      <c r="O18" s="54">
        <f t="shared" si="5"/>
        <v>5000</v>
      </c>
      <c r="P18" s="54">
        <f t="shared" si="6"/>
        <v>10000</v>
      </c>
      <c r="R18" s="56">
        <f t="shared" si="7"/>
        <v>0.83333333333333337</v>
      </c>
    </row>
    <row r="19" spans="2:18">
      <c r="B19" s="125" t="s">
        <v>174</v>
      </c>
      <c r="C19" s="126" t="s">
        <v>80</v>
      </c>
      <c r="D19" s="449">
        <v>1</v>
      </c>
      <c r="E19" s="452">
        <v>15000</v>
      </c>
      <c r="F19" s="446">
        <f t="shared" si="1"/>
        <v>15000</v>
      </c>
      <c r="G19" s="415">
        <v>0.03</v>
      </c>
      <c r="H19" s="449">
        <v>15</v>
      </c>
      <c r="I19" s="451">
        <v>0.25</v>
      </c>
      <c r="J19" s="446">
        <f t="shared" si="2"/>
        <v>750</v>
      </c>
      <c r="K19" s="133">
        <f t="shared" si="3"/>
        <v>9375</v>
      </c>
      <c r="L19" s="133">
        <f>D19*((E19-E19*I19)*'Operating Inputs'!D$34/(1-(1+'Operating Inputs'!D$34)^-H19)+'Operating Inputs'!D$34*E19*I19)</f>
        <v>1526.6398222520179</v>
      </c>
      <c r="M19" s="55"/>
      <c r="N19" s="48">
        <f t="shared" si="4"/>
        <v>3750</v>
      </c>
      <c r="O19" s="54">
        <f t="shared" si="5"/>
        <v>7500</v>
      </c>
      <c r="P19" s="54">
        <f t="shared" si="6"/>
        <v>7500</v>
      </c>
      <c r="R19" s="56">
        <f t="shared" si="7"/>
        <v>0.66666666666666674</v>
      </c>
    </row>
    <row r="20" spans="2:18">
      <c r="B20" s="125" t="s">
        <v>62</v>
      </c>
      <c r="C20" s="126" t="s">
        <v>80</v>
      </c>
      <c r="D20" s="449">
        <v>1</v>
      </c>
      <c r="E20" s="452">
        <v>35000</v>
      </c>
      <c r="F20" s="446">
        <f t="shared" si="1"/>
        <v>35000</v>
      </c>
      <c r="G20" s="415">
        <v>0.03</v>
      </c>
      <c r="H20" s="449">
        <v>10</v>
      </c>
      <c r="I20" s="451">
        <v>0.25</v>
      </c>
      <c r="J20" s="446">
        <f t="shared" si="2"/>
        <v>2625</v>
      </c>
      <c r="K20" s="133">
        <f t="shared" si="3"/>
        <v>21875</v>
      </c>
      <c r="L20" s="133">
        <f>D20*((E20-E20*I20)*'Operating Inputs'!D$34/(1-(1+'Operating Inputs'!D$34)^-H20)+'Operating Inputs'!D$34*E20*I20)</f>
        <v>4415.0914449628544</v>
      </c>
      <c r="M20" s="55"/>
      <c r="N20" s="48">
        <f t="shared" si="4"/>
        <v>8750</v>
      </c>
      <c r="O20" s="54">
        <f t="shared" si="5"/>
        <v>0</v>
      </c>
      <c r="P20" s="54">
        <f t="shared" si="6"/>
        <v>35000</v>
      </c>
      <c r="R20" s="56">
        <f t="shared" si="7"/>
        <v>0.5</v>
      </c>
    </row>
    <row r="21" spans="2:18">
      <c r="B21" s="125" t="s">
        <v>63</v>
      </c>
      <c r="C21" s="126" t="s">
        <v>80</v>
      </c>
      <c r="D21" s="449">
        <v>1</v>
      </c>
      <c r="E21" s="452">
        <v>35000</v>
      </c>
      <c r="F21" s="446">
        <f t="shared" si="1"/>
        <v>35000</v>
      </c>
      <c r="G21" s="415">
        <v>0.03</v>
      </c>
      <c r="H21" s="449">
        <v>12</v>
      </c>
      <c r="I21" s="451">
        <v>0.25</v>
      </c>
      <c r="J21" s="446">
        <f t="shared" si="2"/>
        <v>2187.5</v>
      </c>
      <c r="K21" s="133">
        <f t="shared" si="3"/>
        <v>21875</v>
      </c>
      <c r="L21" s="133">
        <f>D21*((E21-E21*I21)*'Operating Inputs'!D$34/(1-(1+'Operating Inputs'!D$34)^-H21)+'Operating Inputs'!D$34*E21*I21)</f>
        <v>3983.4733629802258</v>
      </c>
      <c r="M21" s="55"/>
      <c r="N21" s="48">
        <f t="shared" si="4"/>
        <v>8750</v>
      </c>
      <c r="O21" s="54">
        <f t="shared" si="5"/>
        <v>21875</v>
      </c>
      <c r="P21" s="54">
        <f t="shared" si="6"/>
        <v>13125</v>
      </c>
      <c r="R21" s="56">
        <f t="shared" si="7"/>
        <v>8.3333333333333481E-2</v>
      </c>
    </row>
    <row r="22" spans="2:18">
      <c r="B22" s="125" t="s">
        <v>64</v>
      </c>
      <c r="C22" s="126" t="s">
        <v>80</v>
      </c>
      <c r="D22" s="449">
        <v>1</v>
      </c>
      <c r="E22" s="452">
        <v>6000</v>
      </c>
      <c r="F22" s="446">
        <f t="shared" si="1"/>
        <v>6000</v>
      </c>
      <c r="G22" s="415">
        <v>0.03</v>
      </c>
      <c r="H22" s="449">
        <v>15</v>
      </c>
      <c r="I22" s="451">
        <v>0.4</v>
      </c>
      <c r="J22" s="446">
        <f t="shared" si="2"/>
        <v>240</v>
      </c>
      <c r="K22" s="133">
        <f t="shared" si="3"/>
        <v>4200</v>
      </c>
      <c r="L22" s="133">
        <f>D22*((E22-E22*I22)*'Operating Inputs'!D$34/(1-(1+'Operating Inputs'!D$34)^-H22)+'Operating Inputs'!D$34*E22*I22)</f>
        <v>575.52474312064578</v>
      </c>
      <c r="M22" s="55"/>
      <c r="N22" s="48">
        <f t="shared" si="4"/>
        <v>2400</v>
      </c>
      <c r="O22" s="54">
        <f t="shared" si="5"/>
        <v>2400</v>
      </c>
      <c r="P22" s="54">
        <f t="shared" si="6"/>
        <v>3600</v>
      </c>
      <c r="R22" s="56">
        <f t="shared" si="7"/>
        <v>0.66666666666666674</v>
      </c>
    </row>
    <row r="23" spans="2:18">
      <c r="B23" s="125" t="s">
        <v>65</v>
      </c>
      <c r="C23" s="126" t="s">
        <v>80</v>
      </c>
      <c r="D23" s="449">
        <v>1</v>
      </c>
      <c r="E23" s="452">
        <v>1200</v>
      </c>
      <c r="F23" s="446">
        <f t="shared" si="1"/>
        <v>1200</v>
      </c>
      <c r="G23" s="415">
        <v>0.03</v>
      </c>
      <c r="H23" s="449">
        <v>15</v>
      </c>
      <c r="I23" s="451">
        <v>0.4</v>
      </c>
      <c r="J23" s="446">
        <f t="shared" si="2"/>
        <v>48</v>
      </c>
      <c r="K23" s="133">
        <f t="shared" si="3"/>
        <v>840</v>
      </c>
      <c r="L23" s="133">
        <f>D23*((E23-E23*I23)*'Operating Inputs'!D$34/(1-(1+'Operating Inputs'!D$34)^-H23)+'Operating Inputs'!D$34*E23*I23)</f>
        <v>115.10494862412915</v>
      </c>
      <c r="M23" s="55"/>
      <c r="N23" s="48">
        <f t="shared" si="4"/>
        <v>480</v>
      </c>
      <c r="O23" s="54">
        <f t="shared" si="5"/>
        <v>480</v>
      </c>
      <c r="P23" s="54">
        <f t="shared" si="6"/>
        <v>720</v>
      </c>
      <c r="R23" s="56">
        <f t="shared" si="7"/>
        <v>0.66666666666666674</v>
      </c>
    </row>
    <row r="24" spans="2:18">
      <c r="B24" s="125" t="s">
        <v>83</v>
      </c>
      <c r="C24" s="126" t="s">
        <v>80</v>
      </c>
      <c r="D24" s="449">
        <v>1</v>
      </c>
      <c r="E24" s="452">
        <v>400</v>
      </c>
      <c r="F24" s="446">
        <f t="shared" si="1"/>
        <v>400</v>
      </c>
      <c r="G24" s="415">
        <v>0.03</v>
      </c>
      <c r="H24" s="449">
        <v>10</v>
      </c>
      <c r="I24" s="451">
        <v>0</v>
      </c>
      <c r="J24" s="446">
        <f t="shared" si="2"/>
        <v>40</v>
      </c>
      <c r="K24" s="133">
        <f t="shared" si="3"/>
        <v>200</v>
      </c>
      <c r="L24" s="133">
        <f>D24*((E24-E24*I24)*'Operating Inputs'!D$34/(1-(1+'Operating Inputs'!D$34)^-H24)+'Operating Inputs'!D$34*E24*I24)</f>
        <v>57.610917256576826</v>
      </c>
      <c r="M24" s="55"/>
      <c r="N24" s="48">
        <f t="shared" si="4"/>
        <v>0</v>
      </c>
      <c r="O24" s="54">
        <f t="shared" si="5"/>
        <v>0</v>
      </c>
      <c r="P24" s="54">
        <f t="shared" si="6"/>
        <v>400</v>
      </c>
      <c r="R24" s="56">
        <f t="shared" si="7"/>
        <v>0.5</v>
      </c>
    </row>
    <row r="25" spans="2:18">
      <c r="B25" s="125" t="s">
        <v>84</v>
      </c>
      <c r="C25" s="126" t="s">
        <v>80</v>
      </c>
      <c r="D25" s="449">
        <v>1</v>
      </c>
      <c r="E25" s="452">
        <v>7000</v>
      </c>
      <c r="F25" s="446">
        <f t="shared" ref="F25:F42" si="8">D25*E25</f>
        <v>7000</v>
      </c>
      <c r="G25" s="415">
        <v>0.03</v>
      </c>
      <c r="H25" s="449">
        <v>10</v>
      </c>
      <c r="I25" s="451">
        <v>0.25</v>
      </c>
      <c r="J25" s="446">
        <f t="shared" si="2"/>
        <v>525</v>
      </c>
      <c r="K25" s="133">
        <f t="shared" si="3"/>
        <v>4375</v>
      </c>
      <c r="L25" s="133">
        <f>D25*((E25-E25*I25)*'Operating Inputs'!D$34/(1-(1+'Operating Inputs'!D$34)^-H25)+'Operating Inputs'!D$34*E25*I25)</f>
        <v>883.01828899257089</v>
      </c>
      <c r="M25" s="55"/>
      <c r="N25" s="48">
        <f t="shared" si="4"/>
        <v>1750</v>
      </c>
      <c r="O25" s="54">
        <f t="shared" si="5"/>
        <v>0</v>
      </c>
      <c r="P25" s="54">
        <f t="shared" si="6"/>
        <v>7000</v>
      </c>
      <c r="R25" s="56">
        <f t="shared" si="7"/>
        <v>0.5</v>
      </c>
    </row>
    <row r="26" spans="2:18">
      <c r="B26" s="125" t="s">
        <v>85</v>
      </c>
      <c r="C26" s="126" t="s">
        <v>80</v>
      </c>
      <c r="D26" s="449">
        <v>6</v>
      </c>
      <c r="E26" s="452">
        <v>3000</v>
      </c>
      <c r="F26" s="446">
        <f t="shared" si="8"/>
        <v>18000</v>
      </c>
      <c r="G26" s="415">
        <v>0.03</v>
      </c>
      <c r="H26" s="449">
        <v>10</v>
      </c>
      <c r="I26" s="451">
        <v>0</v>
      </c>
      <c r="J26" s="446">
        <f t="shared" si="2"/>
        <v>1800</v>
      </c>
      <c r="K26" s="133">
        <f t="shared" si="3"/>
        <v>9000</v>
      </c>
      <c r="L26" s="133">
        <f>D26*((E26-E26*I26)*'Operating Inputs'!D$34/(1-(1+'Operating Inputs'!D$34)^-H26)+'Operating Inputs'!D$34*E26*I26)</f>
        <v>2592.4912765459571</v>
      </c>
      <c r="M26" s="55"/>
      <c r="N26" s="48">
        <f t="shared" si="4"/>
        <v>0</v>
      </c>
      <c r="O26" s="54">
        <f t="shared" si="5"/>
        <v>0</v>
      </c>
      <c r="P26" s="54">
        <f t="shared" si="6"/>
        <v>18000</v>
      </c>
      <c r="R26" s="56">
        <f t="shared" si="7"/>
        <v>0.5</v>
      </c>
    </row>
    <row r="27" spans="2:18">
      <c r="B27" s="125" t="s">
        <v>66</v>
      </c>
      <c r="C27" s="126" t="s">
        <v>80</v>
      </c>
      <c r="D27" s="449">
        <v>1</v>
      </c>
      <c r="E27" s="452">
        <v>4000</v>
      </c>
      <c r="F27" s="446">
        <f t="shared" si="8"/>
        <v>4000</v>
      </c>
      <c r="G27" s="415">
        <v>0.03</v>
      </c>
      <c r="H27" s="449">
        <v>25</v>
      </c>
      <c r="I27" s="451">
        <v>0.05</v>
      </c>
      <c r="J27" s="446">
        <f t="shared" si="2"/>
        <v>152</v>
      </c>
      <c r="K27" s="133">
        <f t="shared" si="3"/>
        <v>2100</v>
      </c>
      <c r="L27" s="133">
        <f>D27*((E27-E27*I27)*'Operating Inputs'!D$34/(1-(1+'Operating Inputs'!D$34)^-H27)+'Operating Inputs'!D$34*E27*I27)</f>
        <v>347.95722937030138</v>
      </c>
      <c r="M27" s="55"/>
      <c r="N27" s="48">
        <f t="shared" si="4"/>
        <v>200</v>
      </c>
      <c r="O27" s="54">
        <f t="shared" si="5"/>
        <v>1520</v>
      </c>
      <c r="P27" s="54">
        <f>F27-O27</f>
        <v>2480</v>
      </c>
      <c r="R27" s="56">
        <f t="shared" si="7"/>
        <v>0</v>
      </c>
    </row>
    <row r="28" spans="2:18">
      <c r="B28" s="125" t="s">
        <v>67</v>
      </c>
      <c r="C28" s="126" t="s">
        <v>80</v>
      </c>
      <c r="D28" s="449">
        <v>1</v>
      </c>
      <c r="E28" s="452">
        <v>1500</v>
      </c>
      <c r="F28" s="446">
        <f t="shared" si="8"/>
        <v>1500</v>
      </c>
      <c r="G28" s="415">
        <v>0.03</v>
      </c>
      <c r="H28" s="449">
        <v>20</v>
      </c>
      <c r="I28" s="451">
        <v>0.4</v>
      </c>
      <c r="J28" s="446">
        <f t="shared" si="2"/>
        <v>45</v>
      </c>
      <c r="K28" s="133">
        <f t="shared" si="3"/>
        <v>1050</v>
      </c>
      <c r="L28" s="133">
        <f>D28*((E28-E28*I28)*'Operating Inputs'!D$34/(1-(1+'Operating Inputs'!D$34)^-H28)+'Operating Inputs'!D$34*E28*I28)</f>
        <v>130.11135619812245</v>
      </c>
      <c r="M28" s="55"/>
      <c r="N28" s="48">
        <f t="shared" si="4"/>
        <v>600</v>
      </c>
      <c r="O28" s="54">
        <f t="shared" si="5"/>
        <v>450</v>
      </c>
      <c r="P28" s="54">
        <f t="shared" si="6"/>
        <v>1050</v>
      </c>
      <c r="R28" s="56">
        <f t="shared" si="7"/>
        <v>0.25</v>
      </c>
    </row>
    <row r="29" spans="2:18">
      <c r="B29" s="125" t="s">
        <v>82</v>
      </c>
      <c r="C29" s="126" t="s">
        <v>80</v>
      </c>
      <c r="D29" s="449">
        <v>1</v>
      </c>
      <c r="E29" s="452">
        <v>5500</v>
      </c>
      <c r="F29" s="446">
        <f t="shared" si="8"/>
        <v>5500</v>
      </c>
      <c r="G29" s="415">
        <v>0.03</v>
      </c>
      <c r="H29" s="449">
        <v>10</v>
      </c>
      <c r="I29" s="451">
        <v>0.2</v>
      </c>
      <c r="J29" s="446">
        <f t="shared" si="2"/>
        <v>440</v>
      </c>
      <c r="K29" s="133">
        <f t="shared" si="3"/>
        <v>3300</v>
      </c>
      <c r="L29" s="133">
        <f>D29*((E29-E29*I29)*'Operating Inputs'!D$34/(1-(1+'Operating Inputs'!D$34)^-H29)+'Operating Inputs'!D$34*E29*I29)</f>
        <v>713.47008982234513</v>
      </c>
      <c r="M29" s="55"/>
      <c r="N29" s="48">
        <f t="shared" si="4"/>
        <v>1100</v>
      </c>
      <c r="O29" s="54">
        <f t="shared" si="5"/>
        <v>0</v>
      </c>
      <c r="P29" s="54">
        <f t="shared" si="6"/>
        <v>5500</v>
      </c>
      <c r="R29" s="56">
        <f t="shared" si="7"/>
        <v>0.5</v>
      </c>
    </row>
    <row r="30" spans="2:18">
      <c r="B30" s="125" t="s">
        <v>208</v>
      </c>
      <c r="C30" s="126" t="s">
        <v>80</v>
      </c>
      <c r="D30" s="449">
        <v>2</v>
      </c>
      <c r="E30" s="452">
        <v>750</v>
      </c>
      <c r="F30" s="446">
        <f t="shared" si="8"/>
        <v>1500</v>
      </c>
      <c r="G30" s="415">
        <v>0.05</v>
      </c>
      <c r="H30" s="449">
        <v>10</v>
      </c>
      <c r="I30" s="451">
        <v>0.1</v>
      </c>
      <c r="J30" s="446">
        <f t="shared" si="2"/>
        <v>135</v>
      </c>
      <c r="K30" s="133">
        <f t="shared" si="3"/>
        <v>825</v>
      </c>
      <c r="L30" s="133">
        <f>D30*((E30-E30*I30)*'Operating Inputs'!D$34/(1-(1+'Operating Inputs'!D$34)^-H30)+'Operating Inputs'!D$34*E30*I30)</f>
        <v>205.31184574094681</v>
      </c>
      <c r="M30" s="55"/>
      <c r="N30" s="48">
        <f t="shared" si="4"/>
        <v>150</v>
      </c>
      <c r="O30" s="54">
        <f t="shared" si="5"/>
        <v>0</v>
      </c>
      <c r="P30" s="54">
        <f t="shared" si="6"/>
        <v>1500</v>
      </c>
      <c r="R30" s="56">
        <f t="shared" si="7"/>
        <v>0.5</v>
      </c>
    </row>
    <row r="31" spans="2:18">
      <c r="B31" s="125" t="s">
        <v>68</v>
      </c>
      <c r="C31" s="126" t="s">
        <v>80</v>
      </c>
      <c r="D31" s="449">
        <v>1</v>
      </c>
      <c r="E31" s="452">
        <v>2500</v>
      </c>
      <c r="F31" s="446">
        <f t="shared" si="8"/>
        <v>2500</v>
      </c>
      <c r="G31" s="415">
        <v>0.03</v>
      </c>
      <c r="H31" s="449">
        <v>8</v>
      </c>
      <c r="I31" s="451">
        <v>0.3</v>
      </c>
      <c r="J31" s="446">
        <f t="shared" si="2"/>
        <v>218.75</v>
      </c>
      <c r="K31" s="133">
        <f t="shared" si="3"/>
        <v>1625</v>
      </c>
      <c r="L31" s="133">
        <f>D31*((E31-E31*I31)*'Operating Inputs'!D$34/(1-(1+'Operating Inputs'!D$34)^-H31)+'Operating Inputs'!D$34*E31*I31)</f>
        <v>350.28917326598366</v>
      </c>
      <c r="M31" s="55"/>
      <c r="N31" s="48">
        <f t="shared" si="4"/>
        <v>750</v>
      </c>
      <c r="O31" s="54">
        <f t="shared" si="5"/>
        <v>437.5</v>
      </c>
      <c r="P31" s="54">
        <f t="shared" si="6"/>
        <v>2062.5</v>
      </c>
      <c r="R31" s="56">
        <f t="shared" si="7"/>
        <v>0.125</v>
      </c>
    </row>
    <row r="32" spans="2:18">
      <c r="B32" s="125" t="s">
        <v>185</v>
      </c>
      <c r="C32" s="126" t="s">
        <v>80</v>
      </c>
      <c r="D32" s="449">
        <v>1</v>
      </c>
      <c r="E32" s="452">
        <v>15000</v>
      </c>
      <c r="F32" s="446">
        <f t="shared" si="8"/>
        <v>15000</v>
      </c>
      <c r="G32" s="415">
        <v>0.03</v>
      </c>
      <c r="H32" s="449">
        <v>20</v>
      </c>
      <c r="I32" s="451">
        <v>0.3</v>
      </c>
      <c r="J32" s="446">
        <f t="shared" si="2"/>
        <v>525</v>
      </c>
      <c r="K32" s="133">
        <f t="shared" si="3"/>
        <v>9750</v>
      </c>
      <c r="L32" s="133">
        <f>D32*((E32-E32*I32)*'Operating Inputs'!D$34/(1-(1+'Operating Inputs'!D$34)^-H32)+'Operating Inputs'!D$34*E32*I32)</f>
        <v>1336.7158223114286</v>
      </c>
      <c r="M32" s="55">
        <v>34</v>
      </c>
      <c r="N32" s="48">
        <f t="shared" si="4"/>
        <v>4500</v>
      </c>
      <c r="O32" s="54">
        <f t="shared" si="5"/>
        <v>5250</v>
      </c>
      <c r="P32" s="54">
        <f t="shared" si="6"/>
        <v>9750</v>
      </c>
      <c r="R32" s="56">
        <f t="shared" si="7"/>
        <v>0.25</v>
      </c>
    </row>
    <row r="33" spans="2:18">
      <c r="B33" s="125" t="s">
        <v>173</v>
      </c>
      <c r="C33" s="126" t="s">
        <v>80</v>
      </c>
      <c r="D33" s="449">
        <v>1</v>
      </c>
      <c r="E33" s="452">
        <v>6000</v>
      </c>
      <c r="F33" s="446">
        <f t="shared" si="8"/>
        <v>6000</v>
      </c>
      <c r="G33" s="415">
        <v>0.03</v>
      </c>
      <c r="H33" s="449">
        <v>15</v>
      </c>
      <c r="I33" s="451">
        <v>0.3</v>
      </c>
      <c r="J33" s="446">
        <f t="shared" si="2"/>
        <v>280</v>
      </c>
      <c r="K33" s="133">
        <f t="shared" si="3"/>
        <v>3900</v>
      </c>
      <c r="L33" s="133">
        <f>D33*((E33-E33*I33)*'Operating Inputs'!D$34/(1-(1+'Operating Inputs'!D$34)^-H33)+'Operating Inputs'!D$34*E33*I33)</f>
        <v>598.9455336407533</v>
      </c>
      <c r="M33" s="55"/>
      <c r="N33" s="48">
        <f t="shared" si="4"/>
        <v>1800</v>
      </c>
      <c r="O33" s="54">
        <f t="shared" si="5"/>
        <v>2800</v>
      </c>
      <c r="P33" s="54">
        <f t="shared" si="6"/>
        <v>3200</v>
      </c>
      <c r="R33" s="56">
        <f t="shared" si="7"/>
        <v>0.66666666666666674</v>
      </c>
    </row>
    <row r="34" spans="2:18">
      <c r="B34" s="125" t="s">
        <v>69</v>
      </c>
      <c r="C34" s="126" t="s">
        <v>80</v>
      </c>
      <c r="D34" s="449">
        <v>1</v>
      </c>
      <c r="E34" s="452">
        <v>2500</v>
      </c>
      <c r="F34" s="446">
        <f t="shared" si="8"/>
        <v>2500</v>
      </c>
      <c r="G34" s="415">
        <v>0.05</v>
      </c>
      <c r="H34" s="449">
        <v>7</v>
      </c>
      <c r="I34" s="451">
        <v>0.2</v>
      </c>
      <c r="J34" s="446">
        <f t="shared" si="2"/>
        <v>285.71428571428572</v>
      </c>
      <c r="K34" s="133">
        <f t="shared" si="3"/>
        <v>1500</v>
      </c>
      <c r="L34" s="133">
        <f>D34*((E34-E34*I34)*'Operating Inputs'!D$34/(1-(1+'Operating Inputs'!D$34)^-H34)+'Operating Inputs'!D$34*E34*I34)</f>
        <v>410.5972554943562</v>
      </c>
      <c r="M34" s="55"/>
      <c r="N34" s="48">
        <f t="shared" si="4"/>
        <v>500</v>
      </c>
      <c r="O34" s="54">
        <f t="shared" si="5"/>
        <v>857.14285714285711</v>
      </c>
      <c r="P34" s="54">
        <f t="shared" si="6"/>
        <v>1642.8571428571429</v>
      </c>
      <c r="R34" s="56">
        <f t="shared" si="7"/>
        <v>0.57142857142857162</v>
      </c>
    </row>
    <row r="35" spans="2:18">
      <c r="B35" s="125" t="s">
        <v>70</v>
      </c>
      <c r="C35" s="126" t="s">
        <v>80</v>
      </c>
      <c r="D35" s="449">
        <v>1</v>
      </c>
      <c r="E35" s="452">
        <v>1200</v>
      </c>
      <c r="F35" s="446">
        <f t="shared" si="8"/>
        <v>1200</v>
      </c>
      <c r="G35" s="415">
        <v>0.05</v>
      </c>
      <c r="H35" s="449">
        <v>10</v>
      </c>
      <c r="I35" s="451">
        <v>0.25</v>
      </c>
      <c r="J35" s="446">
        <f t="shared" si="2"/>
        <v>90</v>
      </c>
      <c r="K35" s="133">
        <f t="shared" si="3"/>
        <v>750</v>
      </c>
      <c r="L35" s="133">
        <f>D35*((E35-E35*I35)*'Operating Inputs'!D$34/(1-(1+'Operating Inputs'!D$34)^-H35)+'Operating Inputs'!D$34*E35*I35)</f>
        <v>151.37456382729786</v>
      </c>
      <c r="M35" s="55"/>
      <c r="N35" s="48">
        <f t="shared" si="4"/>
        <v>300</v>
      </c>
      <c r="O35" s="54">
        <f t="shared" si="5"/>
        <v>0</v>
      </c>
      <c r="P35" s="54">
        <f t="shared" si="6"/>
        <v>1200</v>
      </c>
      <c r="R35" s="56">
        <f t="shared" si="7"/>
        <v>0.5</v>
      </c>
    </row>
    <row r="36" spans="2:18">
      <c r="B36" s="125" t="s">
        <v>71</v>
      </c>
      <c r="C36" s="126" t="s">
        <v>80</v>
      </c>
      <c r="D36" s="449">
        <v>1</v>
      </c>
      <c r="E36" s="452">
        <v>1000</v>
      </c>
      <c r="F36" s="446">
        <f t="shared" si="8"/>
        <v>1000</v>
      </c>
      <c r="G36" s="415">
        <v>0.03</v>
      </c>
      <c r="H36" s="449">
        <v>10</v>
      </c>
      <c r="I36" s="451">
        <v>0.4</v>
      </c>
      <c r="J36" s="446">
        <f t="shared" si="2"/>
        <v>60</v>
      </c>
      <c r="K36" s="133">
        <f t="shared" si="3"/>
        <v>700</v>
      </c>
      <c r="L36" s="133">
        <f>D36*((E36-E36*I36)*'Operating Inputs'!D$34/(1-(1+'Operating Inputs'!D$34)^-H36)+'Operating Inputs'!D$34*E36*I36)</f>
        <v>115.41637588486525</v>
      </c>
      <c r="M36" s="55"/>
      <c r="N36" s="48">
        <f t="shared" si="4"/>
        <v>400</v>
      </c>
      <c r="O36" s="54">
        <f t="shared" si="5"/>
        <v>0</v>
      </c>
      <c r="P36" s="54">
        <f t="shared" si="6"/>
        <v>1000</v>
      </c>
      <c r="R36" s="56">
        <f t="shared" si="7"/>
        <v>0.5</v>
      </c>
    </row>
    <row r="37" spans="2:18">
      <c r="B37" s="125" t="s">
        <v>72</v>
      </c>
      <c r="C37" s="126" t="s">
        <v>80</v>
      </c>
      <c r="D37" s="449">
        <v>1</v>
      </c>
      <c r="E37" s="452">
        <v>5000</v>
      </c>
      <c r="F37" s="446">
        <f t="shared" si="8"/>
        <v>5000</v>
      </c>
      <c r="G37" s="415">
        <v>0.03</v>
      </c>
      <c r="H37" s="449">
        <v>20</v>
      </c>
      <c r="I37" s="451">
        <v>0.4</v>
      </c>
      <c r="J37" s="446">
        <f t="shared" si="2"/>
        <v>150</v>
      </c>
      <c r="K37" s="133">
        <f t="shared" si="3"/>
        <v>3500</v>
      </c>
      <c r="L37" s="133">
        <f>D37*((E37-E37*I37)*'Operating Inputs'!D$34/(1-(1+'Operating Inputs'!D$34)^-H37)+'Operating Inputs'!D$34*E37*I37)</f>
        <v>433.70452066040815</v>
      </c>
      <c r="M37" s="55"/>
      <c r="N37" s="48">
        <f t="shared" si="4"/>
        <v>2000</v>
      </c>
      <c r="O37" s="54">
        <f t="shared" si="5"/>
        <v>1500</v>
      </c>
      <c r="P37" s="54">
        <f t="shared" si="6"/>
        <v>3500</v>
      </c>
      <c r="R37" s="56">
        <f t="shared" si="7"/>
        <v>0.25</v>
      </c>
    </row>
    <row r="38" spans="2:18">
      <c r="B38" s="125" t="s">
        <v>203</v>
      </c>
      <c r="C38" s="126" t="s">
        <v>80</v>
      </c>
      <c r="D38" s="449">
        <v>1</v>
      </c>
      <c r="E38" s="452">
        <v>209.7</v>
      </c>
      <c r="F38" s="446">
        <f t="shared" si="8"/>
        <v>209.7</v>
      </c>
      <c r="G38" s="415">
        <v>0.03</v>
      </c>
      <c r="H38" s="449">
        <v>10</v>
      </c>
      <c r="I38" s="451">
        <v>0.25</v>
      </c>
      <c r="J38" s="446">
        <f t="shared" si="2"/>
        <v>15.727499999999997</v>
      </c>
      <c r="K38" s="133">
        <f t="shared" si="3"/>
        <v>131.0625</v>
      </c>
      <c r="L38" s="133">
        <f>D38*((E38-E38*I38)*'Operating Inputs'!D$34/(1-(1+'Operating Inputs'!D$34)^-H38)+'Operating Inputs'!D$34*E38*I38)</f>
        <v>26.452705028820297</v>
      </c>
      <c r="M38" s="52" t="s">
        <v>109</v>
      </c>
      <c r="N38" s="48">
        <f t="shared" si="4"/>
        <v>52.424999999999997</v>
      </c>
      <c r="O38" s="54">
        <f t="shared" si="5"/>
        <v>0</v>
      </c>
      <c r="P38" s="54">
        <f t="shared" si="6"/>
        <v>209.7</v>
      </c>
      <c r="R38" s="56">
        <f t="shared" si="7"/>
        <v>0.5</v>
      </c>
    </row>
    <row r="39" spans="2:18">
      <c r="B39" s="125" t="s">
        <v>161</v>
      </c>
      <c r="C39" s="126" t="s">
        <v>80</v>
      </c>
      <c r="D39" s="449">
        <v>2</v>
      </c>
      <c r="E39" s="452">
        <v>195.8</v>
      </c>
      <c r="F39" s="447">
        <f t="shared" si="8"/>
        <v>391.6</v>
      </c>
      <c r="G39" s="415">
        <v>0.03</v>
      </c>
      <c r="H39" s="449">
        <v>10</v>
      </c>
      <c r="I39" s="451">
        <v>0.5</v>
      </c>
      <c r="J39" s="447">
        <f t="shared" si="2"/>
        <v>19.580000000000002</v>
      </c>
      <c r="K39" s="436">
        <f t="shared" si="3"/>
        <v>293.70000000000005</v>
      </c>
      <c r="L39" s="436">
        <f>D39*((E39-E39*I39)*'Operating Inputs'!D$34/(1-(1+'Operating Inputs'!D$34)^-H39)+'Operating Inputs'!D$34*E39*I39)</f>
        <v>42.396043997094353</v>
      </c>
      <c r="M39" s="52" t="s">
        <v>110</v>
      </c>
      <c r="N39" s="48">
        <f t="shared" si="4"/>
        <v>195.8</v>
      </c>
      <c r="O39" s="54">
        <f t="shared" si="5"/>
        <v>0</v>
      </c>
      <c r="P39" s="54">
        <f t="shared" si="6"/>
        <v>391.6</v>
      </c>
      <c r="R39" s="56">
        <f t="shared" si="7"/>
        <v>0.5</v>
      </c>
    </row>
    <row r="40" spans="2:18">
      <c r="B40" s="127" t="s">
        <v>155</v>
      </c>
      <c r="C40" s="705" t="s">
        <v>79</v>
      </c>
      <c r="D40" s="705"/>
      <c r="E40" s="705"/>
      <c r="F40" s="448">
        <f>SUM(F14:F39,F5:F6)</f>
        <v>399151.30000000005</v>
      </c>
      <c r="G40" s="448">
        <f>SUMPRODUCT(G14:G39,F14:F39)</f>
        <v>6526.0389999999998</v>
      </c>
      <c r="H40" s="706" t="s">
        <v>51</v>
      </c>
      <c r="I40" s="706"/>
      <c r="J40" s="453">
        <f>SUM(J14:J39)</f>
        <v>13003.938452380955</v>
      </c>
      <c r="K40" s="440">
        <f>SUM(J5:J6,K14:K39)</f>
        <v>288652.26250000001</v>
      </c>
      <c r="L40" s="440">
        <f>SUM(K6, L14:L39)</f>
        <v>29946.645980192185</v>
      </c>
      <c r="M40" s="55"/>
      <c r="N40" s="48">
        <f t="shared" si="4"/>
        <v>0</v>
      </c>
      <c r="O40" s="54"/>
    </row>
    <row r="41" spans="2:18">
      <c r="B41" s="125" t="s">
        <v>156</v>
      </c>
      <c r="C41" s="126" t="s">
        <v>159</v>
      </c>
      <c r="D41" s="449">
        <v>2</v>
      </c>
      <c r="E41" s="452">
        <v>207</v>
      </c>
      <c r="F41" s="446">
        <f t="shared" si="8"/>
        <v>414</v>
      </c>
      <c r="G41" s="415">
        <v>0.05</v>
      </c>
      <c r="H41" s="449">
        <v>5</v>
      </c>
      <c r="I41" s="451">
        <v>0</v>
      </c>
      <c r="J41" s="446">
        <f>(F41-(F41*I41))/H41</f>
        <v>82.8</v>
      </c>
      <c r="K41" s="133">
        <f>(F41+F41*I41)/2</f>
        <v>207</v>
      </c>
      <c r="L41" s="133">
        <f>(E41-E41*I41)*'Operating Inputs'!D$34/(1-(1+'Operating Inputs'!D$34)^-H41)+'Operating Inputs'!D$34*E41*I41</f>
        <v>50.82377485081453</v>
      </c>
      <c r="M41" s="52" t="s">
        <v>158</v>
      </c>
      <c r="N41" s="48">
        <f t="shared" si="4"/>
        <v>0</v>
      </c>
      <c r="O41" s="54">
        <f t="shared" si="5"/>
        <v>0</v>
      </c>
      <c r="P41" s="48">
        <f t="shared" ref="P41:P42" si="9">IF(O41&lt;&gt;0,F41-O41,0)</f>
        <v>0</v>
      </c>
    </row>
    <row r="42" spans="2:18">
      <c r="B42" s="125" t="s">
        <v>176</v>
      </c>
      <c r="C42" s="125"/>
      <c r="D42" s="449">
        <v>1</v>
      </c>
      <c r="E42" s="452">
        <v>25000</v>
      </c>
      <c r="F42" s="447">
        <f t="shared" si="8"/>
        <v>25000</v>
      </c>
      <c r="G42" s="415">
        <v>0.03</v>
      </c>
      <c r="H42" s="449">
        <v>15</v>
      </c>
      <c r="I42" s="451">
        <v>0.4</v>
      </c>
      <c r="J42" s="447">
        <f>(F42-(F42*I42))/H42</f>
        <v>1000</v>
      </c>
      <c r="K42" s="436">
        <f>(F42+F42*I42)/2</f>
        <v>17500</v>
      </c>
      <c r="L42" s="436">
        <f>(E42-E42*I42)*'Operating Inputs'!D$34/(1-(1+'Operating Inputs'!D$34)^-H42)+'Operating Inputs'!D$34*E42*I42</f>
        <v>2398.0197630026905</v>
      </c>
      <c r="M42" s="52" t="s">
        <v>175</v>
      </c>
      <c r="N42" s="48">
        <f t="shared" si="4"/>
        <v>10000</v>
      </c>
      <c r="O42" s="54">
        <f t="shared" si="5"/>
        <v>10000</v>
      </c>
      <c r="P42" s="48">
        <f t="shared" si="9"/>
        <v>15000</v>
      </c>
    </row>
    <row r="43" spans="2:18">
      <c r="B43" s="127" t="s">
        <v>157</v>
      </c>
      <c r="C43" s="705" t="s">
        <v>79</v>
      </c>
      <c r="D43" s="705"/>
      <c r="E43" s="705"/>
      <c r="F43" s="448">
        <f>SUM(F14:F37,F5:F6,F41:F42)</f>
        <v>423964</v>
      </c>
      <c r="G43" s="448">
        <f>SUMPRODUCT(G14:G37,F14:F37)+SUMPRODUCT(G41:G42,F41:F42)</f>
        <v>7278.7</v>
      </c>
      <c r="H43" s="706" t="s">
        <v>51</v>
      </c>
      <c r="I43" s="706"/>
      <c r="J43" s="453">
        <f>SUM(J14:J37,J41:J42)</f>
        <v>14051.430952380953</v>
      </c>
      <c r="K43" s="440">
        <f>SUM(J5:J6,K14:K37,K41:K42)</f>
        <v>305934.5</v>
      </c>
      <c r="L43" s="440">
        <f>SUM(K6,L14:L37,L41:L42)</f>
        <v>32326.640769019774</v>
      </c>
      <c r="M43" s="55"/>
      <c r="N43" s="48">
        <f t="shared" si="4"/>
        <v>0</v>
      </c>
      <c r="O43" s="54"/>
    </row>
  </sheetData>
  <sheetProtection sheet="1" objects="1" scenarios="1"/>
  <mergeCells count="6">
    <mergeCell ref="C43:E43"/>
    <mergeCell ref="H43:I43"/>
    <mergeCell ref="C40:E40"/>
    <mergeCell ref="H40:I40"/>
    <mergeCell ref="B1:D1"/>
    <mergeCell ref="B10:D10"/>
  </mergeCells>
  <hyperlinks>
    <hyperlink ref="M41" r:id="rId1" display="https://www.amazon.com/Large-Super-Baskets-Handles-5-Pack/dp/B0B7XX84R5?source=ps-sl-shoppingads-lpcontext&amp;ref_=fplfs&amp;smid=A1EQN6GZKCO6QJ&amp;gQT=1&amp;th=1" xr:uid="{24789521-97B7-4E67-8CDE-A967EAEAC954}"/>
    <hyperlink ref="M39" r:id="rId2" display="https://www.amazon.com/Steel-Industrial-Oxygen-Cylinder-CGA540/dp/B08HR1C7N2/ref=sr_1_1?crid=39S0F45NO2R2O&amp;dib=eyJ2IjoiMSJ9.1bUPpJNN-n2pJS-0iCOiL7-4jcSLMsm1Osdw6E9mocN8HyXOhmCWW6Y2zl9b6asIJbjSEYWuffuvKexOQTxOF4pfX0qoJ1BHN5BrsVcsln9ZRBlVS3nh7sAry9XV-xmluMXHGwNgIgrxKH6ahE_GGRFQ07mL7KOo5LK85GeNqZ7a3jK9fhtrCoUVSnB1pGLbn51stpbXsamVSHitF07fhZ2fL0oTFUXxpWoPqlNLFt5hzMhP5mtMxAbyyUWTvO-brGSnE0eGFwvvfuTxcxnSQM4oJqxiyFZJNak4y-gVTjSfkZeLtKUAmUsr9dEhfcjvfISLlmlstoco6LC2gUp7qSzaFnJSPMTIVVpyAergowf1rx5gXdWGEJCe5gjON2zT6YILSQpKC1ezT7MTjXVCe8ZSifhxMnBOynapHYq9SWzz7g4HyD_E0D2kWkOw0c1o.8Vmt7xh6IumYt7KDVDFVJ0Y31O_o1LGJEMDHBIJQxEA&amp;dib_tag=se&amp;keywords=oxygen+cylinder+120+cu+foot&amp;qid=1742320409&amp;sprefix=oxygen+cylinder+120+cu+foot%2Caps%2C95&amp;sr=8-1" xr:uid="{1814B13E-AFD1-4603-B576-70C724576844}"/>
    <hyperlink ref="M38" r:id="rId3" display="https://srac.msstate.edu/pdfs/Fact Sheets/122 Production Enterprise Budget for Golden Shiners.pdf" xr:uid="{78778549-387A-4090-9506-7B68C045E04D}"/>
    <hyperlink ref="M42" r:id="rId4" xr:uid="{69F4DC3B-C59B-4846-BC34-E7418E76AF83}"/>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46C72-D74E-4D30-AB9C-77345552A2E2}">
  <sheetPr codeName="Sheet6"/>
  <dimension ref="A1:AO93"/>
  <sheetViews>
    <sheetView showGridLines="0" zoomScaleNormal="100" workbookViewId="0">
      <selection activeCell="G44" sqref="G44"/>
    </sheetView>
  </sheetViews>
  <sheetFormatPr defaultColWidth="0" defaultRowHeight="0" customHeight="1" zeroHeight="1"/>
  <cols>
    <col min="1" max="1" width="2.33203125" style="5" customWidth="1"/>
    <col min="2" max="2" width="36.77734375" style="5" customWidth="1"/>
    <col min="3" max="4" width="10.77734375" style="5" customWidth="1"/>
    <col min="5" max="5" width="13.77734375" style="5" customWidth="1"/>
    <col min="6" max="7" width="10.77734375" style="5" customWidth="1"/>
    <col min="8" max="9" width="9.77734375" style="5" customWidth="1"/>
    <col min="10" max="10" width="3.33203125" style="5" customWidth="1"/>
    <col min="11" max="11" width="2.88671875" style="5" customWidth="1"/>
    <col min="12" max="12" width="33.6640625" style="5" customWidth="1"/>
    <col min="13" max="13" width="11.77734375" style="5" customWidth="1"/>
    <col min="14" max="14" width="3.33203125" style="5" customWidth="1"/>
    <col min="15" max="15" width="7.77734375" style="5" customWidth="1"/>
    <col min="16" max="16" width="10.77734375" style="5" customWidth="1"/>
    <col min="17" max="17" width="3.33203125" style="5" customWidth="1"/>
    <col min="18" max="18" width="7.77734375" style="5" customWidth="1"/>
    <col min="19" max="19" width="14.5546875" style="5" customWidth="1"/>
    <col min="20" max="20" width="3.33203125" style="5" customWidth="1"/>
    <col min="21" max="21" width="36" style="5" hidden="1" customWidth="1"/>
    <col min="22" max="22" width="14.77734375" style="5" hidden="1" customWidth="1"/>
    <col min="23" max="23" width="10" style="5" hidden="1" customWidth="1"/>
    <col min="24" max="24" width="22.88671875" style="5" hidden="1" customWidth="1"/>
    <col min="25" max="25" width="11.77734375" style="5" hidden="1" customWidth="1"/>
    <col min="26" max="41" width="0" style="5" hidden="1" customWidth="1"/>
    <col min="42" max="16384" width="8.88671875" style="5" hidden="1"/>
  </cols>
  <sheetData>
    <row r="1" spans="2:20" ht="16.5" customHeight="1"/>
    <row r="2" spans="2:20" ht="21">
      <c r="B2" s="707" t="s">
        <v>295</v>
      </c>
      <c r="C2" s="707"/>
      <c r="D2" s="707"/>
      <c r="E2" s="707"/>
      <c r="F2" s="707"/>
      <c r="G2" s="707"/>
      <c r="H2" s="707"/>
      <c r="I2" s="707"/>
      <c r="J2" s="456"/>
      <c r="L2" s="125" t="s">
        <v>398</v>
      </c>
      <c r="M2" s="127"/>
      <c r="N2" s="174"/>
      <c r="O2" s="457" t="s">
        <v>397</v>
      </c>
      <c r="P2" s="198" t="s">
        <v>396</v>
      </c>
      <c r="Q2" s="458"/>
      <c r="R2" s="457" t="s">
        <v>120</v>
      </c>
      <c r="S2" s="459" t="s">
        <v>393</v>
      </c>
      <c r="T2" s="460"/>
    </row>
    <row r="3" spans="2:20" ht="16.5" customHeight="1">
      <c r="B3" s="461"/>
      <c r="C3" s="461"/>
      <c r="D3" s="461"/>
      <c r="E3" s="461"/>
      <c r="F3" s="461"/>
      <c r="G3" s="461"/>
      <c r="H3" s="461"/>
      <c r="I3" s="461"/>
      <c r="L3" s="195" t="s">
        <v>31</v>
      </c>
      <c r="M3" s="196" t="s">
        <v>34</v>
      </c>
      <c r="N3" s="176"/>
      <c r="O3" s="189" t="s">
        <v>388</v>
      </c>
      <c r="P3" s="189" t="s">
        <v>394</v>
      </c>
      <c r="R3" s="189" t="s">
        <v>383</v>
      </c>
      <c r="S3" s="189" t="s">
        <v>395</v>
      </c>
      <c r="T3" s="460"/>
    </row>
    <row r="4" spans="2:20" ht="16.5" customHeight="1">
      <c r="B4" s="462" t="s">
        <v>88</v>
      </c>
      <c r="C4" s="406" t="s">
        <v>2</v>
      </c>
      <c r="D4" s="463" t="s">
        <v>387</v>
      </c>
      <c r="E4" s="463" t="s">
        <v>32</v>
      </c>
      <c r="F4" s="463" t="s">
        <v>33</v>
      </c>
      <c r="G4" s="463" t="s">
        <v>233</v>
      </c>
      <c r="H4" s="463" t="s">
        <v>93</v>
      </c>
      <c r="I4" s="463" t="s">
        <v>214</v>
      </c>
      <c r="K4" s="460"/>
      <c r="L4" s="193" t="s">
        <v>268</v>
      </c>
      <c r="M4" s="547">
        <v>3750</v>
      </c>
      <c r="N4" s="464"/>
      <c r="O4" s="125"/>
      <c r="P4" s="133">
        <f>G37</f>
        <v>10178.047865832472</v>
      </c>
      <c r="Q4" s="465"/>
      <c r="R4" s="125"/>
      <c r="S4" s="166">
        <f>H36</f>
        <v>3.3959157955910113</v>
      </c>
      <c r="T4" s="466"/>
    </row>
    <row r="5" spans="2:20" ht="16.5" customHeight="1">
      <c r="B5" s="467" t="s">
        <v>94</v>
      </c>
      <c r="C5" s="126" t="s">
        <v>144</v>
      </c>
      <c r="D5" s="167">
        <f>M15</f>
        <v>6</v>
      </c>
      <c r="E5" s="141">
        <f>E11*M11*M16</f>
        <v>56699.999999999993</v>
      </c>
      <c r="F5" s="468">
        <f>D5*E5</f>
        <v>340199.99999999994</v>
      </c>
      <c r="G5" s="468">
        <f>F5/'Capital Inputs'!$D$7</f>
        <v>28349.999999999996</v>
      </c>
      <c r="H5" s="469">
        <f>D5</f>
        <v>6</v>
      </c>
      <c r="I5" s="470">
        <f>F5/$F$5</f>
        <v>1</v>
      </c>
      <c r="K5" s="460"/>
      <c r="L5" s="193" t="s">
        <v>87</v>
      </c>
      <c r="M5" s="548">
        <v>12</v>
      </c>
      <c r="N5" s="471"/>
      <c r="O5" s="472">
        <v>1.5</v>
      </c>
      <c r="P5" s="133">
        <f t="dataTable" ref="P5:P35" dt2D="0" dtr="0" r1="D5" ca="1"/>
        <v>-8486.7061966675283</v>
      </c>
      <c r="Q5" s="473"/>
      <c r="R5" s="470">
        <v>0.1</v>
      </c>
      <c r="S5" s="166">
        <f t="dataTable" ref="S5:S37" dt2D="0" dtr="0" r1="M11"/>
        <v>17.393843570043693</v>
      </c>
      <c r="T5" s="474"/>
    </row>
    <row r="6" spans="2:20" ht="16.5" customHeight="1">
      <c r="B6" s="467" t="s">
        <v>35</v>
      </c>
      <c r="C6" s="126" t="s">
        <v>16</v>
      </c>
      <c r="D6" s="167">
        <f>'Operating Inputs'!D25</f>
        <v>1.5</v>
      </c>
      <c r="E6" s="141">
        <f>E5/M17*M18*D6</f>
        <v>17010</v>
      </c>
      <c r="F6" s="475">
        <f>D6*E6</f>
        <v>25515</v>
      </c>
      <c r="G6" s="475">
        <f>F6/'Capital Inputs'!$D$7</f>
        <v>2126.25</v>
      </c>
      <c r="H6" s="476">
        <f>F6/$E$5</f>
        <v>0.45000000000000007</v>
      </c>
      <c r="I6" s="477">
        <f>F6/$F$5</f>
        <v>7.5000000000000011E-2</v>
      </c>
      <c r="K6" s="466"/>
      <c r="L6" s="125" t="s">
        <v>401</v>
      </c>
      <c r="M6" s="548">
        <v>688</v>
      </c>
      <c r="N6" s="471" t="s">
        <v>260</v>
      </c>
      <c r="O6" s="472">
        <v>1.65</v>
      </c>
      <c r="P6" s="133">
        <v>-7864.5477279175275</v>
      </c>
      <c r="Q6" s="478"/>
      <c r="R6" s="470">
        <v>0.125</v>
      </c>
      <c r="S6" s="166">
        <v>14.127660422671399</v>
      </c>
      <c r="T6" s="474"/>
    </row>
    <row r="7" spans="2:20" ht="16.5" customHeight="1">
      <c r="B7" s="479" t="s">
        <v>89</v>
      </c>
      <c r="C7" s="480"/>
      <c r="D7" s="125"/>
      <c r="E7" s="125"/>
      <c r="F7" s="481">
        <f>F5-F6</f>
        <v>314684.99999999994</v>
      </c>
      <c r="G7" s="481">
        <f>G5-G6</f>
        <v>26223.749999999996</v>
      </c>
      <c r="H7" s="482">
        <f>F7/$E$5</f>
        <v>5.55</v>
      </c>
      <c r="I7" s="483">
        <f>F7/$F$5</f>
        <v>0.92499999999999993</v>
      </c>
      <c r="K7" s="466"/>
      <c r="L7" s="193" t="s">
        <v>400</v>
      </c>
      <c r="M7" s="548">
        <v>2.2000000000000002</v>
      </c>
      <c r="N7" s="471"/>
      <c r="O7" s="472">
        <v>1.8</v>
      </c>
      <c r="P7" s="133">
        <v>-7242.3892591675285</v>
      </c>
      <c r="Q7" s="484"/>
      <c r="R7" s="470">
        <v>0.15</v>
      </c>
      <c r="S7" s="166">
        <v>11.950204991089871</v>
      </c>
      <c r="T7" s="485"/>
    </row>
    <row r="8" spans="2:20" ht="16.5" customHeight="1">
      <c r="B8" s="479"/>
      <c r="C8" s="480"/>
      <c r="D8" s="125"/>
      <c r="E8" s="125"/>
      <c r="F8" s="486"/>
      <c r="G8" s="486"/>
      <c r="H8" s="487"/>
      <c r="I8" s="488"/>
      <c r="K8" s="474"/>
      <c r="L8" s="193" t="s">
        <v>119</v>
      </c>
      <c r="M8" s="548">
        <v>0</v>
      </c>
      <c r="N8" s="489"/>
      <c r="O8" s="472">
        <v>1.95</v>
      </c>
      <c r="P8" s="133">
        <v>-6620.230790417525</v>
      </c>
      <c r="Q8" s="484"/>
      <c r="R8" s="470">
        <v>0.17499999999999999</v>
      </c>
      <c r="S8" s="166">
        <v>10.394879682817352</v>
      </c>
      <c r="T8" s="466"/>
    </row>
    <row r="9" spans="2:20" ht="16.5" customHeight="1">
      <c r="B9" s="490" t="s">
        <v>37</v>
      </c>
      <c r="C9" s="406" t="s">
        <v>2</v>
      </c>
      <c r="D9" s="463" t="s">
        <v>387</v>
      </c>
      <c r="E9" s="463" t="s">
        <v>32</v>
      </c>
      <c r="F9" s="463" t="s">
        <v>33</v>
      </c>
      <c r="G9" s="463" t="s">
        <v>233</v>
      </c>
      <c r="H9" s="463" t="s">
        <v>93</v>
      </c>
      <c r="I9" s="463" t="s">
        <v>214</v>
      </c>
      <c r="K9" s="466"/>
      <c r="L9" s="193" t="s">
        <v>137</v>
      </c>
      <c r="M9" s="548">
        <v>1000</v>
      </c>
      <c r="N9" s="471"/>
      <c r="O9" s="472">
        <v>2.1</v>
      </c>
      <c r="P9" s="133">
        <v>-5998.0723216675251</v>
      </c>
      <c r="Q9" s="484"/>
      <c r="R9" s="470">
        <v>0.2</v>
      </c>
      <c r="S9" s="166">
        <v>9.2283857016129609</v>
      </c>
      <c r="T9" s="466"/>
    </row>
    <row r="10" spans="2:20" ht="16.5" customHeight="1">
      <c r="B10" s="467" t="s">
        <v>38</v>
      </c>
      <c r="C10" s="126" t="s">
        <v>39</v>
      </c>
      <c r="D10" s="166">
        <f>M6</f>
        <v>688</v>
      </c>
      <c r="E10" s="259">
        <f>(M16-M14)*AVERAGE(1,M11)*E11*M7/2206</f>
        <v>64.848141432456941</v>
      </c>
      <c r="F10" s="468">
        <f>E10*D10</f>
        <v>44615.521305530376</v>
      </c>
      <c r="G10" s="468">
        <f>F10/'Capital Inputs'!$D$7</f>
        <v>3717.9601087941978</v>
      </c>
      <c r="H10" s="491">
        <f>F10/$E$5</f>
        <v>0.78686986429506844</v>
      </c>
      <c r="I10" s="470">
        <f>F10/$F$5</f>
        <v>0.13114497738251141</v>
      </c>
      <c r="K10" s="466"/>
      <c r="L10" s="193" t="s">
        <v>170</v>
      </c>
      <c r="M10" s="548">
        <v>1250</v>
      </c>
      <c r="N10" s="471"/>
      <c r="O10" s="472">
        <v>2.25</v>
      </c>
      <c r="P10" s="133">
        <v>-5375.9138529175252</v>
      </c>
      <c r="Q10" s="484"/>
      <c r="R10" s="470">
        <v>0.22500000000000001</v>
      </c>
      <c r="S10" s="166">
        <v>8.3211126051206588</v>
      </c>
      <c r="T10" s="466"/>
    </row>
    <row r="11" spans="2:20" ht="16.5" customHeight="1">
      <c r="B11" s="467" t="s">
        <v>107</v>
      </c>
      <c r="C11" s="126" t="s">
        <v>41</v>
      </c>
      <c r="D11" s="166"/>
      <c r="E11" s="141">
        <f>M4*'Capital Inputs'!D7</f>
        <v>45000</v>
      </c>
      <c r="F11" s="468">
        <f>E11*M13</f>
        <v>22500</v>
      </c>
      <c r="G11" s="468">
        <f>F11/'Capital Inputs'!$D$7</f>
        <v>1875</v>
      </c>
      <c r="H11" s="491">
        <f>F11/$E$5</f>
        <v>0.39682539682539686</v>
      </c>
      <c r="I11" s="470">
        <f>F11/$F$5</f>
        <v>6.6137566137566148E-2</v>
      </c>
      <c r="K11" s="466"/>
      <c r="L11" s="193" t="s">
        <v>99</v>
      </c>
      <c r="M11" s="549">
        <v>0.7</v>
      </c>
      <c r="N11" s="492"/>
      <c r="O11" s="472">
        <v>2.4</v>
      </c>
      <c r="P11" s="133">
        <v>-4753.755384167529</v>
      </c>
      <c r="Q11" s="484"/>
      <c r="R11" s="470">
        <v>0.25</v>
      </c>
      <c r="S11" s="166">
        <v>7.5952941279268158</v>
      </c>
      <c r="T11" s="466"/>
    </row>
    <row r="12" spans="2:20" ht="16.5" customHeight="1">
      <c r="B12" s="467" t="s">
        <v>6</v>
      </c>
      <c r="C12" s="480"/>
      <c r="D12" s="166"/>
      <c r="E12" s="125"/>
      <c r="F12" s="468">
        <f>'Operating Inputs'!D7*ROUND(M5/12,0)*'Capital Inputs'!D7</f>
        <v>1800</v>
      </c>
      <c r="G12" s="468">
        <f>F12/'Capital Inputs'!$D$7</f>
        <v>150</v>
      </c>
      <c r="H12" s="491">
        <f>F12/$E$5</f>
        <v>3.1746031746031751E-2</v>
      </c>
      <c r="I12" s="470">
        <f>F12/$F$5</f>
        <v>5.2910052910052916E-3</v>
      </c>
      <c r="K12" s="466"/>
      <c r="L12" s="194" t="s">
        <v>164</v>
      </c>
      <c r="M12" s="550">
        <v>8</v>
      </c>
      <c r="N12" s="471"/>
      <c r="O12" s="472">
        <v>2.5499999999999998</v>
      </c>
      <c r="P12" s="133">
        <v>-4131.5969154175255</v>
      </c>
      <c r="Q12" s="493"/>
      <c r="R12" s="470">
        <v>0.27500000000000002</v>
      </c>
      <c r="S12" s="166">
        <v>7.0014426465863986</v>
      </c>
      <c r="T12" s="466"/>
    </row>
    <row r="13" spans="2:20" ht="16.5" customHeight="1">
      <c r="B13" s="467" t="s">
        <v>186</v>
      </c>
      <c r="C13" s="126" t="s">
        <v>40</v>
      </c>
      <c r="D13" s="166">
        <f>'Operating Inputs'!D14</f>
        <v>0.4</v>
      </c>
      <c r="E13" s="136">
        <f>M8*'Capital Inputs'!D7</f>
        <v>0</v>
      </c>
      <c r="F13" s="468">
        <f>D13*E13</f>
        <v>0</v>
      </c>
      <c r="G13" s="468">
        <f>F13/'Capital Inputs'!$D$7</f>
        <v>0</v>
      </c>
      <c r="H13" s="166"/>
      <c r="I13" s="396"/>
      <c r="K13" s="466"/>
      <c r="L13" s="193" t="s">
        <v>288</v>
      </c>
      <c r="M13" s="551">
        <v>0.5</v>
      </c>
      <c r="N13" s="471" t="s">
        <v>276</v>
      </c>
      <c r="O13" s="472">
        <v>2.7</v>
      </c>
      <c r="P13" s="133">
        <v>-3509.4384466675237</v>
      </c>
      <c r="Q13" s="494"/>
      <c r="R13" s="470">
        <v>0.3</v>
      </c>
      <c r="S13" s="166">
        <v>6.50656641213605</v>
      </c>
      <c r="T13" s="485"/>
    </row>
    <row r="14" spans="2:20" ht="16.5" customHeight="1">
      <c r="B14" s="467" t="s">
        <v>42</v>
      </c>
      <c r="C14" s="480"/>
      <c r="D14" s="166"/>
      <c r="E14" s="125"/>
      <c r="F14" s="468">
        <f>'Operating Inputs'!D9*F5</f>
        <v>6803.9999999999991</v>
      </c>
      <c r="G14" s="468">
        <f>F14/'Capital Inputs'!$D$7</f>
        <v>566.99999999999989</v>
      </c>
      <c r="H14" s="491">
        <f t="shared" ref="H14:H28" si="0">F14/$E$5</f>
        <v>0.12</v>
      </c>
      <c r="I14" s="470">
        <f>F14/$F$5</f>
        <v>0.02</v>
      </c>
      <c r="K14" s="466"/>
      <c r="L14" s="193" t="s">
        <v>289</v>
      </c>
      <c r="M14" s="548">
        <v>0.1</v>
      </c>
      <c r="N14" s="471" t="s">
        <v>254</v>
      </c>
      <c r="O14" s="472">
        <v>2.85</v>
      </c>
      <c r="P14" s="133">
        <v>-2887.2799779175257</v>
      </c>
      <c r="Q14" s="494"/>
      <c r="R14" s="470">
        <v>0.32500000000000001</v>
      </c>
      <c r="S14" s="166">
        <v>6.0878249829857571</v>
      </c>
      <c r="T14" s="485"/>
    </row>
    <row r="15" spans="2:20" ht="16.5" customHeight="1">
      <c r="B15" s="467" t="s">
        <v>11</v>
      </c>
      <c r="C15" s="480"/>
      <c r="D15" s="166"/>
      <c r="E15" s="125"/>
      <c r="F15" s="468">
        <f>('Operating Inputs'!D15*'Operating Inputs'!C42/2000+'Operating Inputs'!C43*'Operating Inputs'!D16+'Operating Inputs'!C44)*'Capital Inputs'!D7</f>
        <v>1153.5</v>
      </c>
      <c r="G15" s="468">
        <f>F15/'Capital Inputs'!$D$7</f>
        <v>96.125</v>
      </c>
      <c r="H15" s="491">
        <f t="shared" si="0"/>
        <v>2.0343915343915348E-2</v>
      </c>
      <c r="I15" s="470">
        <f>F15/$F$5</f>
        <v>3.3906525573192247E-3</v>
      </c>
      <c r="K15" s="466"/>
      <c r="L15" s="193" t="s">
        <v>287</v>
      </c>
      <c r="M15" s="548">
        <v>6</v>
      </c>
      <c r="N15" s="471" t="s">
        <v>253</v>
      </c>
      <c r="O15" s="472">
        <v>3</v>
      </c>
      <c r="P15" s="133">
        <v>-2265.1215091675258</v>
      </c>
      <c r="Q15" s="495"/>
      <c r="R15" s="470">
        <v>0.35</v>
      </c>
      <c r="S15" s="166">
        <v>5.7289037579997926</v>
      </c>
      <c r="T15" s="485"/>
    </row>
    <row r="16" spans="2:20" ht="16.5" customHeight="1">
      <c r="B16" s="467" t="s">
        <v>43</v>
      </c>
      <c r="C16" s="480"/>
      <c r="D16" s="166"/>
      <c r="E16" s="125"/>
      <c r="F16" s="468">
        <f>('Operating Inputs'!D10*('Capital Inputs'!D6+'Capital Inputs'!D5)/'Capital Inputs'!D7+'Capital Inputs'!G40)*ROUND(M5/12,0)</f>
        <v>7401.0389999999998</v>
      </c>
      <c r="G16" s="468">
        <f>F16/'Capital Inputs'!$D$7</f>
        <v>616.75324999999998</v>
      </c>
      <c r="H16" s="491">
        <f t="shared" si="0"/>
        <v>0.13052978835978837</v>
      </c>
      <c r="I16" s="470">
        <f>F16/$F$5</f>
        <v>2.1754964726631396E-2</v>
      </c>
      <c r="K16" s="466"/>
      <c r="L16" s="193" t="s">
        <v>290</v>
      </c>
      <c r="M16" s="551">
        <v>1.8</v>
      </c>
      <c r="N16" s="471" t="s">
        <v>254</v>
      </c>
      <c r="O16" s="472">
        <v>3.15</v>
      </c>
      <c r="P16" s="133">
        <v>-1642.9630404175259</v>
      </c>
      <c r="Q16" s="484"/>
      <c r="R16" s="470">
        <v>0.375</v>
      </c>
      <c r="S16" s="166">
        <v>5.4178386963452869</v>
      </c>
    </row>
    <row r="17" spans="2:21" ht="16.5" customHeight="1">
      <c r="B17" s="467" t="s">
        <v>44</v>
      </c>
      <c r="C17" s="480"/>
      <c r="D17" s="166"/>
      <c r="E17" s="125"/>
      <c r="F17" s="468">
        <f>SUM(F18:F21)</f>
        <v>12288.380000000001</v>
      </c>
      <c r="G17" s="468">
        <f>F17/'Capital Inputs'!$D$7</f>
        <v>1024.0316666666668</v>
      </c>
      <c r="H17" s="491">
        <f t="shared" si="0"/>
        <v>0.21672627865961203</v>
      </c>
      <c r="I17" s="470">
        <f>F17/$F$5</f>
        <v>3.6121046443268676E-2</v>
      </c>
      <c r="K17" s="466"/>
      <c r="L17" s="193" t="s">
        <v>217</v>
      </c>
      <c r="M17" s="551">
        <v>750</v>
      </c>
      <c r="N17" s="492"/>
      <c r="O17" s="472">
        <v>3.3</v>
      </c>
      <c r="P17" s="133">
        <v>-1020.804571667526</v>
      </c>
      <c r="Q17" s="484"/>
      <c r="R17" s="470">
        <v>0.4</v>
      </c>
      <c r="S17" s="166">
        <v>5.1456567673975959</v>
      </c>
    </row>
    <row r="18" spans="2:21" ht="16.5" customHeight="1">
      <c r="B18" s="157" t="s">
        <v>171</v>
      </c>
      <c r="C18" s="126" t="s">
        <v>73</v>
      </c>
      <c r="D18" s="166">
        <f>'Operating Inputs'!D22</f>
        <v>0.15</v>
      </c>
      <c r="E18" s="141">
        <f>'Capital Inputs'!D7*'Operating Inputs'!D19*0.7457*M9</f>
        <v>26845.200000000001</v>
      </c>
      <c r="F18" s="133">
        <f>E18*'Operating Inputs'!D22</f>
        <v>4026.7799999999997</v>
      </c>
      <c r="G18" s="133">
        <f>F18/'Capital Inputs'!$D$7</f>
        <v>335.565</v>
      </c>
      <c r="H18" s="491">
        <f t="shared" si="0"/>
        <v>7.1019047619047621E-2</v>
      </c>
      <c r="I18" s="396"/>
      <c r="K18" s="466"/>
      <c r="L18" s="193" t="s">
        <v>218</v>
      </c>
      <c r="M18" s="551">
        <v>150</v>
      </c>
      <c r="N18" s="181"/>
      <c r="O18" s="472">
        <v>3.45</v>
      </c>
      <c r="P18" s="133">
        <v>-398.64610291752615</v>
      </c>
      <c r="Q18" s="484"/>
      <c r="R18" s="470">
        <v>0.42499999999999999</v>
      </c>
      <c r="S18" s="166">
        <v>4.9054962418555155</v>
      </c>
    </row>
    <row r="19" spans="2:21" ht="16.5" customHeight="1">
      <c r="B19" s="157" t="s">
        <v>184</v>
      </c>
      <c r="C19" s="126" t="s">
        <v>73</v>
      </c>
      <c r="D19" s="166">
        <f>'Operating Inputs'!D22</f>
        <v>0.15</v>
      </c>
      <c r="E19" s="141">
        <f>'Capital Inputs'!D7*M12*'Operating Inputs'!D28*'Operating Inputs'!D29</f>
        <v>26304.000000000004</v>
      </c>
      <c r="F19" s="133">
        <f>E19*D19</f>
        <v>3945.6000000000004</v>
      </c>
      <c r="G19" s="133">
        <f>F19/'Capital Inputs'!$D$7</f>
        <v>328.8</v>
      </c>
      <c r="H19" s="491">
        <f t="shared" si="0"/>
        <v>6.95873015873016E-2</v>
      </c>
      <c r="I19" s="396"/>
      <c r="K19" s="466"/>
      <c r="L19" s="125" t="s">
        <v>399</v>
      </c>
      <c r="M19" s="548">
        <v>0</v>
      </c>
      <c r="N19" s="471"/>
      <c r="O19" s="472">
        <v>3.6</v>
      </c>
      <c r="P19" s="133">
        <v>223.51236583247191</v>
      </c>
      <c r="Q19" s="478"/>
      <c r="R19" s="470">
        <v>0.45</v>
      </c>
      <c r="S19" s="166">
        <v>4.6920202191514457</v>
      </c>
    </row>
    <row r="20" spans="2:21" ht="16.5" customHeight="1">
      <c r="B20" s="157" t="s">
        <v>162</v>
      </c>
      <c r="C20" s="126" t="s">
        <v>163</v>
      </c>
      <c r="D20" s="166">
        <v>3.5</v>
      </c>
      <c r="E20" s="141">
        <f>'Operating Inputs'!D26*ROUND(M5/12,0)*12</f>
        <v>600</v>
      </c>
      <c r="F20" s="133">
        <f>D20*E20</f>
        <v>2100</v>
      </c>
      <c r="G20" s="133">
        <f>F20/'Capital Inputs'!$D$7</f>
        <v>175</v>
      </c>
      <c r="H20" s="491">
        <f t="shared" si="0"/>
        <v>3.7037037037037042E-2</v>
      </c>
      <c r="I20" s="396"/>
      <c r="K20" s="466"/>
      <c r="L20" s="129" t="s">
        <v>215</v>
      </c>
      <c r="M20" s="552">
        <v>0.1</v>
      </c>
      <c r="N20" s="181"/>
      <c r="O20" s="472">
        <v>3.75</v>
      </c>
      <c r="P20" s="133">
        <v>845.6708345824718</v>
      </c>
      <c r="Q20" s="478"/>
      <c r="R20" s="470">
        <v>0.47499999999999998</v>
      </c>
      <c r="S20" s="166">
        <v>4.5010153567320117</v>
      </c>
    </row>
    <row r="21" spans="2:21" ht="16.5" customHeight="1">
      <c r="B21" s="157" t="s">
        <v>204</v>
      </c>
      <c r="C21" s="126"/>
      <c r="D21" s="166"/>
      <c r="E21" s="125"/>
      <c r="F21" s="133">
        <f>('Operating Inputs'!D24*'Operating Inputs'!D22*ROUND(M5/12,0)*12 + 'Operating Inputs'!D21)</f>
        <v>2216</v>
      </c>
      <c r="G21" s="133">
        <f>F21/'Capital Inputs'!$D$7</f>
        <v>184.66666666666666</v>
      </c>
      <c r="H21" s="491">
        <f t="shared" si="0"/>
        <v>3.9082892416225756E-2</v>
      </c>
      <c r="I21" s="396"/>
      <c r="K21" s="466"/>
      <c r="L21" s="125"/>
      <c r="M21" s="125"/>
      <c r="N21" s="125"/>
      <c r="O21" s="472">
        <v>3.9</v>
      </c>
      <c r="P21" s="133">
        <v>1467.8293033324717</v>
      </c>
      <c r="Q21" s="496"/>
      <c r="R21" s="470">
        <v>0.5</v>
      </c>
      <c r="S21" s="166">
        <v>4.3291109805545229</v>
      </c>
      <c r="T21" s="48"/>
      <c r="U21" s="48"/>
    </row>
    <row r="22" spans="2:21" ht="16.5" customHeight="1">
      <c r="B22" s="467" t="s">
        <v>112</v>
      </c>
      <c r="C22" s="126"/>
      <c r="D22" s="166">
        <f>'Operating Inputs'!D27</f>
        <v>50</v>
      </c>
      <c r="E22" s="136">
        <f>M19</f>
        <v>0</v>
      </c>
      <c r="F22" s="133">
        <f>D22*E22</f>
        <v>0</v>
      </c>
      <c r="G22" s="133">
        <f>F22/'Capital Inputs'!$D$7</f>
        <v>0</v>
      </c>
      <c r="H22" s="491">
        <f t="shared" si="0"/>
        <v>0</v>
      </c>
      <c r="I22" s="396"/>
      <c r="L22" s="125"/>
      <c r="M22" s="125"/>
      <c r="N22" s="125"/>
      <c r="O22" s="472">
        <v>4.05</v>
      </c>
      <c r="P22" s="133">
        <v>2089.9877720824716</v>
      </c>
      <c r="Q22" s="48"/>
      <c r="R22" s="470">
        <v>0.52500000000000002</v>
      </c>
      <c r="S22" s="166">
        <v>4.1735784497272705</v>
      </c>
      <c r="T22" s="60" t="str">
        <f>R2</f>
        <v>Survival</v>
      </c>
      <c r="U22" s="60" t="str">
        <f>S2</f>
        <v xml:space="preserve">Breakeven price </v>
      </c>
    </row>
    <row r="23" spans="2:21" ht="16.5" customHeight="1">
      <c r="B23" s="467" t="s">
        <v>90</v>
      </c>
      <c r="C23" s="480"/>
      <c r="D23" s="125"/>
      <c r="E23" s="125"/>
      <c r="F23" s="468">
        <f>'Operating Inputs'!D5*M10*M5/12</f>
        <v>23125</v>
      </c>
      <c r="G23" s="468">
        <f>F23/'Capital Inputs'!$D$7</f>
        <v>1927.0833333333333</v>
      </c>
      <c r="H23" s="491">
        <f t="shared" si="0"/>
        <v>0.40784832451499126</v>
      </c>
      <c r="I23" s="470">
        <f t="shared" ref="I23:I28" si="1">F23/$F$5</f>
        <v>6.7974720752498538E-2</v>
      </c>
      <c r="N23" s="125"/>
      <c r="O23" s="472">
        <v>4.2</v>
      </c>
      <c r="P23" s="133">
        <v>2712.1462408324733</v>
      </c>
      <c r="Q23" s="48"/>
      <c r="R23" s="470">
        <v>0.55000000000000004</v>
      </c>
      <c r="S23" s="166">
        <v>4.0321852398843143</v>
      </c>
      <c r="T23" s="61">
        <f t="shared" ref="T23:T38" si="2">R22</f>
        <v>0.52500000000000002</v>
      </c>
      <c r="U23" s="62">
        <f t="shared" ref="U23:U38" si="3">S22</f>
        <v>4.1735784497272705</v>
      </c>
    </row>
    <row r="24" spans="2:21" ht="16.5" customHeight="1">
      <c r="B24" s="467" t="s">
        <v>74</v>
      </c>
      <c r="C24" s="480"/>
      <c r="D24" s="125"/>
      <c r="E24" s="125"/>
      <c r="F24" s="468">
        <f>'Operating Inputs'!D11*M5/12</f>
        <v>2400</v>
      </c>
      <c r="G24" s="468">
        <f>F24/'Capital Inputs'!$D$7</f>
        <v>200</v>
      </c>
      <c r="H24" s="491">
        <f t="shared" si="0"/>
        <v>4.2328042328042333E-2</v>
      </c>
      <c r="I24" s="470">
        <f t="shared" si="1"/>
        <v>7.0546737213403894E-3</v>
      </c>
      <c r="N24" s="125"/>
      <c r="O24" s="472">
        <v>4.3499999999999996</v>
      </c>
      <c r="P24" s="133">
        <v>3334.3047095824732</v>
      </c>
      <c r="Q24" s="48"/>
      <c r="R24" s="470">
        <v>0.57499999999999996</v>
      </c>
      <c r="S24" s="166">
        <v>3.903087091766833</v>
      </c>
      <c r="T24" s="61">
        <f t="shared" si="2"/>
        <v>0.55000000000000004</v>
      </c>
      <c r="U24" s="62">
        <f t="shared" si="3"/>
        <v>4.0321852398843143</v>
      </c>
    </row>
    <row r="25" spans="2:21" ht="16.5" customHeight="1">
      <c r="B25" s="467" t="s">
        <v>8</v>
      </c>
      <c r="C25" s="480" t="s">
        <v>214</v>
      </c>
      <c r="D25" s="143">
        <f>M20</f>
        <v>0.1</v>
      </c>
      <c r="E25" s="141">
        <f>F5</f>
        <v>340199.99999999994</v>
      </c>
      <c r="F25" s="468">
        <f>D25*E25</f>
        <v>34019.999999999993</v>
      </c>
      <c r="G25" s="468">
        <f>F25/'Capital Inputs'!$D$7</f>
        <v>2834.9999999999995</v>
      </c>
      <c r="H25" s="491">
        <f t="shared" si="0"/>
        <v>0.6</v>
      </c>
      <c r="I25" s="470">
        <f t="shared" si="1"/>
        <v>9.9999999999999992E-2</v>
      </c>
      <c r="N25" s="125"/>
      <c r="O25" s="472">
        <v>4.5</v>
      </c>
      <c r="P25" s="133">
        <v>3956.4631783324712</v>
      </c>
      <c r="Q25" s="48"/>
      <c r="R25" s="470">
        <v>0.6</v>
      </c>
      <c r="S25" s="166">
        <v>3.7847471226591409</v>
      </c>
      <c r="T25" s="61">
        <f t="shared" si="2"/>
        <v>0.57499999999999996</v>
      </c>
      <c r="U25" s="62">
        <f t="shared" si="3"/>
        <v>3.903087091766833</v>
      </c>
    </row>
    <row r="26" spans="2:21" ht="16.5" customHeight="1">
      <c r="B26" s="467" t="s">
        <v>45</v>
      </c>
      <c r="C26" s="480"/>
      <c r="D26" s="125"/>
      <c r="E26" s="125"/>
      <c r="F26" s="546"/>
      <c r="G26" s="468">
        <f>F26/'Capital Inputs'!$D$7</f>
        <v>0</v>
      </c>
      <c r="H26" s="491">
        <f t="shared" si="0"/>
        <v>0</v>
      </c>
      <c r="I26" s="470">
        <f t="shared" si="1"/>
        <v>0</v>
      </c>
      <c r="N26" s="125"/>
      <c r="O26" s="472">
        <v>4.6500000000000004</v>
      </c>
      <c r="P26" s="133">
        <v>4578.6216470824747</v>
      </c>
      <c r="Q26" s="48"/>
      <c r="R26" s="470">
        <v>0.625</v>
      </c>
      <c r="S26" s="166">
        <v>3.675874351080064</v>
      </c>
      <c r="T26" s="61">
        <f t="shared" si="2"/>
        <v>0.6</v>
      </c>
      <c r="U26" s="62">
        <f t="shared" si="3"/>
        <v>3.7847471226591409</v>
      </c>
    </row>
    <row r="27" spans="2:21" ht="16.5" customHeight="1">
      <c r="B27" s="467" t="s">
        <v>46</v>
      </c>
      <c r="C27" s="480" t="s">
        <v>14</v>
      </c>
      <c r="D27" s="497">
        <f>'Operating Inputs'!D12</f>
        <v>7.2499999999999995E-2</v>
      </c>
      <c r="E27" s="125"/>
      <c r="F27" s="475">
        <f>SUM(F10:F17,F22:F26)/2*(1-'Operating Inputs'!D13)*D27*M5/12</f>
        <v>2829.4473555377385</v>
      </c>
      <c r="G27" s="475">
        <f>F27/'Capital Inputs'!$D$7</f>
        <v>235.78727962814489</v>
      </c>
      <c r="H27" s="498">
        <f t="shared" si="0"/>
        <v>4.9902069762570347E-2</v>
      </c>
      <c r="I27" s="477">
        <f t="shared" si="1"/>
        <v>8.3170116270950591E-3</v>
      </c>
      <c r="N27" s="125"/>
      <c r="O27" s="472">
        <v>4.8</v>
      </c>
      <c r="P27" s="133">
        <v>5200.780115832471</v>
      </c>
      <c r="Q27" s="48"/>
      <c r="R27" s="470">
        <v>0.65</v>
      </c>
      <c r="S27" s="166">
        <v>3.575376408083994</v>
      </c>
      <c r="T27" s="61">
        <f t="shared" si="2"/>
        <v>0.625</v>
      </c>
      <c r="U27" s="62">
        <f t="shared" si="3"/>
        <v>3.675874351080064</v>
      </c>
    </row>
    <row r="28" spans="2:21" ht="16.5" customHeight="1">
      <c r="B28" s="499" t="s">
        <v>47</v>
      </c>
      <c r="C28" s="500"/>
      <c r="D28" s="125"/>
      <c r="E28" s="125"/>
      <c r="F28" s="501">
        <f>SUM(F10:F27)-F17</f>
        <v>158936.88766106812</v>
      </c>
      <c r="G28" s="501">
        <f>F28/'Capital Inputs'!$D$7</f>
        <v>13244.740638422343</v>
      </c>
      <c r="H28" s="502">
        <f t="shared" si="0"/>
        <v>2.803119711835417</v>
      </c>
      <c r="I28" s="483">
        <f t="shared" si="1"/>
        <v>0.46718661863923616</v>
      </c>
      <c r="N28" s="125"/>
      <c r="O28" s="472">
        <v>4.95</v>
      </c>
      <c r="P28" s="133">
        <v>5822.9385845824763</v>
      </c>
      <c r="Q28" s="48"/>
      <c r="R28" s="470">
        <v>0.67500000000000004</v>
      </c>
      <c r="S28" s="166">
        <v>3.4823227571617057</v>
      </c>
      <c r="T28" s="61">
        <f t="shared" si="2"/>
        <v>0.65</v>
      </c>
      <c r="U28" s="62">
        <f t="shared" si="3"/>
        <v>3.575376408083994</v>
      </c>
    </row>
    <row r="29" spans="2:21" ht="16.5" customHeight="1">
      <c r="B29" s="499"/>
      <c r="C29" s="500"/>
      <c r="D29" s="125"/>
      <c r="E29" s="125"/>
      <c r="F29" s="503"/>
      <c r="G29" s="503"/>
      <c r="H29" s="504"/>
      <c r="I29" s="488"/>
      <c r="N29" s="125"/>
      <c r="O29" s="472">
        <v>5.0999999999999996</v>
      </c>
      <c r="P29" s="133">
        <v>6445.0970533324726</v>
      </c>
      <c r="Q29" s="48"/>
      <c r="R29" s="470">
        <v>0.7</v>
      </c>
      <c r="S29" s="166">
        <v>3.3959157955910113</v>
      </c>
      <c r="T29" s="61">
        <f t="shared" si="2"/>
        <v>0.67500000000000004</v>
      </c>
      <c r="U29" s="62">
        <f t="shared" si="3"/>
        <v>3.4823227571617057</v>
      </c>
    </row>
    <row r="30" spans="2:21" ht="16.5" customHeight="1">
      <c r="B30" s="490" t="s">
        <v>48</v>
      </c>
      <c r="C30" s="406" t="s">
        <v>2</v>
      </c>
      <c r="D30" s="463" t="s">
        <v>387</v>
      </c>
      <c r="E30" s="463" t="s">
        <v>32</v>
      </c>
      <c r="F30" s="463" t="s">
        <v>33</v>
      </c>
      <c r="G30" s="463" t="s">
        <v>233</v>
      </c>
      <c r="H30" s="463" t="s">
        <v>93</v>
      </c>
      <c r="I30" s="463" t="s">
        <v>214</v>
      </c>
      <c r="N30" s="125"/>
      <c r="O30" s="472">
        <v>5.25</v>
      </c>
      <c r="P30" s="133">
        <v>7067.2555220824725</v>
      </c>
      <c r="Q30" s="48"/>
      <c r="R30" s="470">
        <v>0.72499999999999998</v>
      </c>
      <c r="S30" s="166">
        <v>3.3154679348182934</v>
      </c>
      <c r="T30" s="61">
        <f t="shared" si="2"/>
        <v>0.7</v>
      </c>
      <c r="U30" s="62">
        <f t="shared" si="3"/>
        <v>3.3959157955910113</v>
      </c>
    </row>
    <row r="31" spans="2:21" ht="16.5" customHeight="1">
      <c r="B31" s="467" t="s">
        <v>25</v>
      </c>
      <c r="C31" s="480" t="s">
        <v>81</v>
      </c>
      <c r="D31" s="505"/>
      <c r="E31" s="125"/>
      <c r="F31" s="506">
        <f>'Operating Inputs'!D31*'Capital Inputs'!K40</f>
        <v>2164.8919687500002</v>
      </c>
      <c r="G31" s="506">
        <f>F31/'Capital Inputs'!$D$7</f>
        <v>180.4076640625</v>
      </c>
      <c r="H31" s="469">
        <f>F31/$E$5</f>
        <v>3.8181516203703712E-2</v>
      </c>
      <c r="I31" s="470">
        <f>F31/$F$5</f>
        <v>6.3635860339506184E-3</v>
      </c>
      <c r="N31" s="125"/>
      <c r="O31" s="472">
        <v>5.4</v>
      </c>
      <c r="P31" s="133">
        <v>7689.4139908324742</v>
      </c>
      <c r="Q31" s="48"/>
      <c r="R31" s="470">
        <v>0.75</v>
      </c>
      <c r="S31" s="166">
        <v>3.2403832647637589</v>
      </c>
      <c r="T31" s="61">
        <f t="shared" si="2"/>
        <v>0.72499999999999998</v>
      </c>
      <c r="U31" s="62">
        <f t="shared" si="3"/>
        <v>3.3154679348182934</v>
      </c>
    </row>
    <row r="32" spans="2:21" ht="16.5" customHeight="1">
      <c r="B32" s="467" t="s">
        <v>49</v>
      </c>
      <c r="C32" s="480" t="s">
        <v>81</v>
      </c>
      <c r="D32" s="505"/>
      <c r="E32" s="125"/>
      <c r="F32" s="506">
        <f>'Operating Inputs'!D32</f>
        <v>1500</v>
      </c>
      <c r="G32" s="506">
        <f>F32/'Capital Inputs'!$D$7</f>
        <v>125</v>
      </c>
      <c r="H32" s="469">
        <f>F32/$E$5</f>
        <v>2.6455026455026457E-2</v>
      </c>
      <c r="I32" s="470">
        <f>F32/$F$5</f>
        <v>4.4091710758377431E-3</v>
      </c>
      <c r="N32" s="125"/>
      <c r="O32" s="472">
        <v>5.55</v>
      </c>
      <c r="P32" s="133">
        <v>8311.5724595824704</v>
      </c>
      <c r="Q32" s="48"/>
      <c r="R32" s="470">
        <v>0.77500000000000002</v>
      </c>
      <c r="S32" s="166">
        <v>3.1701427669708058</v>
      </c>
      <c r="T32" s="61">
        <f t="shared" si="2"/>
        <v>0.75</v>
      </c>
      <c r="U32" s="62">
        <f t="shared" si="3"/>
        <v>3.2403832647637589</v>
      </c>
    </row>
    <row r="33" spans="2:21" ht="16.5" customHeight="1">
      <c r="B33" s="467" t="s">
        <v>108</v>
      </c>
      <c r="C33" s="480"/>
      <c r="D33" s="497">
        <f>'Operating Inputs'!D34</f>
        <v>7.2499999999999995E-2</v>
      </c>
      <c r="E33" s="125"/>
      <c r="F33" s="507">
        <f>'Capital Inputs'!L40*ROUND(M5/12,0)</f>
        <v>29946.645980192185</v>
      </c>
      <c r="G33" s="507">
        <f>F33/'Capital Inputs'!$D$7</f>
        <v>2495.5538316826819</v>
      </c>
      <c r="H33" s="476">
        <f>F33/$E$5</f>
        <v>0.52815954109686403</v>
      </c>
      <c r="I33" s="477">
        <f>F33/$F$5</f>
        <v>8.8026590182810671E-2</v>
      </c>
      <c r="N33" s="125"/>
      <c r="O33" s="472">
        <v>5.7</v>
      </c>
      <c r="P33" s="133">
        <v>8933.7309283324721</v>
      </c>
      <c r="Q33" s="48"/>
      <c r="R33" s="470">
        <v>0.8</v>
      </c>
      <c r="S33" s="166">
        <v>3.104292300289913</v>
      </c>
      <c r="T33" s="61">
        <f t="shared" si="2"/>
        <v>0.77500000000000002</v>
      </c>
      <c r="U33" s="62">
        <f t="shared" si="3"/>
        <v>3.1701427669708058</v>
      </c>
    </row>
    <row r="34" spans="2:21" ht="16.5" customHeight="1">
      <c r="B34" s="499" t="s">
        <v>50</v>
      </c>
      <c r="C34" s="500"/>
      <c r="D34" s="125"/>
      <c r="E34" s="125"/>
      <c r="F34" s="508">
        <f>SUM(F31:F33)</f>
        <v>33611.537948942183</v>
      </c>
      <c r="G34" s="508">
        <f>SUM(G31:G33)</f>
        <v>2800.9614957451818</v>
      </c>
      <c r="H34" s="482">
        <f>F34/$E$5</f>
        <v>0.59279608375559412</v>
      </c>
      <c r="I34" s="483">
        <f>F34/$F$5</f>
        <v>9.8799347292599024E-2</v>
      </c>
      <c r="N34" s="125"/>
      <c r="O34" s="472">
        <v>5.85</v>
      </c>
      <c r="P34" s="133">
        <v>9555.889397082472</v>
      </c>
      <c r="Q34" s="48"/>
      <c r="R34" s="470">
        <v>0.82499999999999996</v>
      </c>
      <c r="S34" s="166">
        <v>3.0424327709836199</v>
      </c>
      <c r="T34" s="61">
        <f t="shared" si="2"/>
        <v>0.8</v>
      </c>
      <c r="U34" s="62">
        <f t="shared" si="3"/>
        <v>3.104292300289913</v>
      </c>
    </row>
    <row r="35" spans="2:21" ht="16.5" customHeight="1">
      <c r="B35" s="509"/>
      <c r="C35" s="510"/>
      <c r="D35" s="129"/>
      <c r="E35" s="129"/>
      <c r="F35" s="511"/>
      <c r="G35" s="511"/>
      <c r="H35" s="476"/>
      <c r="I35" s="512"/>
      <c r="N35" s="125"/>
      <c r="O35" s="513">
        <v>6</v>
      </c>
      <c r="P35" s="436">
        <v>10178.047865832472</v>
      </c>
      <c r="Q35" s="48"/>
      <c r="R35" s="470">
        <v>0.85</v>
      </c>
      <c r="S35" s="166">
        <v>2.9842120375188732</v>
      </c>
      <c r="T35" s="61">
        <f t="shared" si="2"/>
        <v>0.82499999999999996</v>
      </c>
      <c r="U35" s="62">
        <f t="shared" si="3"/>
        <v>3.0424327709836199</v>
      </c>
    </row>
    <row r="36" spans="2:21" ht="16.5" customHeight="1">
      <c r="B36" s="514" t="s">
        <v>51</v>
      </c>
      <c r="C36" s="500"/>
      <c r="D36" s="125"/>
      <c r="E36" s="125"/>
      <c r="F36" s="515">
        <f>SUM(F34,F28)</f>
        <v>192548.42561001031</v>
      </c>
      <c r="G36" s="515">
        <f>SUM(G34,G28)</f>
        <v>16045.702134167524</v>
      </c>
      <c r="H36" s="482">
        <f>F36/$E$5</f>
        <v>3.3959157955910113</v>
      </c>
      <c r="I36" s="483">
        <f>F36/$F$5</f>
        <v>0.56598596593183526</v>
      </c>
      <c r="N36" s="125"/>
      <c r="Q36" s="48"/>
      <c r="R36" s="470">
        <v>0.875</v>
      </c>
      <c r="S36" s="166">
        <v>2.9293182031092551</v>
      </c>
      <c r="T36" s="61">
        <f t="shared" si="2"/>
        <v>0.85</v>
      </c>
      <c r="U36" s="62">
        <f t="shared" si="3"/>
        <v>2.9842120375188732</v>
      </c>
    </row>
    <row r="37" spans="2:21" ht="16.5" customHeight="1">
      <c r="B37" s="516" t="s">
        <v>121</v>
      </c>
      <c r="C37" s="516"/>
      <c r="D37" s="129"/>
      <c r="E37" s="129"/>
      <c r="F37" s="517">
        <f>F7-F36</f>
        <v>122136.57438998963</v>
      </c>
      <c r="G37" s="517">
        <f>G7-G36</f>
        <v>10178.047865832472</v>
      </c>
      <c r="H37" s="518">
        <f>F37/$E$5</f>
        <v>2.1540842044089885</v>
      </c>
      <c r="I37" s="512">
        <f>F37/$F$5</f>
        <v>0.35901403406816479</v>
      </c>
      <c r="N37" s="125"/>
      <c r="Q37" s="48"/>
      <c r="R37" s="477">
        <v>0.9</v>
      </c>
      <c r="S37" s="192">
        <v>2.877474026166837</v>
      </c>
      <c r="T37" s="61">
        <f t="shared" si="2"/>
        <v>0.875</v>
      </c>
      <c r="U37" s="62">
        <f t="shared" si="3"/>
        <v>2.9293182031092551</v>
      </c>
    </row>
    <row r="38" spans="2:21" ht="16.5" customHeight="1">
      <c r="B38" s="519"/>
      <c r="C38" s="519"/>
      <c r="D38" s="125"/>
      <c r="E38" s="125"/>
      <c r="F38" s="520"/>
      <c r="G38" s="520"/>
      <c r="H38" s="487"/>
      <c r="I38" s="488"/>
      <c r="J38" s="521"/>
      <c r="N38" s="125"/>
      <c r="Q38" s="48"/>
      <c r="R38" s="61">
        <f>R20</f>
        <v>0.47499999999999998</v>
      </c>
      <c r="S38" s="62">
        <f>S20</f>
        <v>4.5010153567320117</v>
      </c>
      <c r="T38" s="61">
        <f t="shared" si="2"/>
        <v>0.9</v>
      </c>
      <c r="U38" s="62">
        <f t="shared" si="3"/>
        <v>2.877474026166837</v>
      </c>
    </row>
    <row r="39" spans="2:21" ht="16.5" customHeight="1">
      <c r="B39" s="514" t="s">
        <v>326</v>
      </c>
      <c r="C39" s="522" cm="1">
        <f t="array" ref="C39">IFERROR(INDEX(_xlfn._xlws.FILTER(B68:B77, F67:F76&gt;0), 1),"&gt;10 years")</f>
        <v>3</v>
      </c>
      <c r="D39" s="125"/>
      <c r="E39" s="125"/>
      <c r="F39" s="125"/>
      <c r="G39" s="125"/>
      <c r="H39" s="125"/>
      <c r="I39" s="125"/>
      <c r="J39" s="523"/>
      <c r="N39" s="125"/>
      <c r="Q39" s="48"/>
      <c r="R39" s="61">
        <f>R21</f>
        <v>0.5</v>
      </c>
      <c r="S39" s="62">
        <f>S21</f>
        <v>4.3291109805545229</v>
      </c>
      <c r="T39" s="48"/>
      <c r="U39" s="48"/>
    </row>
    <row r="40" spans="2:21" ht="16.5" customHeight="1">
      <c r="B40" s="524" t="s">
        <v>327</v>
      </c>
      <c r="C40" s="525">
        <f>IFERROR(IRR(E67:E77),"High loss")</f>
        <v>0.35203959754187086</v>
      </c>
      <c r="D40" s="125"/>
      <c r="E40" s="125"/>
      <c r="F40" s="125"/>
      <c r="G40" s="125"/>
      <c r="H40" s="125"/>
      <c r="I40" s="125"/>
      <c r="N40" s="125"/>
      <c r="Q40" s="48"/>
      <c r="R40" s="48"/>
      <c r="S40" s="48"/>
      <c r="T40" s="48"/>
      <c r="U40" s="48"/>
    </row>
    <row r="41" spans="2:21" ht="16.5" customHeight="1">
      <c r="B41" s="526" t="str">
        <f>"NPV at " &amp; 100*D33 &amp; " % in 10 years"</f>
        <v>NPV at 7.25 % in 10 years</v>
      </c>
      <c r="C41" s="527">
        <f>NPV(D33,E67:E77)</f>
        <v>715566.67625449691</v>
      </c>
      <c r="D41" s="125"/>
      <c r="E41" s="125"/>
      <c r="F41" s="125"/>
      <c r="G41" s="125"/>
      <c r="H41" s="125"/>
      <c r="I41" s="125"/>
      <c r="N41" s="125"/>
      <c r="Q41" s="48"/>
      <c r="R41" s="48"/>
      <c r="S41" s="48"/>
      <c r="T41" s="48"/>
      <c r="U41" s="48"/>
    </row>
    <row r="42" spans="2:21" ht="17.25">
      <c r="N42" s="125"/>
      <c r="Q42" s="48"/>
      <c r="R42" s="48"/>
      <c r="S42" s="48"/>
      <c r="T42" s="48"/>
      <c r="U42" s="48"/>
    </row>
    <row r="43" spans="2:21" ht="34.5">
      <c r="B43" s="528"/>
      <c r="C43" s="529" t="s">
        <v>393</v>
      </c>
      <c r="D43" s="529" t="s">
        <v>389</v>
      </c>
      <c r="E43" s="530" t="s">
        <v>391</v>
      </c>
      <c r="F43" s="4" t="s">
        <v>54</v>
      </c>
      <c r="G43" s="13"/>
      <c r="H43" s="531"/>
      <c r="J43" s="532"/>
      <c r="N43" s="125"/>
      <c r="Q43" s="48"/>
      <c r="R43" s="48"/>
      <c r="S43" s="48"/>
      <c r="T43" s="48"/>
      <c r="U43" s="48"/>
    </row>
    <row r="44" spans="2:21" ht="17.25">
      <c r="B44" s="533"/>
      <c r="C44" s="534" t="s">
        <v>388</v>
      </c>
      <c r="D44" s="534" t="s">
        <v>390</v>
      </c>
      <c r="E44" s="534" t="s">
        <v>392</v>
      </c>
      <c r="F44" s="4" t="s">
        <v>55</v>
      </c>
      <c r="G44" s="4"/>
      <c r="H44" s="523">
        <f>F34</f>
        <v>33611.537948942183</v>
      </c>
      <c r="J44" s="532"/>
      <c r="N44" s="125"/>
      <c r="Q44" s="48"/>
      <c r="R44" s="48"/>
      <c r="S44" s="48"/>
      <c r="T44" s="48"/>
      <c r="U44" s="48"/>
    </row>
    <row r="45" spans="2:21" ht="17.25">
      <c r="B45" s="533" t="s">
        <v>52</v>
      </c>
      <c r="C45" s="535">
        <f>H28</f>
        <v>2.803119711835417</v>
      </c>
      <c r="D45" s="536">
        <f>F28/H7/'Capital Inputs'!D7</f>
        <v>2386.4397546706928</v>
      </c>
      <c r="E45" s="35">
        <f>D45/M16/M11</f>
        <v>1893.9998052942008</v>
      </c>
      <c r="F45" s="13"/>
      <c r="G45" s="13"/>
      <c r="H45" s="13"/>
      <c r="J45" s="532"/>
      <c r="N45" s="125"/>
    </row>
    <row r="46" spans="2:21" ht="17.25">
      <c r="B46" s="537" t="s">
        <v>53</v>
      </c>
      <c r="C46" s="538">
        <f>H36</f>
        <v>3.3959157955910113</v>
      </c>
      <c r="D46" s="539">
        <f>F36/H7/'Capital Inputs'!D7</f>
        <v>2891.1175016518064</v>
      </c>
      <c r="E46" s="87">
        <f>D46/M16/M11</f>
        <v>2294.5376997236558</v>
      </c>
      <c r="F46" s="13"/>
      <c r="G46" s="13"/>
      <c r="H46" s="13"/>
      <c r="I46" s="540"/>
      <c r="J46" s="532"/>
      <c r="N46" s="125"/>
    </row>
    <row r="47" spans="2:21" ht="17.25" hidden="1">
      <c r="B47" s="533"/>
      <c r="C47" s="535"/>
      <c r="D47" s="536"/>
      <c r="E47" s="35"/>
      <c r="F47" s="13"/>
      <c r="G47" s="13"/>
      <c r="H47" s="13"/>
      <c r="I47" s="540"/>
      <c r="J47" s="532"/>
      <c r="N47" s="125"/>
    </row>
    <row r="48" spans="2:21" ht="17.25" hidden="1">
      <c r="B48" s="533"/>
      <c r="C48" s="535"/>
      <c r="D48" s="536"/>
      <c r="E48" s="35"/>
      <c r="F48" s="13"/>
      <c r="G48" s="13"/>
      <c r="H48" s="13"/>
      <c r="I48" s="540"/>
      <c r="N48" s="125"/>
    </row>
    <row r="49" spans="2:6" ht="17.25" hidden="1">
      <c r="B49" s="533"/>
      <c r="C49" s="535"/>
      <c r="D49" s="536"/>
      <c r="E49" s="35"/>
      <c r="F49" s="13"/>
    </row>
    <row r="50" spans="2:6" ht="17.25" hidden="1">
      <c r="B50" s="533"/>
      <c r="C50" s="535"/>
      <c r="D50" s="536"/>
      <c r="E50" s="35"/>
      <c r="F50" s="13"/>
    </row>
    <row r="51" spans="2:6" ht="17.25" hidden="1">
      <c r="B51" s="533"/>
      <c r="C51" s="535"/>
      <c r="D51" s="536"/>
      <c r="E51" s="35"/>
      <c r="F51" s="13"/>
    </row>
    <row r="52" spans="2:6" ht="17.25" hidden="1">
      <c r="B52" s="533"/>
      <c r="C52" s="535"/>
      <c r="D52" s="536"/>
      <c r="E52" s="35"/>
      <c r="F52" s="13"/>
    </row>
    <row r="53" spans="2:6" ht="17.25" hidden="1">
      <c r="F53" s="523"/>
    </row>
    <row r="54" spans="2:6" ht="17.25" hidden="1">
      <c r="F54" s="523"/>
    </row>
    <row r="55" spans="2:6" ht="17.25" hidden="1">
      <c r="F55" s="13"/>
    </row>
    <row r="56" spans="2:6" ht="17.25" hidden="1">
      <c r="F56" s="4"/>
    </row>
    <row r="57" spans="2:6" ht="17.25" hidden="1">
      <c r="B57" s="48"/>
      <c r="C57" s="48"/>
      <c r="D57" s="48"/>
      <c r="E57" s="48"/>
      <c r="F57" s="4"/>
    </row>
    <row r="58" spans="2:6" ht="17.25" hidden="1">
      <c r="B58" s="48"/>
      <c r="C58" s="541"/>
      <c r="D58" s="48"/>
      <c r="E58" s="48"/>
      <c r="F58" s="4"/>
    </row>
    <row r="59" spans="2:6" ht="17.25" hidden="1">
      <c r="B59" s="48" t="s">
        <v>103</v>
      </c>
      <c r="C59" s="48"/>
      <c r="D59" s="48"/>
      <c r="E59" s="48"/>
      <c r="F59" s="4"/>
    </row>
    <row r="60" spans="2:6" ht="17.25" hidden="1">
      <c r="B60" s="48" t="s">
        <v>100</v>
      </c>
      <c r="C60" s="70">
        <v>1068.5999999999999</v>
      </c>
      <c r="D60" s="48" t="s">
        <v>101</v>
      </c>
      <c r="E60" s="48"/>
      <c r="F60" s="4"/>
    </row>
    <row r="61" spans="2:6" ht="17.25" hidden="1">
      <c r="B61" s="48" t="s">
        <v>104</v>
      </c>
      <c r="C61" s="70">
        <v>325.85000000000002</v>
      </c>
      <c r="D61" s="48" t="s">
        <v>101</v>
      </c>
      <c r="E61" s="48"/>
      <c r="F61" s="4"/>
    </row>
    <row r="62" spans="2:6" ht="17.25" hidden="1">
      <c r="B62" s="48" t="s">
        <v>105</v>
      </c>
      <c r="C62" s="48">
        <v>3.28084</v>
      </c>
      <c r="D62" s="48" t="s">
        <v>102</v>
      </c>
      <c r="E62" s="48"/>
      <c r="F62" s="4"/>
    </row>
    <row r="63" spans="2:6" ht="17.25" hidden="1">
      <c r="B63" s="542" t="s">
        <v>96</v>
      </c>
      <c r="C63" s="543">
        <v>2.2046199999999998</v>
      </c>
      <c r="D63" s="48" t="s">
        <v>40</v>
      </c>
      <c r="E63" s="48"/>
      <c r="F63" s="4"/>
    </row>
    <row r="64" spans="2:6" ht="17.25" hidden="1">
      <c r="B64" s="542" t="s">
        <v>97</v>
      </c>
      <c r="C64" s="543">
        <v>2.47105</v>
      </c>
      <c r="D64" s="48" t="s">
        <v>29</v>
      </c>
      <c r="E64" s="48"/>
      <c r="F64" s="4"/>
    </row>
    <row r="65" spans="2:6" ht="17.25" hidden="1">
      <c r="B65" s="542"/>
      <c r="C65" s="543"/>
      <c r="D65" s="48"/>
      <c r="E65" s="48"/>
      <c r="F65" s="71" t="s">
        <v>322</v>
      </c>
    </row>
    <row r="66" spans="2:6" ht="17.25" hidden="1">
      <c r="B66" s="71" t="s">
        <v>317</v>
      </c>
      <c r="C66" s="71" t="s">
        <v>319</v>
      </c>
      <c r="D66" s="544" t="s">
        <v>320</v>
      </c>
      <c r="E66" s="544" t="s">
        <v>321</v>
      </c>
      <c r="F66" s="74">
        <f>E67</f>
        <v>-423964</v>
      </c>
    </row>
    <row r="67" spans="2:6" ht="17.25" hidden="1">
      <c r="B67" s="73">
        <v>0</v>
      </c>
      <c r="C67" s="545">
        <f>'Capital Inputs'!F43</f>
        <v>423964</v>
      </c>
      <c r="D67" s="545">
        <v>0</v>
      </c>
      <c r="E67" s="545">
        <f>D67-C67</f>
        <v>-423964</v>
      </c>
      <c r="F67" s="74">
        <f t="shared" ref="F67:F76" si="4">F66+E68</f>
        <v>-271880.77962981816</v>
      </c>
    </row>
    <row r="68" spans="2:6" ht="17.25" hidden="1">
      <c r="B68" s="73">
        <v>1</v>
      </c>
      <c r="C68" s="545">
        <f>'Cash flow for investments- Food'!C2</f>
        <v>0</v>
      </c>
      <c r="D68" s="545">
        <f>F7-F28-F31-F32</f>
        <v>152083.22037018184</v>
      </c>
      <c r="E68" s="545">
        <f t="shared" ref="E68:E76" si="5">D68-C68</f>
        <v>152083.22037018184</v>
      </c>
      <c r="F68" s="74">
        <f t="shared" si="4"/>
        <v>-119797.55925963633</v>
      </c>
    </row>
    <row r="69" spans="2:6" ht="17.25" hidden="1">
      <c r="B69" s="73">
        <v>2</v>
      </c>
      <c r="C69" s="545">
        <f>'Cash flow for investments- Food'!C3</f>
        <v>0</v>
      </c>
      <c r="D69" s="545">
        <f t="shared" ref="D69:D77" si="6">D68</f>
        <v>152083.22037018184</v>
      </c>
      <c r="E69" s="545">
        <f t="shared" si="5"/>
        <v>152083.22037018184</v>
      </c>
      <c r="F69" s="74">
        <f t="shared" si="4"/>
        <v>32285.661110545509</v>
      </c>
    </row>
    <row r="70" spans="2:6" ht="17.25" hidden="1">
      <c r="B70" s="73">
        <v>3</v>
      </c>
      <c r="C70" s="545">
        <f>'Cash flow for investments- Food'!C4</f>
        <v>0</v>
      </c>
      <c r="D70" s="545">
        <f t="shared" si="6"/>
        <v>152083.22037018184</v>
      </c>
      <c r="E70" s="545">
        <f t="shared" si="5"/>
        <v>152083.22037018184</v>
      </c>
      <c r="F70" s="74">
        <f t="shared" si="4"/>
        <v>184368.88148072734</v>
      </c>
    </row>
    <row r="71" spans="2:6" ht="17.25" hidden="1">
      <c r="B71" s="73">
        <v>4</v>
      </c>
      <c r="C71" s="545">
        <f>'Cash flow for investments- Food'!C5</f>
        <v>0</v>
      </c>
      <c r="D71" s="545">
        <f t="shared" si="6"/>
        <v>152083.22037018184</v>
      </c>
      <c r="E71" s="545">
        <f t="shared" si="5"/>
        <v>152083.22037018184</v>
      </c>
      <c r="F71" s="74">
        <f t="shared" si="4"/>
        <v>336038.10185090918</v>
      </c>
    </row>
    <row r="72" spans="2:6" ht="17.25" hidden="1">
      <c r="B72" s="73">
        <v>5</v>
      </c>
      <c r="C72" s="545">
        <f>'Cash flow for investments- Food'!C6</f>
        <v>414</v>
      </c>
      <c r="D72" s="545">
        <f t="shared" si="6"/>
        <v>152083.22037018184</v>
      </c>
      <c r="E72" s="545">
        <f t="shared" si="5"/>
        <v>151669.22037018184</v>
      </c>
      <c r="F72" s="74">
        <f t="shared" si="4"/>
        <v>488121.32222109102</v>
      </c>
    </row>
    <row r="73" spans="2:6" ht="17.25" hidden="1">
      <c r="B73" s="73">
        <v>6</v>
      </c>
      <c r="C73" s="545">
        <f>'Cash flow for investments- Food'!C7</f>
        <v>0</v>
      </c>
      <c r="D73" s="545">
        <f t="shared" si="6"/>
        <v>152083.22037018184</v>
      </c>
      <c r="E73" s="545">
        <f t="shared" si="5"/>
        <v>152083.22037018184</v>
      </c>
      <c r="F73" s="74">
        <f t="shared" si="4"/>
        <v>638204.54259127285</v>
      </c>
    </row>
    <row r="74" spans="2:6" ht="17.25" hidden="1">
      <c r="B74" s="73">
        <v>7</v>
      </c>
      <c r="C74" s="545">
        <f>'Cash flow for investments- Food'!C8</f>
        <v>2000</v>
      </c>
      <c r="D74" s="545">
        <f t="shared" si="6"/>
        <v>152083.22037018184</v>
      </c>
      <c r="E74" s="545">
        <f t="shared" si="5"/>
        <v>150083.22037018184</v>
      </c>
      <c r="F74" s="74">
        <f t="shared" si="4"/>
        <v>788537.76296145469</v>
      </c>
    </row>
    <row r="75" spans="2:6" ht="17.25" hidden="1">
      <c r="B75" s="73">
        <v>8</v>
      </c>
      <c r="C75" s="545">
        <f>'Cash flow for investments- Food'!C9</f>
        <v>1750</v>
      </c>
      <c r="D75" s="545">
        <f t="shared" si="6"/>
        <v>152083.22037018184</v>
      </c>
      <c r="E75" s="545">
        <f t="shared" si="5"/>
        <v>150333.22037018184</v>
      </c>
      <c r="F75" s="74">
        <f t="shared" si="4"/>
        <v>940620.98333163653</v>
      </c>
    </row>
    <row r="76" spans="2:6" ht="17.25" hidden="1">
      <c r="B76" s="73">
        <v>9</v>
      </c>
      <c r="C76" s="545">
        <f>'Cash flow for investments- Food'!C10</f>
        <v>0</v>
      </c>
      <c r="D76" s="545">
        <f t="shared" si="6"/>
        <v>152083.22037018184</v>
      </c>
      <c r="E76" s="545">
        <f t="shared" si="5"/>
        <v>152083.22037018184</v>
      </c>
      <c r="F76" s="74">
        <f t="shared" si="4"/>
        <v>1370566.1191780088</v>
      </c>
    </row>
    <row r="77" spans="2:6" ht="17.25" hidden="1">
      <c r="B77" s="73">
        <v>10</v>
      </c>
      <c r="C77" s="545">
        <f>'Cash flow for investments- Food'!C11</f>
        <v>57503.075000000004</v>
      </c>
      <c r="D77" s="545">
        <f t="shared" si="6"/>
        <v>152083.22037018184</v>
      </c>
      <c r="E77" s="545">
        <f>D77-C77+D78</f>
        <v>429945.13584637234</v>
      </c>
      <c r="F77" s="74"/>
    </row>
    <row r="78" spans="2:6" ht="17.25" hidden="1">
      <c r="B78" s="73" t="s">
        <v>323</v>
      </c>
      <c r="C78" s="545"/>
      <c r="D78" s="545">
        <f>'Cash flow for investments- Food'!C12</f>
        <v>335364.99047619052</v>
      </c>
      <c r="E78" s="545"/>
      <c r="F78" s="4"/>
    </row>
    <row r="79" spans="2:6" ht="17.25" hidden="1">
      <c r="B79" s="542"/>
      <c r="C79" s="543"/>
      <c r="D79" s="48"/>
      <c r="E79" s="48"/>
      <c r="F79" s="4"/>
    </row>
    <row r="80" spans="2:6" ht="17.25" hidden="1">
      <c r="B80" s="48"/>
      <c r="C80" s="48"/>
      <c r="D80" s="48"/>
      <c r="E80" s="48"/>
      <c r="F80" s="4"/>
    </row>
    <row r="81" ht="17.25" hidden="1"/>
    <row r="82" ht="17.25" hidden="1"/>
    <row r="83" ht="17.25" hidden="1"/>
    <row r="84" ht="17.25" hidden="1"/>
    <row r="85" ht="17.25" hidden="1"/>
    <row r="86" ht="17.25" hidden="1"/>
    <row r="87" ht="17.25" hidden="1"/>
    <row r="88" ht="17.25" hidden="1"/>
    <row r="89" ht="17.25" hidden="1"/>
    <row r="90" ht="17.25" hidden="1"/>
    <row r="92" ht="17.25" hidden="1"/>
    <row r="93" ht="17.25" hidden="1"/>
  </sheetData>
  <sheetProtection sheet="1" objects="1" scenarios="1"/>
  <mergeCells count="1">
    <mergeCell ref="B2:I2"/>
  </mergeCells>
  <conditionalFormatting sqref="V92:W409 V43:W90">
    <cfRule type="duplicateValues" dxfId="10" priority="15"/>
  </conditionalFormatting>
  <hyperlinks>
    <hyperlink ref="N13" r:id="rId1" display="https://www.owenandwilliams.com/pricing/" xr:uid="{BAB24F79-8EF8-4614-B998-20A3779F5C5F}"/>
  </hyperlinks>
  <pageMargins left="0.7" right="0.7" top="0.75" bottom="0.75" header="0.3" footer="0.3"/>
  <pageSetup orientation="portrait" r:id="rId2"/>
  <ignoredErrors>
    <ignoredError sqref="C39"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7B06F-E36C-4902-87EF-43BCF82BA319}">
  <sheetPr codeName="Sheet7"/>
  <dimension ref="A1:BA92"/>
  <sheetViews>
    <sheetView showGridLines="0" zoomScaleNormal="100" workbookViewId="0">
      <selection activeCell="N26" sqref="N26"/>
    </sheetView>
  </sheetViews>
  <sheetFormatPr defaultColWidth="0" defaultRowHeight="0" customHeight="1" zeroHeight="1"/>
  <cols>
    <col min="1" max="1" width="2.33203125" style="5" customWidth="1"/>
    <col min="2" max="2" width="36.77734375" style="5" customWidth="1"/>
    <col min="3" max="3" width="12.21875" style="5" bestFit="1" customWidth="1"/>
    <col min="4" max="4" width="13.21875" style="5" customWidth="1"/>
    <col min="5" max="6" width="10.77734375" style="5" customWidth="1"/>
    <col min="7" max="7" width="8.77734375" style="5" customWidth="1"/>
    <col min="8" max="8" width="10.6640625" style="5" customWidth="1"/>
    <col min="9" max="9" width="12.6640625" style="5" customWidth="1"/>
    <col min="10" max="11" width="10.77734375" style="5" customWidth="1"/>
    <col min="12" max="12" width="8.77734375" style="5" customWidth="1"/>
    <col min="13" max="13" width="10" style="5" customWidth="1"/>
    <col min="14" max="16" width="10.77734375" style="5" customWidth="1"/>
    <col min="17" max="17" width="9.77734375" style="5" customWidth="1"/>
    <col min="18" max="18" width="3.33203125" style="5" customWidth="1"/>
    <col min="19" max="19" width="33.44140625" style="5" customWidth="1"/>
    <col min="20" max="21" width="11.77734375" style="5" customWidth="1"/>
    <col min="22" max="22" width="3.33203125" style="5" customWidth="1"/>
    <col min="23" max="23" width="20.77734375" style="5" customWidth="1"/>
    <col min="24" max="24" width="15.44140625" style="5" customWidth="1"/>
    <col min="25" max="25" width="17.21875" style="5" customWidth="1"/>
    <col min="26" max="26" width="3.33203125" style="5" customWidth="1"/>
    <col min="27" max="27" width="29.77734375" style="5" hidden="1" customWidth="1"/>
    <col min="28" max="28" width="30.21875" style="5" hidden="1" customWidth="1"/>
    <col min="29" max="29" width="12.33203125" style="5" hidden="1" customWidth="1"/>
    <col min="30" max="30" width="29.77734375" style="5" hidden="1" customWidth="1"/>
    <col min="31" max="31" width="18" style="5" hidden="1" customWidth="1"/>
    <col min="32" max="32" width="36" style="5" hidden="1" customWidth="1"/>
    <col min="33" max="33" width="51.21875" style="5" hidden="1" customWidth="1"/>
    <col min="34" max="34" width="10" style="5" hidden="1" customWidth="1"/>
    <col min="35" max="35" width="22.88671875" style="5" hidden="1" customWidth="1"/>
    <col min="36" max="36" width="51.21875" style="5" hidden="1" customWidth="1"/>
    <col min="37" max="37" width="11.77734375" style="5" hidden="1" customWidth="1"/>
    <col min="38" max="53" width="0" style="5" hidden="1" customWidth="1"/>
    <col min="54" max="16384" width="8.88671875" style="5" hidden="1"/>
  </cols>
  <sheetData>
    <row r="1" spans="2:30" ht="16.5" customHeight="1">
      <c r="W1" s="708" t="s">
        <v>150</v>
      </c>
      <c r="X1" s="710" t="s">
        <v>275</v>
      </c>
      <c r="Y1" s="710" t="s">
        <v>149</v>
      </c>
    </row>
    <row r="2" spans="2:30" ht="21">
      <c r="B2" s="707" t="s">
        <v>147</v>
      </c>
      <c r="C2" s="707"/>
      <c r="D2" s="707"/>
      <c r="E2" s="707"/>
      <c r="F2" s="707"/>
      <c r="G2" s="707"/>
      <c r="H2" s="707"/>
      <c r="I2" s="707"/>
      <c r="J2" s="707"/>
      <c r="K2" s="707"/>
      <c r="L2" s="707"/>
      <c r="M2" s="707"/>
      <c r="N2" s="707"/>
      <c r="O2" s="707"/>
      <c r="P2" s="707"/>
      <c r="Q2" s="707"/>
      <c r="R2" s="456"/>
      <c r="S2" s="5" t="s">
        <v>425</v>
      </c>
      <c r="T2" s="715"/>
      <c r="U2" s="715"/>
      <c r="W2" s="709"/>
      <c r="X2" s="711"/>
      <c r="Y2" s="711"/>
      <c r="AA2" s="22"/>
      <c r="AB2" s="22"/>
      <c r="AC2" s="21"/>
      <c r="AD2" s="21"/>
    </row>
    <row r="3" spans="2:30" ht="16.5" customHeight="1">
      <c r="B3" s="553"/>
      <c r="C3" s="554"/>
      <c r="D3" s="712" t="s">
        <v>168</v>
      </c>
      <c r="E3" s="713"/>
      <c r="F3" s="713"/>
      <c r="G3" s="713"/>
      <c r="H3" s="714"/>
      <c r="I3" s="712" t="s">
        <v>169</v>
      </c>
      <c r="J3" s="713"/>
      <c r="K3" s="713"/>
      <c r="L3" s="713"/>
      <c r="M3" s="714"/>
      <c r="N3" s="712" t="s">
        <v>141</v>
      </c>
      <c r="O3" s="713"/>
      <c r="P3" s="713"/>
      <c r="Q3" s="714"/>
      <c r="S3" s="377"/>
      <c r="T3" s="716" t="s">
        <v>34</v>
      </c>
      <c r="U3" s="716"/>
      <c r="V3" s="58"/>
      <c r="W3" s="50">
        <f t="shared" ref="W3:W35" si="0">Z25</f>
        <v>0.1</v>
      </c>
      <c r="X3" s="555">
        <f t="shared" ref="X3:X35" si="1">AA25</f>
        <v>9.8485686094062128</v>
      </c>
      <c r="Y3" s="555">
        <f t="shared" ref="Y3:Y35" si="2">AD25</f>
        <v>29.835038633362782</v>
      </c>
      <c r="Z3" s="1"/>
      <c r="AA3" s="1"/>
      <c r="AB3" s="1"/>
      <c r="AD3" s="22"/>
    </row>
    <row r="4" spans="2:30" ht="16.5" customHeight="1">
      <c r="B4" s="556" t="s">
        <v>88</v>
      </c>
      <c r="C4" s="557" t="s">
        <v>2</v>
      </c>
      <c r="D4" s="558" t="s">
        <v>143</v>
      </c>
      <c r="E4" s="559" t="s">
        <v>32</v>
      </c>
      <c r="F4" s="559" t="s">
        <v>33</v>
      </c>
      <c r="G4" s="559" t="s">
        <v>144</v>
      </c>
      <c r="H4" s="560" t="s">
        <v>214</v>
      </c>
      <c r="I4" s="558" t="s">
        <v>143</v>
      </c>
      <c r="J4" s="559" t="s">
        <v>32</v>
      </c>
      <c r="K4" s="559" t="s">
        <v>33</v>
      </c>
      <c r="L4" s="559" t="s">
        <v>93</v>
      </c>
      <c r="M4" s="560" t="s">
        <v>214</v>
      </c>
      <c r="N4" s="558" t="s">
        <v>126</v>
      </c>
      <c r="O4" s="559" t="s">
        <v>127</v>
      </c>
      <c r="P4" s="559" t="s">
        <v>424</v>
      </c>
      <c r="Q4" s="560" t="s">
        <v>214</v>
      </c>
      <c r="S4" s="561" t="s">
        <v>31</v>
      </c>
      <c r="T4" s="562" t="s">
        <v>126</v>
      </c>
      <c r="U4" s="562" t="s">
        <v>127</v>
      </c>
      <c r="V4" s="563" t="s">
        <v>138</v>
      </c>
      <c r="W4" s="50">
        <f t="shared" si="0"/>
        <v>0.125</v>
      </c>
      <c r="X4" s="555">
        <f t="shared" si="1"/>
        <v>7.9506488291612207</v>
      </c>
      <c r="Y4" s="555">
        <f t="shared" si="2"/>
        <v>24.26923803352819</v>
      </c>
      <c r="Z4" s="3"/>
      <c r="AA4" s="1"/>
      <c r="AB4" s="1"/>
      <c r="AD4" s="1"/>
    </row>
    <row r="5" spans="2:30" s="48" customFormat="1" ht="16.5" customHeight="1">
      <c r="B5" s="564"/>
      <c r="C5" s="565"/>
      <c r="D5" s="342"/>
      <c r="E5" s="125"/>
      <c r="F5" s="467"/>
      <c r="G5" s="467"/>
      <c r="H5" s="566"/>
      <c r="I5" s="567"/>
      <c r="J5" s="467"/>
      <c r="K5" s="125"/>
      <c r="L5" s="125"/>
      <c r="M5" s="566"/>
      <c r="N5" s="344" t="str">
        <f>ROUND(C43,2) &amp; " acres"</f>
        <v>2.31 acres</v>
      </c>
      <c r="O5" s="318" t="str">
        <f>ROUND(D43,2) &amp; " acres"</f>
        <v>9.69 acres</v>
      </c>
      <c r="P5" s="318" t="str">
        <f>ROUND(E43,2) &amp; " acres"</f>
        <v>12 acres</v>
      </c>
      <c r="Q5" s="566"/>
      <c r="R5" s="5"/>
      <c r="S5" s="568" t="s">
        <v>124</v>
      </c>
      <c r="T5" s="629">
        <v>13400</v>
      </c>
      <c r="U5" s="629">
        <v>3200</v>
      </c>
      <c r="V5" s="563" t="s">
        <v>138</v>
      </c>
      <c r="W5" s="50">
        <f t="shared" si="0"/>
        <v>0.15</v>
      </c>
      <c r="X5" s="555">
        <f t="shared" si="1"/>
        <v>6.6853689756645593</v>
      </c>
      <c r="Y5" s="555">
        <f t="shared" si="2"/>
        <v>20.55870430030512</v>
      </c>
      <c r="Z5" s="75"/>
      <c r="AA5" s="76"/>
      <c r="AB5" s="76"/>
      <c r="AD5" s="77"/>
    </row>
    <row r="6" spans="2:30" s="48" customFormat="1" ht="16.5" customHeight="1">
      <c r="B6" s="567" t="s">
        <v>285</v>
      </c>
      <c r="C6" s="350" t="s">
        <v>229</v>
      </c>
      <c r="D6" s="364">
        <f>T16</f>
        <v>1.75</v>
      </c>
      <c r="E6" s="141">
        <f>E11*T12</f>
        <v>11390</v>
      </c>
      <c r="F6" s="468">
        <f>D6*E6</f>
        <v>19932.5</v>
      </c>
      <c r="G6" s="491">
        <f>D6</f>
        <v>1.75</v>
      </c>
      <c r="H6" s="569">
        <f>F6/$F$6</f>
        <v>1</v>
      </c>
      <c r="I6" s="336">
        <f>U16</f>
        <v>9</v>
      </c>
      <c r="J6" s="467">
        <f>J11*U12*U13</f>
        <v>6400</v>
      </c>
      <c r="K6" s="468">
        <f>I6*J6</f>
        <v>57600</v>
      </c>
      <c r="L6" s="491">
        <f>K6/$J$6</f>
        <v>9</v>
      </c>
      <c r="M6" s="569">
        <f>K6/$K$6</f>
        <v>1</v>
      </c>
      <c r="N6" s="570"/>
      <c r="O6" s="468"/>
      <c r="P6" s="571">
        <f>K6*$D$43</f>
        <v>557956.62650602404</v>
      </c>
      <c r="Q6" s="569">
        <f>P6/$P$6</f>
        <v>1</v>
      </c>
      <c r="R6" s="5"/>
      <c r="S6" s="568" t="s">
        <v>140</v>
      </c>
      <c r="T6" s="630">
        <v>6</v>
      </c>
      <c r="U6" s="630">
        <v>12</v>
      </c>
      <c r="V6" s="563" t="s">
        <v>138</v>
      </c>
      <c r="W6" s="50">
        <f t="shared" si="0"/>
        <v>0.17499999999999999</v>
      </c>
      <c r="X6" s="555">
        <f t="shared" si="1"/>
        <v>5.7815976517383714</v>
      </c>
      <c r="Y6" s="555">
        <f t="shared" si="2"/>
        <v>17.908323062288645</v>
      </c>
      <c r="Z6" s="75"/>
      <c r="AA6" s="75"/>
      <c r="AB6" s="76"/>
      <c r="AD6" s="76"/>
    </row>
    <row r="7" spans="2:30" s="48" customFormat="1" ht="16.5" customHeight="1">
      <c r="B7" s="567" t="s">
        <v>35</v>
      </c>
      <c r="C7" s="350" t="s">
        <v>16</v>
      </c>
      <c r="D7" s="364">
        <f>'Operating Inputs'!$D$25</f>
        <v>1.5</v>
      </c>
      <c r="E7" s="141">
        <f>E6*T13/T19*T20</f>
        <v>1506.6373079999998</v>
      </c>
      <c r="F7" s="475">
        <f>D7*E7</f>
        <v>2259.955962</v>
      </c>
      <c r="G7" s="498">
        <f>F7/$E$6</f>
        <v>0.1984158</v>
      </c>
      <c r="H7" s="572">
        <f>F7/$F$6</f>
        <v>0.11338045714285715</v>
      </c>
      <c r="I7" s="336">
        <f>'Operating Inputs'!$D$25</f>
        <v>1.5</v>
      </c>
      <c r="J7" s="573">
        <f>J6/U19*U20</f>
        <v>1600</v>
      </c>
      <c r="K7" s="475">
        <f>I7*J7</f>
        <v>2400</v>
      </c>
      <c r="L7" s="498">
        <f>K7/$J$6</f>
        <v>0.375</v>
      </c>
      <c r="M7" s="572">
        <f>K7/$K$6</f>
        <v>4.1666666666666664E-2</v>
      </c>
      <c r="N7" s="574"/>
      <c r="O7" s="475"/>
      <c r="P7" s="575">
        <f>K7*$D$43</f>
        <v>23248.192771084337</v>
      </c>
      <c r="Q7" s="572">
        <f>P7/$P$6</f>
        <v>4.1666666666666671E-2</v>
      </c>
      <c r="R7" s="5"/>
      <c r="S7" s="5" t="s">
        <v>130</v>
      </c>
      <c r="T7" s="631">
        <v>2.4</v>
      </c>
      <c r="U7" s="631">
        <v>2.4</v>
      </c>
      <c r="V7" s="563"/>
      <c r="W7" s="50">
        <f t="shared" si="0"/>
        <v>0.2</v>
      </c>
      <c r="X7" s="555">
        <f t="shared" si="1"/>
        <v>5.1037691587937317</v>
      </c>
      <c r="Y7" s="555">
        <f t="shared" si="2"/>
        <v>15.920537133776291</v>
      </c>
      <c r="Z7" s="76"/>
      <c r="AA7" s="75"/>
      <c r="AB7" s="75"/>
      <c r="AD7" s="76"/>
    </row>
    <row r="8" spans="2:30" s="48" customFormat="1" ht="16.5" customHeight="1">
      <c r="B8" s="576" t="s">
        <v>89</v>
      </c>
      <c r="C8" s="350"/>
      <c r="D8" s="364"/>
      <c r="E8" s="125"/>
      <c r="F8" s="577">
        <f>F6-F7</f>
        <v>17672.544038</v>
      </c>
      <c r="G8" s="502">
        <f>F8/$E$6</f>
        <v>1.5515842</v>
      </c>
      <c r="H8" s="578">
        <f>F8/$F$6</f>
        <v>0.88661954285714284</v>
      </c>
      <c r="I8" s="336"/>
      <c r="J8" s="486"/>
      <c r="K8" s="577">
        <f>K6-K7</f>
        <v>55200</v>
      </c>
      <c r="L8" s="502">
        <f>K8/$J$6</f>
        <v>8.625</v>
      </c>
      <c r="M8" s="578">
        <f>K8/$K$6</f>
        <v>0.95833333333333337</v>
      </c>
      <c r="N8" s="570"/>
      <c r="O8" s="468"/>
      <c r="P8" s="579">
        <f>P6-P7</f>
        <v>534708.43373493967</v>
      </c>
      <c r="Q8" s="578">
        <f>P8/$P$6</f>
        <v>0.95833333333333326</v>
      </c>
      <c r="R8" s="5"/>
      <c r="S8" s="5" t="s">
        <v>213</v>
      </c>
      <c r="T8" s="629">
        <v>2000</v>
      </c>
      <c r="U8" s="629">
        <v>1800</v>
      </c>
      <c r="V8" s="563" t="s">
        <v>138</v>
      </c>
      <c r="W8" s="50">
        <f t="shared" si="0"/>
        <v>0.22500000000000001</v>
      </c>
      <c r="X8" s="555">
        <f t="shared" si="1"/>
        <v>4.5765692198367889</v>
      </c>
      <c r="Y8" s="555">
        <f t="shared" si="2"/>
        <v>14.374481411600012</v>
      </c>
      <c r="Z8" s="76"/>
      <c r="AA8" s="76"/>
      <c r="AC8" s="69"/>
    </row>
    <row r="9" spans="2:30" s="48" customFormat="1" ht="16.5" customHeight="1">
      <c r="B9" s="580" t="s">
        <v>37</v>
      </c>
      <c r="C9" s="350"/>
      <c r="D9" s="364"/>
      <c r="E9" s="125"/>
      <c r="F9" s="468"/>
      <c r="G9" s="502"/>
      <c r="H9" s="578"/>
      <c r="I9" s="336"/>
      <c r="J9" s="467"/>
      <c r="K9" s="133"/>
      <c r="L9" s="166"/>
      <c r="M9" s="578"/>
      <c r="N9" s="570"/>
      <c r="O9" s="468"/>
      <c r="P9" s="579"/>
      <c r="Q9" s="578"/>
      <c r="R9" s="5"/>
      <c r="S9" s="568" t="s">
        <v>119</v>
      </c>
      <c r="T9" s="629">
        <v>0</v>
      </c>
      <c r="U9" s="629">
        <v>0</v>
      </c>
      <c r="V9" s="581"/>
      <c r="W9" s="50">
        <f t="shared" si="0"/>
        <v>0.25</v>
      </c>
      <c r="X9" s="555">
        <f t="shared" si="1"/>
        <v>4.1548092686712357</v>
      </c>
      <c r="Y9" s="555">
        <f t="shared" si="2"/>
        <v>13.13763683385899</v>
      </c>
      <c r="Z9" s="76"/>
      <c r="AA9" s="76"/>
      <c r="AB9" s="48" t="s">
        <v>103</v>
      </c>
    </row>
    <row r="10" spans="2:30" s="48" customFormat="1" ht="16.5" customHeight="1">
      <c r="B10" s="567" t="s">
        <v>38</v>
      </c>
      <c r="C10" s="350" t="s">
        <v>39</v>
      </c>
      <c r="D10" s="166">
        <f>T8</f>
        <v>2000</v>
      </c>
      <c r="E10" s="136">
        <f>AVERAGE(E6,E11)*T13*T7/AC13/1000</f>
        <v>2.9748000000000001</v>
      </c>
      <c r="F10" s="468">
        <f>D10*E10</f>
        <v>5949.6</v>
      </c>
      <c r="G10" s="491">
        <f>F10/$E$6</f>
        <v>0.52235294117647058</v>
      </c>
      <c r="H10" s="569">
        <f t="shared" ref="H10:H29" si="3">F10/$F$6</f>
        <v>0.29848739495798321</v>
      </c>
      <c r="I10" s="336">
        <f>U8</f>
        <v>1800</v>
      </c>
      <c r="J10" s="467">
        <f>AVERAGE(J6/U13,J11)*(U13-T13)*U7/AC13/1000</f>
        <v>7.1468854750478537</v>
      </c>
      <c r="K10" s="468">
        <f>I10*J10</f>
        <v>12864.393855086137</v>
      </c>
      <c r="L10" s="491">
        <f t="shared" ref="L10:L16" si="4">K10/$J$6</f>
        <v>2.010061539857209</v>
      </c>
      <c r="M10" s="569">
        <f t="shared" ref="M10:M29" si="5">K10/$K$6</f>
        <v>0.22334017109524543</v>
      </c>
      <c r="N10" s="570">
        <f t="shared" ref="N10:N16" si="6">F10*$C$43</f>
        <v>13762.930120481928</v>
      </c>
      <c r="O10" s="468">
        <f>K10*$D$43</f>
        <v>124614.12842758137</v>
      </c>
      <c r="P10" s="571">
        <f>SUM(N10:O10)</f>
        <v>138377.0585480633</v>
      </c>
      <c r="Q10" s="569">
        <f t="shared" ref="Q10:Q29" si="7">P10/$P$6</f>
        <v>0.24800683776191212</v>
      </c>
      <c r="R10" s="5"/>
      <c r="S10" s="568" t="s">
        <v>137</v>
      </c>
      <c r="T10" s="629">
        <v>1000</v>
      </c>
      <c r="U10" s="629">
        <v>1500</v>
      </c>
      <c r="V10" s="581" t="s">
        <v>118</v>
      </c>
      <c r="W10" s="50">
        <f t="shared" si="0"/>
        <v>0.27500000000000002</v>
      </c>
      <c r="X10" s="555">
        <f t="shared" si="1"/>
        <v>3.8097329449903277</v>
      </c>
      <c r="Y10" s="555">
        <f t="shared" si="2"/>
        <v>12.125673088434514</v>
      </c>
      <c r="Z10" s="76"/>
      <c r="AA10" s="76"/>
      <c r="AB10" s="48" t="s">
        <v>100</v>
      </c>
      <c r="AC10" s="70">
        <v>1068.5999999999999</v>
      </c>
      <c r="AD10" s="48" t="s">
        <v>101</v>
      </c>
    </row>
    <row r="11" spans="2:30" s="48" customFormat="1" ht="16.5" customHeight="1">
      <c r="B11" s="567" t="s">
        <v>125</v>
      </c>
      <c r="C11" s="350" t="s">
        <v>41</v>
      </c>
      <c r="D11" s="364">
        <f>T15</f>
        <v>0.38500000000000001</v>
      </c>
      <c r="E11" s="141">
        <f>T5</f>
        <v>13400</v>
      </c>
      <c r="F11" s="468">
        <f>E11*T15</f>
        <v>5159</v>
      </c>
      <c r="G11" s="491">
        <f>F11/$E$6</f>
        <v>0.45294117647058824</v>
      </c>
      <c r="H11" s="569">
        <f t="shared" si="3"/>
        <v>0.25882352941176473</v>
      </c>
      <c r="I11" s="336">
        <f>T16</f>
        <v>1.75</v>
      </c>
      <c r="J11" s="467">
        <f>U5</f>
        <v>3200</v>
      </c>
      <c r="K11" s="582">
        <f>I11*J11</f>
        <v>5600</v>
      </c>
      <c r="L11" s="491">
        <f t="shared" si="4"/>
        <v>0.875</v>
      </c>
      <c r="M11" s="569">
        <f t="shared" si="5"/>
        <v>9.7222222222222224E-2</v>
      </c>
      <c r="N11" s="570">
        <f t="shared" si="6"/>
        <v>11934.072289156626</v>
      </c>
      <c r="O11" s="468"/>
      <c r="P11" s="571">
        <f>N11</f>
        <v>11934.072289156626</v>
      </c>
      <c r="Q11" s="569">
        <f t="shared" si="7"/>
        <v>2.1388888888888888E-2</v>
      </c>
      <c r="R11" s="5"/>
      <c r="S11" s="568" t="s">
        <v>209</v>
      </c>
      <c r="T11" s="629">
        <v>1000</v>
      </c>
      <c r="U11" s="629">
        <v>1500</v>
      </c>
      <c r="V11" s="563" t="s">
        <v>207</v>
      </c>
      <c r="W11" s="50">
        <f t="shared" si="0"/>
        <v>0.3</v>
      </c>
      <c r="X11" s="555">
        <f t="shared" si="1"/>
        <v>3.5221693419229041</v>
      </c>
      <c r="Y11" s="555">
        <f t="shared" si="2"/>
        <v>11.282369967247458</v>
      </c>
      <c r="Z11" s="76"/>
      <c r="AA11" s="76"/>
      <c r="AB11" s="48" t="s">
        <v>104</v>
      </c>
      <c r="AC11" s="70">
        <v>325.85000000000002</v>
      </c>
      <c r="AD11" s="48" t="s">
        <v>101</v>
      </c>
    </row>
    <row r="12" spans="2:30" s="48" customFormat="1" ht="16.5" customHeight="1">
      <c r="B12" s="567" t="s">
        <v>6</v>
      </c>
      <c r="C12" s="583"/>
      <c r="D12" s="364"/>
      <c r="E12" s="125"/>
      <c r="F12" s="468">
        <f>'Operating Inputs'!D7</f>
        <v>150</v>
      </c>
      <c r="G12" s="491">
        <f>F12/$E$6</f>
        <v>1.3169446883230905E-2</v>
      </c>
      <c r="H12" s="569">
        <f t="shared" si="3"/>
        <v>7.5253982189890881E-3</v>
      </c>
      <c r="I12" s="336"/>
      <c r="J12" s="467"/>
      <c r="K12" s="584">
        <f>'Operating Inputs'!D7</f>
        <v>150</v>
      </c>
      <c r="L12" s="491">
        <f t="shared" si="4"/>
        <v>2.34375E-2</v>
      </c>
      <c r="M12" s="569">
        <f t="shared" si="5"/>
        <v>2.6041666666666665E-3</v>
      </c>
      <c r="N12" s="570">
        <f t="shared" si="6"/>
        <v>346.98795180722891</v>
      </c>
      <c r="O12" s="468">
        <f>K12*$D$43</f>
        <v>1453.0120481927711</v>
      </c>
      <c r="P12" s="571">
        <f t="shared" ref="P12:P34" si="8">SUM(N12:O12)</f>
        <v>1800</v>
      </c>
      <c r="Q12" s="569">
        <f t="shared" si="7"/>
        <v>3.2260572139303488E-3</v>
      </c>
      <c r="R12" s="5"/>
      <c r="S12" s="568" t="s">
        <v>120</v>
      </c>
      <c r="T12" s="632">
        <v>0.85</v>
      </c>
      <c r="U12" s="633">
        <v>0.8</v>
      </c>
      <c r="W12" s="50">
        <f t="shared" si="0"/>
        <v>0.32500000000000001</v>
      </c>
      <c r="X12" s="555">
        <f t="shared" si="1"/>
        <v>3.2788462931735465</v>
      </c>
      <c r="Y12" s="555">
        <f t="shared" si="2"/>
        <v>10.568805787781484</v>
      </c>
      <c r="Z12" s="76"/>
      <c r="AA12" s="76"/>
      <c r="AB12" s="48" t="s">
        <v>105</v>
      </c>
      <c r="AC12" s="48">
        <v>3.28084</v>
      </c>
      <c r="AD12" s="48" t="s">
        <v>102</v>
      </c>
    </row>
    <row r="13" spans="2:30" s="48" customFormat="1" ht="16.5" customHeight="1">
      <c r="B13" s="567" t="s">
        <v>200</v>
      </c>
      <c r="C13" s="350" t="s">
        <v>40</v>
      </c>
      <c r="D13" s="364">
        <f>'Operating Inputs'!D14</f>
        <v>0.4</v>
      </c>
      <c r="E13" s="136">
        <f>T9*T6/24</f>
        <v>0</v>
      </c>
      <c r="F13" s="468">
        <f>D13*E13</f>
        <v>0</v>
      </c>
      <c r="G13" s="166"/>
      <c r="H13" s="585">
        <f t="shared" si="3"/>
        <v>0</v>
      </c>
      <c r="I13" s="336">
        <f>D13</f>
        <v>0.4</v>
      </c>
      <c r="J13" s="467">
        <f>U9*U6/24</f>
        <v>0</v>
      </c>
      <c r="K13" s="582">
        <f>I13*J13</f>
        <v>0</v>
      </c>
      <c r="L13" s="491">
        <f t="shared" si="4"/>
        <v>0</v>
      </c>
      <c r="M13" s="585">
        <f t="shared" si="5"/>
        <v>0</v>
      </c>
      <c r="N13" s="570">
        <f t="shared" si="6"/>
        <v>0</v>
      </c>
      <c r="O13" s="468">
        <f>K13*$D$43</f>
        <v>0</v>
      </c>
      <c r="P13" s="571">
        <f t="shared" si="8"/>
        <v>0</v>
      </c>
      <c r="Q13" s="585">
        <f t="shared" si="7"/>
        <v>0</v>
      </c>
      <c r="R13" s="5"/>
      <c r="S13" s="5" t="s">
        <v>128</v>
      </c>
      <c r="T13" s="634">
        <f>100*0.00220462</f>
        <v>0.22046199999999999</v>
      </c>
      <c r="U13" s="631">
        <v>2.5</v>
      </c>
      <c r="V13" s="563" t="s">
        <v>123</v>
      </c>
      <c r="W13" s="50">
        <f t="shared" si="0"/>
        <v>0.35</v>
      </c>
      <c r="X13" s="555">
        <f t="shared" si="1"/>
        <v>3.070283679959811</v>
      </c>
      <c r="Y13" s="555">
        <f t="shared" si="2"/>
        <v>9.9571793482392206</v>
      </c>
      <c r="Z13" s="69" t="s">
        <v>129</v>
      </c>
      <c r="AA13" s="76"/>
      <c r="AB13" s="63" t="s">
        <v>96</v>
      </c>
      <c r="AC13" s="64">
        <v>2.2046199999999998</v>
      </c>
      <c r="AD13" s="48" t="s">
        <v>40</v>
      </c>
    </row>
    <row r="14" spans="2:30" s="48" customFormat="1" ht="16.5" customHeight="1">
      <c r="B14" s="567" t="s">
        <v>42</v>
      </c>
      <c r="C14" s="583"/>
      <c r="D14" s="364"/>
      <c r="E14" s="125"/>
      <c r="F14" s="468">
        <f>'Operating Inputs'!$D9*F6</f>
        <v>398.65000000000003</v>
      </c>
      <c r="G14" s="491">
        <f t="shared" ref="G14:G29" si="9">F14/$E$6</f>
        <v>3.5000000000000003E-2</v>
      </c>
      <c r="H14" s="569">
        <f t="shared" si="3"/>
        <v>0.02</v>
      </c>
      <c r="I14" s="567"/>
      <c r="J14" s="467"/>
      <c r="K14" s="582">
        <f>'Operating Inputs'!$D9*K6</f>
        <v>1152</v>
      </c>
      <c r="L14" s="491">
        <f t="shared" si="4"/>
        <v>0.18</v>
      </c>
      <c r="M14" s="569">
        <f t="shared" si="5"/>
        <v>0.02</v>
      </c>
      <c r="N14" s="570">
        <f t="shared" si="6"/>
        <v>922.17831325301211</v>
      </c>
      <c r="O14" s="468">
        <f>K14*$D$43</f>
        <v>11159.132530120482</v>
      </c>
      <c r="P14" s="571">
        <f t="shared" si="8"/>
        <v>12081.310843373494</v>
      </c>
      <c r="Q14" s="569">
        <f t="shared" si="7"/>
        <v>2.1652777777777781E-2</v>
      </c>
      <c r="R14" s="5"/>
      <c r="S14" s="586" t="s">
        <v>164</v>
      </c>
      <c r="T14" s="634">
        <v>10</v>
      </c>
      <c r="U14" s="631">
        <v>10</v>
      </c>
      <c r="W14" s="50">
        <f t="shared" si="0"/>
        <v>0.375</v>
      </c>
      <c r="X14" s="555">
        <f t="shared" si="1"/>
        <v>2.889529415174573</v>
      </c>
      <c r="Y14" s="555">
        <f t="shared" si="2"/>
        <v>9.4271031006359252</v>
      </c>
      <c r="Z14" s="75"/>
      <c r="AB14" s="63" t="s">
        <v>97</v>
      </c>
      <c r="AC14" s="64">
        <v>2.47105</v>
      </c>
      <c r="AD14" s="48" t="s">
        <v>29</v>
      </c>
    </row>
    <row r="15" spans="2:30" s="48" customFormat="1" ht="16.5" customHeight="1">
      <c r="B15" s="567" t="s">
        <v>11</v>
      </c>
      <c r="C15" s="583"/>
      <c r="D15" s="364"/>
      <c r="E15" s="125"/>
      <c r="F15" s="468">
        <f>('Operating Inputs'!D15*'Operating Inputs'!C42/2000+'Operating Inputs'!C43*'Operating Inputs'!D16+'Operating Inputs'!C44)</f>
        <v>96.125</v>
      </c>
      <c r="G15" s="491">
        <f t="shared" si="9"/>
        <v>8.4394205443371374E-3</v>
      </c>
      <c r="H15" s="569">
        <f t="shared" si="3"/>
        <v>4.8225260253355077E-3</v>
      </c>
      <c r="I15" s="567"/>
      <c r="J15" s="467"/>
      <c r="K15" s="582">
        <f>('Operating Inputs'!D15*'Operating Inputs'!C42/2000+'Operating Inputs'!C43*'Operating Inputs'!D16+'Operating Inputs'!C44)</f>
        <v>96.125</v>
      </c>
      <c r="L15" s="491">
        <f t="shared" si="4"/>
        <v>1.5019531250000001E-2</v>
      </c>
      <c r="M15" s="569">
        <f t="shared" si="5"/>
        <v>1.6688368055555556E-3</v>
      </c>
      <c r="N15" s="570">
        <f t="shared" si="6"/>
        <v>222.36144578313252</v>
      </c>
      <c r="O15" s="468">
        <f>K15*$D$43</f>
        <v>931.13855421686742</v>
      </c>
      <c r="P15" s="571">
        <f t="shared" si="8"/>
        <v>1153.5</v>
      </c>
      <c r="Q15" s="569">
        <f t="shared" si="7"/>
        <v>2.0673649979270317E-3</v>
      </c>
      <c r="R15" s="5"/>
      <c r="S15" s="568" t="s">
        <v>122</v>
      </c>
      <c r="T15" s="635">
        <f>1.1*0.35</f>
        <v>0.38500000000000001</v>
      </c>
      <c r="U15" s="631">
        <f>T16</f>
        <v>1.75</v>
      </c>
      <c r="W15" s="50">
        <f t="shared" si="0"/>
        <v>0.4</v>
      </c>
      <c r="X15" s="555">
        <f t="shared" si="1"/>
        <v>2.7313694334874907</v>
      </c>
      <c r="Y15" s="555">
        <f t="shared" si="2"/>
        <v>8.9632863839830428</v>
      </c>
      <c r="Z15" s="76"/>
      <c r="AA15" s="76"/>
    </row>
    <row r="16" spans="2:30" s="48" customFormat="1" ht="16.5" customHeight="1">
      <c r="B16" s="567" t="s">
        <v>43</v>
      </c>
      <c r="C16" s="583"/>
      <c r="D16" s="364"/>
      <c r="E16" s="125"/>
      <c r="F16" s="468">
        <f>'Capital Inputs'!G40/'Capital Inputs'!D7*'8-Stocking- Hybrid striped bass'!T7/12</f>
        <v>271.91829166666668</v>
      </c>
      <c r="G16" s="491">
        <f t="shared" si="9"/>
        <v>2.3873423324553701E-2</v>
      </c>
      <c r="H16" s="569">
        <f t="shared" si="3"/>
        <v>1.3641956185459259E-2</v>
      </c>
      <c r="I16" s="567"/>
      <c r="J16" s="467"/>
      <c r="K16" s="584">
        <f>('Operating Inputs'!D10*('Capital Inputs'!D6+'Capital Inputs'!D5)+'Capital Inputs'!G40)*U6/12/D43</f>
        <v>1757.6632300995027</v>
      </c>
      <c r="L16" s="491">
        <f t="shared" si="4"/>
        <v>0.27463487970304729</v>
      </c>
      <c r="M16" s="569">
        <f t="shared" si="5"/>
        <v>3.0514986633671921E-2</v>
      </c>
      <c r="N16" s="570">
        <f t="shared" si="6"/>
        <v>629.01580722891561</v>
      </c>
      <c r="O16" s="468">
        <f>K16*$D$43</f>
        <v>17026.039000000001</v>
      </c>
      <c r="P16" s="571">
        <f>SUM(N16:O16)</f>
        <v>17655.054807228917</v>
      </c>
      <c r="Q16" s="569">
        <f t="shared" si="7"/>
        <v>3.1642342735109179E-2</v>
      </c>
      <c r="R16" s="5"/>
      <c r="S16" s="5" t="s">
        <v>255</v>
      </c>
      <c r="T16" s="631">
        <v>1.75</v>
      </c>
      <c r="U16" s="631">
        <v>9</v>
      </c>
      <c r="V16" s="563"/>
      <c r="W16" s="50">
        <f t="shared" si="0"/>
        <v>0.42499999999999999</v>
      </c>
      <c r="X16" s="555">
        <f t="shared" si="1"/>
        <v>2.5918165084694764</v>
      </c>
      <c r="Y16" s="555">
        <f t="shared" si="2"/>
        <v>8.5540363398775572</v>
      </c>
      <c r="AB16" s="66"/>
      <c r="AC16" s="67"/>
      <c r="AD16" s="68"/>
    </row>
    <row r="17" spans="2:36" s="48" customFormat="1" ht="16.5" customHeight="1">
      <c r="B17" s="567" t="s">
        <v>44</v>
      </c>
      <c r="C17" s="583"/>
      <c r="D17" s="364"/>
      <c r="E17" s="125"/>
      <c r="F17" s="468">
        <f>SUM(F18:F21)</f>
        <v>952.875</v>
      </c>
      <c r="G17" s="491">
        <f t="shared" si="9"/>
        <v>8.3658911325724325E-2</v>
      </c>
      <c r="H17" s="569">
        <f t="shared" si="3"/>
        <v>4.7805092186128183E-2</v>
      </c>
      <c r="I17" s="567"/>
      <c r="J17" s="467"/>
      <c r="K17" s="468">
        <f>SUM(K18:K21)</f>
        <v>1275.2291666666667</v>
      </c>
      <c r="L17" s="491">
        <f>K17/$E$6</f>
        <v>0.11196041849575651</v>
      </c>
      <c r="M17" s="569">
        <f t="shared" si="5"/>
        <v>2.2139395254629633E-2</v>
      </c>
      <c r="N17" s="570">
        <f>SUM(N18:N21)</f>
        <v>2204.2409638554218</v>
      </c>
      <c r="O17" s="468">
        <f>SUM(O18:O21)</f>
        <v>12352.822289156626</v>
      </c>
      <c r="P17" s="582">
        <f>SUM(P18:P21)</f>
        <v>14557.063253012046</v>
      </c>
      <c r="Q17" s="569">
        <f t="shared" si="7"/>
        <v>2.6089954956122166E-2</v>
      </c>
      <c r="R17" s="5"/>
      <c r="S17" s="5" t="s">
        <v>116</v>
      </c>
      <c r="T17" s="631">
        <v>3</v>
      </c>
      <c r="U17" s="631">
        <v>0</v>
      </c>
      <c r="W17" s="50">
        <f t="shared" si="0"/>
        <v>0.45</v>
      </c>
      <c r="X17" s="555">
        <f t="shared" si="1"/>
        <v>2.4677694640090198</v>
      </c>
      <c r="Y17" s="555">
        <f t="shared" si="2"/>
        <v>8.1902585228949025</v>
      </c>
      <c r="AB17" s="48" t="s">
        <v>132</v>
      </c>
      <c r="AC17" s="4">
        <v>19.25</v>
      </c>
      <c r="AD17" s="84" t="s">
        <v>133</v>
      </c>
    </row>
    <row r="18" spans="2:36" s="48" customFormat="1" ht="16.5" customHeight="1">
      <c r="B18" s="359" t="s">
        <v>113</v>
      </c>
      <c r="C18" s="350" t="s">
        <v>73</v>
      </c>
      <c r="D18" s="364">
        <f>'Operating Inputs'!D22</f>
        <v>0.15</v>
      </c>
      <c r="E18" s="125">
        <f>'Operating Inputs'!D19*0.7475*T10</f>
        <v>2242.5</v>
      </c>
      <c r="F18" s="133">
        <f>E18*'Operating Inputs'!D22</f>
        <v>336.375</v>
      </c>
      <c r="G18" s="491">
        <f t="shared" si="9"/>
        <v>2.9532484635645301E-2</v>
      </c>
      <c r="H18" s="569">
        <f t="shared" si="3"/>
        <v>1.6875705506083031E-2</v>
      </c>
      <c r="I18" s="336">
        <f>D18</f>
        <v>0.15</v>
      </c>
      <c r="J18" s="142">
        <f>'Operating Inputs'!D19*0.7475*U10</f>
        <v>3363.7500000000005</v>
      </c>
      <c r="K18" s="584">
        <f>J18*'Operating Inputs'!D22</f>
        <v>504.56250000000006</v>
      </c>
      <c r="L18" s="491">
        <f t="shared" ref="L18:L24" si="10">K18/$J$6</f>
        <v>7.8837890625000004E-2</v>
      </c>
      <c r="M18" s="569">
        <f t="shared" si="5"/>
        <v>8.7597656250000006E-3</v>
      </c>
      <c r="N18" s="570">
        <f>F18*$C$43</f>
        <v>778.12048192771078</v>
      </c>
      <c r="O18" s="468">
        <f t="shared" ref="O18:O27" si="11">K18*$D$43</f>
        <v>4887.5692771084341</v>
      </c>
      <c r="P18" s="571">
        <f>SUM(N18:O18)</f>
        <v>5665.689759036145</v>
      </c>
      <c r="Q18" s="569">
        <f t="shared" si="7"/>
        <v>1.0154355177238807E-2</v>
      </c>
      <c r="R18" s="5"/>
      <c r="S18" s="5" t="s">
        <v>228</v>
      </c>
      <c r="T18" s="629"/>
      <c r="U18" s="629">
        <v>500</v>
      </c>
      <c r="W18" s="50">
        <f t="shared" si="0"/>
        <v>0.47499999999999998</v>
      </c>
      <c r="X18" s="555">
        <f t="shared" si="1"/>
        <v>2.3567800031759787</v>
      </c>
      <c r="Y18" s="555">
        <f t="shared" si="2"/>
        <v>7.8647731076998975</v>
      </c>
      <c r="AB18" s="4" t="s">
        <v>135</v>
      </c>
      <c r="AC18" s="4">
        <v>38</v>
      </c>
      <c r="AD18" s="84" t="s">
        <v>134</v>
      </c>
    </row>
    <row r="19" spans="2:36" s="48" customFormat="1" ht="16.5" customHeight="1">
      <c r="B19" s="359" t="s">
        <v>184</v>
      </c>
      <c r="C19" s="350" t="s">
        <v>73</v>
      </c>
      <c r="D19" s="364">
        <f>'Operating Inputs'!D22</f>
        <v>0.15</v>
      </c>
      <c r="E19" s="587">
        <f>T14*'Operating Inputs'!D28*'Operating Inputs'!D29</f>
        <v>2740</v>
      </c>
      <c r="F19" s="133">
        <f>D19*E19</f>
        <v>411</v>
      </c>
      <c r="G19" s="491">
        <f t="shared" si="9"/>
        <v>3.6084284460052678E-2</v>
      </c>
      <c r="H19" s="569">
        <f t="shared" si="3"/>
        <v>2.06195911200301E-2</v>
      </c>
      <c r="I19" s="336">
        <f>D19</f>
        <v>0.15</v>
      </c>
      <c r="J19" s="142">
        <f>U14*'Operating Inputs'!D28*'Operating Inputs'!D29</f>
        <v>2740</v>
      </c>
      <c r="K19" s="584">
        <f>J19*I19</f>
        <v>411</v>
      </c>
      <c r="L19" s="491">
        <f t="shared" si="10"/>
        <v>6.4218750000000005E-2</v>
      </c>
      <c r="M19" s="569">
        <f t="shared" si="5"/>
        <v>7.1354166666666666E-3</v>
      </c>
      <c r="N19" s="570">
        <f>F19*$C$43</f>
        <v>950.74698795180723</v>
      </c>
      <c r="O19" s="468">
        <f t="shared" si="11"/>
        <v>3981.2530120481924</v>
      </c>
      <c r="P19" s="571">
        <f>SUM(N19:O19)</f>
        <v>4932</v>
      </c>
      <c r="Q19" s="569">
        <f t="shared" si="7"/>
        <v>8.8393967661691553E-3</v>
      </c>
      <c r="R19" s="5"/>
      <c r="S19" s="5" t="s">
        <v>210</v>
      </c>
      <c r="T19" s="629">
        <v>250</v>
      </c>
      <c r="U19" s="629">
        <v>2000</v>
      </c>
      <c r="W19" s="50">
        <f t="shared" si="0"/>
        <v>0.5</v>
      </c>
      <c r="X19" s="555">
        <f t="shared" si="1"/>
        <v>2.2568894884262427</v>
      </c>
      <c r="Y19" s="555">
        <f t="shared" si="2"/>
        <v>7.5718362340243912</v>
      </c>
      <c r="AB19" s="66"/>
      <c r="AC19" s="67"/>
      <c r="AD19" s="85"/>
    </row>
    <row r="20" spans="2:36" s="48" customFormat="1" ht="16.5" customHeight="1">
      <c r="B20" s="359" t="s">
        <v>162</v>
      </c>
      <c r="C20" s="350" t="s">
        <v>226</v>
      </c>
      <c r="D20" s="364">
        <f>'Operating Inputs'!D23</f>
        <v>3.5</v>
      </c>
      <c r="E20" s="587">
        <f>'Operating Inputs'!D26*T6/'Capital Inputs'!D7</f>
        <v>25</v>
      </c>
      <c r="F20" s="133">
        <f>D20*E20</f>
        <v>87.5</v>
      </c>
      <c r="G20" s="491">
        <f t="shared" si="9"/>
        <v>7.6821773485513606E-3</v>
      </c>
      <c r="H20" s="585">
        <f t="shared" si="3"/>
        <v>4.3898156277436349E-3</v>
      </c>
      <c r="I20" s="336">
        <f>D20</f>
        <v>3.5</v>
      </c>
      <c r="J20" s="142">
        <f>'Operating Inputs'!D26*U6/'Capital Inputs'!D7</f>
        <v>50</v>
      </c>
      <c r="K20" s="584">
        <f>I20*J20</f>
        <v>175</v>
      </c>
      <c r="L20" s="491">
        <f t="shared" si="10"/>
        <v>2.734375E-2</v>
      </c>
      <c r="M20" s="585">
        <f t="shared" si="5"/>
        <v>3.0381944444444445E-3</v>
      </c>
      <c r="N20" s="570">
        <f>F20*$C$43</f>
        <v>202.40963855421685</v>
      </c>
      <c r="O20" s="468">
        <f t="shared" si="11"/>
        <v>1695.1807228915661</v>
      </c>
      <c r="P20" s="571">
        <f>SUM(N20:O20)</f>
        <v>1897.5903614457829</v>
      </c>
      <c r="Q20" s="585">
        <f t="shared" si="7"/>
        <v>3.4009639303482588E-3</v>
      </c>
      <c r="R20" s="5"/>
      <c r="S20" s="5" t="s">
        <v>211</v>
      </c>
      <c r="T20" s="630">
        <v>150</v>
      </c>
      <c r="U20" s="630">
        <v>500</v>
      </c>
      <c r="W20" s="50">
        <f t="shared" si="0"/>
        <v>0.52500000000000002</v>
      </c>
      <c r="X20" s="555">
        <f t="shared" si="1"/>
        <v>2.1665123560336239</v>
      </c>
      <c r="Y20" s="555">
        <f t="shared" si="2"/>
        <v>7.3067981102227444</v>
      </c>
    </row>
    <row r="21" spans="2:36" s="48" customFormat="1" ht="16.5" customHeight="1">
      <c r="B21" s="359" t="s">
        <v>114</v>
      </c>
      <c r="C21" s="329"/>
      <c r="D21" s="364"/>
      <c r="E21" s="125"/>
      <c r="F21" s="133">
        <f>('Operating Inputs'!D24*'Operating Inputs'!D22 + 'Operating Inputs'!D21)*T6/'Capital Inputs'!D7</f>
        <v>118</v>
      </c>
      <c r="G21" s="491">
        <f t="shared" si="9"/>
        <v>1.0359964881474977E-2</v>
      </c>
      <c r="H21" s="569">
        <f t="shared" si="3"/>
        <v>5.919979932271416E-3</v>
      </c>
      <c r="I21" s="336"/>
      <c r="J21" s="142"/>
      <c r="K21" s="584">
        <f>('Operating Inputs'!D24*'Operating Inputs'!D22*U6 + 'Operating Inputs'!D21)/'Capital Inputs'!D7</f>
        <v>184.66666666666666</v>
      </c>
      <c r="L21" s="491">
        <f t="shared" si="10"/>
        <v>2.8854166666666667E-2</v>
      </c>
      <c r="M21" s="569">
        <f t="shared" si="5"/>
        <v>3.2060185185185182E-3</v>
      </c>
      <c r="N21" s="570">
        <f>F21*$C$43</f>
        <v>272.96385542168673</v>
      </c>
      <c r="O21" s="468">
        <f t="shared" si="11"/>
        <v>1788.8192771084337</v>
      </c>
      <c r="P21" s="571">
        <f t="shared" si="8"/>
        <v>2061.7831325301204</v>
      </c>
      <c r="Q21" s="569">
        <f t="shared" si="7"/>
        <v>3.6952390823659482E-3</v>
      </c>
      <c r="R21" s="5"/>
      <c r="S21" s="312" t="s">
        <v>215</v>
      </c>
      <c r="T21" s="636">
        <v>0.05</v>
      </c>
      <c r="U21" s="636">
        <v>0.1</v>
      </c>
      <c r="W21" s="50">
        <f t="shared" si="0"/>
        <v>0.55000000000000004</v>
      </c>
      <c r="X21" s="555">
        <f t="shared" si="1"/>
        <v>2.0843513265857885</v>
      </c>
      <c r="Y21" s="555">
        <f t="shared" si="2"/>
        <v>7.0658543613121543</v>
      </c>
      <c r="Z21" s="57" t="s">
        <v>126</v>
      </c>
      <c r="AA21" s="57"/>
      <c r="AC21" s="57" t="s">
        <v>139</v>
      </c>
      <c r="AD21" s="57"/>
      <c r="AF21" s="57" t="s">
        <v>126</v>
      </c>
      <c r="AG21" s="57"/>
      <c r="AI21" s="57" t="s">
        <v>139</v>
      </c>
      <c r="AJ21" s="57"/>
    </row>
    <row r="22" spans="2:36" s="48" customFormat="1" ht="16.5" customHeight="1">
      <c r="B22" s="567" t="s">
        <v>112</v>
      </c>
      <c r="C22" s="329"/>
      <c r="D22" s="364">
        <f>'Operating Inputs'!D27</f>
        <v>50</v>
      </c>
      <c r="E22" s="136">
        <f>T17</f>
        <v>3</v>
      </c>
      <c r="F22" s="133">
        <f>D22*E22</f>
        <v>150</v>
      </c>
      <c r="G22" s="491">
        <f t="shared" si="9"/>
        <v>1.3169446883230905E-2</v>
      </c>
      <c r="H22" s="585">
        <f t="shared" si="3"/>
        <v>7.5253982189890881E-3</v>
      </c>
      <c r="I22" s="336">
        <f>D22</f>
        <v>50</v>
      </c>
      <c r="J22" s="136">
        <f>U17</f>
        <v>0</v>
      </c>
      <c r="K22" s="584">
        <f>I22*J22</f>
        <v>0</v>
      </c>
      <c r="L22" s="491">
        <f t="shared" si="10"/>
        <v>0</v>
      </c>
      <c r="M22" s="585">
        <f t="shared" si="5"/>
        <v>0</v>
      </c>
      <c r="N22" s="570"/>
      <c r="O22" s="468">
        <f t="shared" si="11"/>
        <v>0</v>
      </c>
      <c r="P22" s="571">
        <f t="shared" ref="P22:P23" si="12">SUM(N22:O22)</f>
        <v>0</v>
      </c>
      <c r="Q22" s="585">
        <f t="shared" si="7"/>
        <v>0</v>
      </c>
      <c r="R22" s="5"/>
      <c r="S22" s="5"/>
      <c r="T22" s="5"/>
      <c r="U22" s="5"/>
      <c r="W22" s="50">
        <f t="shared" si="0"/>
        <v>0.57499999999999996</v>
      </c>
      <c r="X22" s="555">
        <f t="shared" si="1"/>
        <v>2.0093347344812438</v>
      </c>
      <c r="Y22" s="555">
        <f t="shared" si="2"/>
        <v>6.84586224274162</v>
      </c>
      <c r="Z22" s="57"/>
      <c r="AA22" s="57"/>
      <c r="AC22" s="57"/>
      <c r="AD22" s="57"/>
      <c r="AF22" s="57"/>
      <c r="AG22" s="57"/>
      <c r="AI22" s="57"/>
      <c r="AJ22" s="57"/>
    </row>
    <row r="23" spans="2:36" s="48" customFormat="1" ht="16.5" customHeight="1">
      <c r="B23" s="567" t="s">
        <v>230</v>
      </c>
      <c r="C23" s="329"/>
      <c r="D23" s="364"/>
      <c r="E23" s="136"/>
      <c r="F23" s="133"/>
      <c r="G23" s="491">
        <f t="shared" si="9"/>
        <v>0</v>
      </c>
      <c r="H23" s="585">
        <f t="shared" si="3"/>
        <v>0</v>
      </c>
      <c r="I23" s="336"/>
      <c r="J23" s="136"/>
      <c r="K23" s="584">
        <f>U18/D43</f>
        <v>51.616915422885576</v>
      </c>
      <c r="L23" s="491">
        <f t="shared" si="10"/>
        <v>8.0651430348258717E-3</v>
      </c>
      <c r="M23" s="585">
        <f t="shared" si="5"/>
        <v>8.9612700386954122E-4</v>
      </c>
      <c r="N23" s="570">
        <f>F23*$C$43</f>
        <v>0</v>
      </c>
      <c r="O23" s="468">
        <f t="shared" si="11"/>
        <v>500</v>
      </c>
      <c r="P23" s="571">
        <f t="shared" si="12"/>
        <v>500</v>
      </c>
      <c r="Q23" s="585">
        <f t="shared" si="7"/>
        <v>8.9612700386954122E-4</v>
      </c>
      <c r="R23" s="5"/>
      <c r="S23" s="5"/>
      <c r="T23" s="5"/>
      <c r="U23" s="5"/>
      <c r="V23" s="5"/>
      <c r="W23" s="50">
        <f t="shared" si="0"/>
        <v>0.6</v>
      </c>
      <c r="X23" s="555">
        <f t="shared" si="1"/>
        <v>1.9405695250520771</v>
      </c>
      <c r="Y23" s="555">
        <f t="shared" si="2"/>
        <v>6.6442028007186256</v>
      </c>
      <c r="Z23" s="76" t="s">
        <v>120</v>
      </c>
      <c r="AA23" s="78" t="s">
        <v>148</v>
      </c>
      <c r="AC23" s="76" t="s">
        <v>120</v>
      </c>
      <c r="AD23" s="78" t="s">
        <v>148</v>
      </c>
      <c r="AF23" s="76" t="s">
        <v>231</v>
      </c>
      <c r="AG23" s="79" t="s">
        <v>232</v>
      </c>
      <c r="AI23" s="76" t="s">
        <v>231</v>
      </c>
      <c r="AJ23" s="79" t="s">
        <v>232</v>
      </c>
    </row>
    <row r="24" spans="2:36" s="48" customFormat="1" ht="16.5" customHeight="1">
      <c r="B24" s="567" t="s">
        <v>90</v>
      </c>
      <c r="C24" s="588"/>
      <c r="D24" s="364"/>
      <c r="E24" s="136">
        <f>T11/C43</f>
        <v>432.29166666666669</v>
      </c>
      <c r="F24" s="468">
        <f>'Operating Inputs'!D5*T11/'Capital Inputs'!D7*T6/12</f>
        <v>770.83333333333337</v>
      </c>
      <c r="G24" s="491">
        <f t="shared" si="9"/>
        <v>6.7676324261047707E-2</v>
      </c>
      <c r="H24" s="569">
        <f t="shared" si="3"/>
        <v>3.8672185292027261E-2</v>
      </c>
      <c r="I24" s="567"/>
      <c r="J24" s="142">
        <f>U11/D43</f>
        <v>154.85074626865674</v>
      </c>
      <c r="K24" s="584">
        <f>'Operating Inputs'!D5*U11/'Capital Inputs'!D7</f>
        <v>2312.5</v>
      </c>
      <c r="L24" s="491">
        <f t="shared" si="10"/>
        <v>0.361328125</v>
      </c>
      <c r="M24" s="569">
        <f t="shared" si="5"/>
        <v>4.0147569444444448E-2</v>
      </c>
      <c r="N24" s="570">
        <f>F24*$C$43</f>
        <v>1783.132530120482</v>
      </c>
      <c r="O24" s="468">
        <f t="shared" si="11"/>
        <v>22400.602409638552</v>
      </c>
      <c r="P24" s="571">
        <f t="shared" si="8"/>
        <v>24183.734939759033</v>
      </c>
      <c r="Q24" s="569">
        <f t="shared" si="7"/>
        <v>4.3343395867882807E-2</v>
      </c>
      <c r="R24" s="5"/>
      <c r="V24" s="5"/>
      <c r="W24" s="50">
        <f t="shared" si="0"/>
        <v>0.625</v>
      </c>
      <c r="X24" s="555">
        <f t="shared" si="1"/>
        <v>1.8773055323772441</v>
      </c>
      <c r="Y24" s="555">
        <f t="shared" si="2"/>
        <v>6.4586761140574716</v>
      </c>
      <c r="AA24" s="47">
        <f>G35</f>
        <v>1.4753931083253633</v>
      </c>
      <c r="AD24" s="47">
        <f>L35</f>
        <v>5.484661009086417</v>
      </c>
      <c r="AG24" s="47">
        <f>F36</f>
        <v>867.81653417411144</v>
      </c>
      <c r="AJ24" s="47">
        <f>K36</f>
        <v>20098.169541846932</v>
      </c>
    </row>
    <row r="25" spans="2:36" s="48" customFormat="1" ht="16.5" customHeight="1">
      <c r="B25" s="567" t="s">
        <v>74</v>
      </c>
      <c r="C25" s="588"/>
      <c r="D25" s="342"/>
      <c r="E25" s="136"/>
      <c r="F25" s="468">
        <f>'Operating Inputs'!D11/'Capital Inputs'!D7*T6/12</f>
        <v>100</v>
      </c>
      <c r="G25" s="491">
        <f t="shared" si="9"/>
        <v>8.7796312554872698E-3</v>
      </c>
      <c r="H25" s="569">
        <f t="shared" si="3"/>
        <v>5.0169321459927257E-3</v>
      </c>
      <c r="I25" s="567"/>
      <c r="J25" s="142"/>
      <c r="K25" s="584">
        <f>'Operating Inputs'!D11/'Capital Inputs'!D7*U6/12</f>
        <v>200</v>
      </c>
      <c r="L25" s="491">
        <f>K25/$E$6</f>
        <v>1.755926251097454E-2</v>
      </c>
      <c r="M25" s="569">
        <f t="shared" si="5"/>
        <v>3.472222222222222E-3</v>
      </c>
      <c r="N25" s="570">
        <f>F25*$C$43</f>
        <v>231.32530120481925</v>
      </c>
      <c r="O25" s="468">
        <f t="shared" si="11"/>
        <v>1937.3493975903614</v>
      </c>
      <c r="P25" s="571">
        <f t="shared" si="8"/>
        <v>2168.6746987951806</v>
      </c>
      <c r="Q25" s="569">
        <f t="shared" si="7"/>
        <v>3.88681592039801E-3</v>
      </c>
      <c r="R25" s="5"/>
      <c r="V25" s="5"/>
      <c r="W25" s="50">
        <f t="shared" si="0"/>
        <v>0.65</v>
      </c>
      <c r="X25" s="555">
        <f t="shared" si="1"/>
        <v>1.8189080006773983</v>
      </c>
      <c r="Y25" s="555">
        <f t="shared" si="2"/>
        <v>6.2874207109856375</v>
      </c>
      <c r="Z25" s="80">
        <v>0.1</v>
      </c>
      <c r="AA25" s="62">
        <f t="dataTable" ref="AA25:AA57" dt2D="0" dtr="0" r1="T12" ca="1"/>
        <v>9.8485686094062128</v>
      </c>
      <c r="AC25" s="80">
        <v>0.1</v>
      </c>
      <c r="AD25" s="62">
        <f t="dataTable" ref="AD25:AD57" dt2D="0" dtr="0" r1="U12" ca="1"/>
        <v>29.835038633362782</v>
      </c>
      <c r="AF25" s="81">
        <v>0.5</v>
      </c>
      <c r="AG25" s="62">
        <f t="dataTable" ref="AG25:AG57" dt2D="0" dtr="0" r1="T16"/>
        <v>-12354.994637700889</v>
      </c>
      <c r="AI25" s="81">
        <v>4</v>
      </c>
      <c r="AJ25" s="62">
        <f t="dataTable" ref="AJ25:AJ57" dt2D="0" dtr="0" r1="U16" ca="1"/>
        <v>-7922.630458153064</v>
      </c>
    </row>
    <row r="26" spans="2:36" s="48" customFormat="1" ht="16.5" customHeight="1">
      <c r="B26" s="567" t="s">
        <v>8</v>
      </c>
      <c r="C26" s="588"/>
      <c r="D26" s="589">
        <f>T21</f>
        <v>0.05</v>
      </c>
      <c r="E26" s="141">
        <f>F8</f>
        <v>17672.544038</v>
      </c>
      <c r="F26" s="468">
        <f>D26*E26</f>
        <v>883.62720190000005</v>
      </c>
      <c r="G26" s="491">
        <f t="shared" si="9"/>
        <v>7.757921000000001E-2</v>
      </c>
      <c r="H26" s="569">
        <f t="shared" si="3"/>
        <v>4.4330977142857143E-2</v>
      </c>
      <c r="I26" s="589">
        <f>U21</f>
        <v>0.1</v>
      </c>
      <c r="J26" s="141">
        <f>K8</f>
        <v>55200</v>
      </c>
      <c r="K26" s="582">
        <f>I26*J26</f>
        <v>5520</v>
      </c>
      <c r="L26" s="491">
        <f>K26/$J$6</f>
        <v>0.86250000000000004</v>
      </c>
      <c r="M26" s="569">
        <f t="shared" si="5"/>
        <v>9.583333333333334E-2</v>
      </c>
      <c r="N26" s="570"/>
      <c r="O26" s="468">
        <f t="shared" si="11"/>
        <v>53470.843373493975</v>
      </c>
      <c r="P26" s="571">
        <f>O26</f>
        <v>53470.843373493975</v>
      </c>
      <c r="Q26" s="569">
        <f t="shared" si="7"/>
        <v>9.583333333333334E-2</v>
      </c>
      <c r="R26" s="5"/>
      <c r="V26" s="5"/>
      <c r="W26" s="50">
        <f t="shared" si="0"/>
        <v>0.67500000000000004</v>
      </c>
      <c r="X26" s="555">
        <f t="shared" si="1"/>
        <v>1.7648362120664296</v>
      </c>
      <c r="Y26" s="555">
        <f t="shared" si="2"/>
        <v>6.1288508933265327</v>
      </c>
      <c r="Z26" s="80">
        <v>0.125</v>
      </c>
      <c r="AA26" s="62">
        <v>7.9506488291612207</v>
      </c>
      <c r="AC26" s="80">
        <v>0.125</v>
      </c>
      <c r="AD26" s="62">
        <v>24.26923803352819</v>
      </c>
      <c r="AF26" s="81">
        <v>0.6</v>
      </c>
      <c r="AG26" s="62">
        <v>-11297.169743950886</v>
      </c>
      <c r="AI26" s="81">
        <v>4.1500000000000004</v>
      </c>
      <c r="AJ26" s="62">
        <v>-7082.0064581530605</v>
      </c>
    </row>
    <row r="27" spans="2:36" s="48" customFormat="1" ht="16.5" customHeight="1">
      <c r="B27" s="567" t="s">
        <v>45</v>
      </c>
      <c r="C27" s="588"/>
      <c r="D27" s="342"/>
      <c r="E27" s="125"/>
      <c r="F27" s="546">
        <v>0</v>
      </c>
      <c r="G27" s="491">
        <f t="shared" si="9"/>
        <v>0</v>
      </c>
      <c r="H27" s="569">
        <f t="shared" si="3"/>
        <v>0</v>
      </c>
      <c r="I27" s="567"/>
      <c r="J27" s="467"/>
      <c r="K27" s="628">
        <v>0</v>
      </c>
      <c r="L27" s="166"/>
      <c r="M27" s="569">
        <f t="shared" si="5"/>
        <v>0</v>
      </c>
      <c r="N27" s="570">
        <f>F27*$C$43</f>
        <v>0</v>
      </c>
      <c r="O27" s="468">
        <f t="shared" si="11"/>
        <v>0</v>
      </c>
      <c r="P27" s="571">
        <f>O27</f>
        <v>0</v>
      </c>
      <c r="Q27" s="569">
        <f t="shared" si="7"/>
        <v>0</v>
      </c>
      <c r="R27" s="5"/>
      <c r="V27" s="5"/>
      <c r="W27" s="50">
        <f t="shared" si="0"/>
        <v>0.7</v>
      </c>
      <c r="X27" s="555">
        <f t="shared" si="1"/>
        <v>1.7146266940705304</v>
      </c>
      <c r="Y27" s="555">
        <f t="shared" si="2"/>
        <v>5.9816074912145059</v>
      </c>
      <c r="Z27" s="80">
        <v>0.15</v>
      </c>
      <c r="AA27" s="62">
        <v>6.6853689756645593</v>
      </c>
      <c r="AC27" s="80">
        <v>0.15</v>
      </c>
      <c r="AD27" s="62">
        <v>20.55870430030512</v>
      </c>
      <c r="AF27" s="81">
        <v>0.7</v>
      </c>
      <c r="AG27" s="62">
        <v>-10239.344850200887</v>
      </c>
      <c r="AI27" s="81">
        <v>4.3</v>
      </c>
      <c r="AJ27" s="62">
        <v>-6241.3824581530644</v>
      </c>
    </row>
    <row r="28" spans="2:36" s="48" customFormat="1" ht="16.5" customHeight="1">
      <c r="B28" s="567" t="s">
        <v>46</v>
      </c>
      <c r="C28" s="583" t="s">
        <v>14</v>
      </c>
      <c r="D28" s="590">
        <f>'Operating Inputs'!D12</f>
        <v>7.2499999999999995E-2</v>
      </c>
      <c r="E28" s="125"/>
      <c r="F28" s="475">
        <f>SUM(F10:F17,F22:F27)*(1-'Operating Inputs'!D13)*D28*T6/12</f>
        <v>269.74764748756252</v>
      </c>
      <c r="G28" s="498">
        <f t="shared" si="9"/>
        <v>2.3682848769759658E-2</v>
      </c>
      <c r="H28" s="572">
        <f t="shared" si="3"/>
        <v>1.3533056439862662E-2</v>
      </c>
      <c r="I28" s="591">
        <f>D28</f>
        <v>7.2499999999999995E-2</v>
      </c>
      <c r="J28" s="467"/>
      <c r="K28" s="475">
        <f>SUM(K10:K17,K22:K27)*(1-'Operating Inputs'!D13)*I28*U6/12</f>
        <v>1123.0078960637256</v>
      </c>
      <c r="L28" s="498">
        <f>K28/$J$6</f>
        <v>0.17546998375995712</v>
      </c>
      <c r="M28" s="572">
        <f t="shared" si="5"/>
        <v>1.9496664862217458E-2</v>
      </c>
      <c r="N28" s="574"/>
      <c r="O28" s="475"/>
      <c r="P28" s="575">
        <f>SUM(P10:P17,P22:P27)*(1-'Operating Inputs'!D13)*D28*(T6+U6)/12</f>
        <v>15109.796380937993</v>
      </c>
      <c r="Q28" s="572">
        <f t="shared" si="7"/>
        <v>2.7080593119857603E-2</v>
      </c>
      <c r="R28" s="5"/>
      <c r="V28" s="5"/>
      <c r="W28" s="50">
        <f t="shared" si="0"/>
        <v>0.72499999999999998</v>
      </c>
      <c r="X28" s="555">
        <f t="shared" si="1"/>
        <v>1.6678799014536587</v>
      </c>
      <c r="Y28" s="555">
        <f t="shared" si="2"/>
        <v>5.8445188064895159</v>
      </c>
      <c r="Z28" s="80">
        <v>0.17499999999999999</v>
      </c>
      <c r="AA28" s="62">
        <v>5.7815976517383714</v>
      </c>
      <c r="AC28" s="80">
        <v>0.17499999999999999</v>
      </c>
      <c r="AD28" s="62">
        <v>17.908323062288645</v>
      </c>
      <c r="AF28" s="81">
        <v>0.8</v>
      </c>
      <c r="AG28" s="62">
        <v>-9181.5199564508875</v>
      </c>
      <c r="AI28" s="81">
        <v>4.45</v>
      </c>
      <c r="AJ28" s="62">
        <v>-5400.7584581530646</v>
      </c>
    </row>
    <row r="29" spans="2:36" s="48" customFormat="1" ht="16.5" customHeight="1">
      <c r="B29" s="592" t="s">
        <v>47</v>
      </c>
      <c r="C29" s="593"/>
      <c r="D29" s="342"/>
      <c r="E29" s="125"/>
      <c r="F29" s="501">
        <f>SUM(F10:F17,F22:F28)</f>
        <v>15152.376474387564</v>
      </c>
      <c r="G29" s="502">
        <f t="shared" si="9"/>
        <v>1.3303227808944305</v>
      </c>
      <c r="H29" s="578">
        <f t="shared" si="3"/>
        <v>0.76018444622538883</v>
      </c>
      <c r="I29" s="580"/>
      <c r="J29" s="503"/>
      <c r="K29" s="501">
        <f>SUM(K10:K17,K22:K28)</f>
        <v>32102.536063338917</v>
      </c>
      <c r="L29" s="352">
        <f>K29/$J$6</f>
        <v>5.0160212598967062</v>
      </c>
      <c r="M29" s="578">
        <f t="shared" si="5"/>
        <v>0.55733569554407847</v>
      </c>
      <c r="N29" s="594">
        <f>SUM(N10:N17,N22:N28)</f>
        <v>32036.244722891563</v>
      </c>
      <c r="O29" s="501">
        <f>SUM(O10:O17,O22:O28)</f>
        <v>245845.068029991</v>
      </c>
      <c r="P29" s="501">
        <f>SUM(P10:P17,P22:P28)</f>
        <v>292991.10913382057</v>
      </c>
      <c r="Q29" s="578">
        <f t="shared" si="7"/>
        <v>0.52511448957700879</v>
      </c>
      <c r="R29" s="5"/>
      <c r="V29" s="5"/>
      <c r="W29" s="50">
        <f t="shared" si="0"/>
        <v>0.75</v>
      </c>
      <c r="X29" s="555">
        <f t="shared" si="1"/>
        <v>1.6242495616779118</v>
      </c>
      <c r="Y29" s="555">
        <f t="shared" si="2"/>
        <v>5.7165693674128581</v>
      </c>
      <c r="Z29" s="80">
        <v>0.2</v>
      </c>
      <c r="AA29" s="62">
        <v>5.1037691587937317</v>
      </c>
      <c r="AC29" s="80">
        <v>0.2</v>
      </c>
      <c r="AD29" s="62">
        <v>15.920537133776291</v>
      </c>
      <c r="AF29" s="81">
        <v>0.9</v>
      </c>
      <c r="AG29" s="62">
        <v>-8123.6950627008882</v>
      </c>
      <c r="AI29" s="81">
        <v>4.5999999999999996</v>
      </c>
      <c r="AJ29" s="62">
        <v>-4560.1344581530684</v>
      </c>
    </row>
    <row r="30" spans="2:36" s="48" customFormat="1" ht="16.5" customHeight="1">
      <c r="B30" s="580" t="s">
        <v>48</v>
      </c>
      <c r="C30" s="583"/>
      <c r="D30" s="342"/>
      <c r="E30" s="125"/>
      <c r="F30" s="468"/>
      <c r="G30" s="491"/>
      <c r="H30" s="569"/>
      <c r="I30" s="567"/>
      <c r="J30" s="467"/>
      <c r="K30" s="133"/>
      <c r="L30" s="166"/>
      <c r="M30" s="569"/>
      <c r="N30" s="570"/>
      <c r="O30" s="468"/>
      <c r="P30" s="579"/>
      <c r="Q30" s="569"/>
      <c r="R30" s="5"/>
      <c r="V30" s="5"/>
      <c r="W30" s="50">
        <f t="shared" si="0"/>
        <v>0.77500000000000002</v>
      </c>
      <c r="X30" s="555">
        <f t="shared" si="1"/>
        <v>1.5834340825328579</v>
      </c>
      <c r="Y30" s="555">
        <f t="shared" si="2"/>
        <v>5.5968747308572757</v>
      </c>
      <c r="Z30" s="80">
        <v>0.22500000000000001</v>
      </c>
      <c r="AA30" s="62">
        <v>4.5765692198367889</v>
      </c>
      <c r="AC30" s="80">
        <v>0.22500000000000001</v>
      </c>
      <c r="AD30" s="62">
        <v>14.374481411600012</v>
      </c>
      <c r="AF30" s="81">
        <v>1</v>
      </c>
      <c r="AG30" s="62">
        <v>-7065.8701689508889</v>
      </c>
      <c r="AI30" s="81">
        <v>4.75</v>
      </c>
      <c r="AJ30" s="62">
        <v>-3719.510458153065</v>
      </c>
    </row>
    <row r="31" spans="2:36" s="48" customFormat="1" ht="16.5" customHeight="1">
      <c r="B31" s="567" t="s">
        <v>25</v>
      </c>
      <c r="C31" s="583" t="s">
        <v>81</v>
      </c>
      <c r="D31" s="595"/>
      <c r="E31" s="125"/>
      <c r="F31" s="468">
        <f>N31/$C$43</f>
        <v>180.4076640625</v>
      </c>
      <c r="G31" s="491">
        <f t="shared" ref="G31:G36" si="13">F31/$E$6</f>
        <v>1.5839127661325725E-2</v>
      </c>
      <c r="H31" s="569">
        <f t="shared" ref="H31:H36" si="14">F31/$F$6</f>
        <v>9.050930092186129E-3</v>
      </c>
      <c r="I31" s="595"/>
      <c r="J31" s="125"/>
      <c r="K31" s="468">
        <f>O31/$D$43</f>
        <v>180.4076640625</v>
      </c>
      <c r="L31" s="491">
        <f t="shared" ref="L31:L36" si="15">K31/$J$6</f>
        <v>2.8188697509765624E-2</v>
      </c>
      <c r="M31" s="569">
        <f t="shared" ref="M31:M36" si="16">K31/$K$6</f>
        <v>3.1320775010850693E-3</v>
      </c>
      <c r="N31" s="570">
        <f>$P31*C$43/$E$43</f>
        <v>417.32857228915663</v>
      </c>
      <c r="O31" s="468">
        <f>$P31*D$43/$E$43</f>
        <v>1747.5633964608435</v>
      </c>
      <c r="P31" s="571">
        <f>'Operating Inputs'!D31*'Capital Inputs'!K40</f>
        <v>2164.8919687500002</v>
      </c>
      <c r="Q31" s="569">
        <f t="shared" ref="Q31:Q36" si="17">P31/$P$6</f>
        <v>3.8800363073143405E-3</v>
      </c>
      <c r="R31" s="5"/>
      <c r="V31" s="5"/>
      <c r="W31" s="50">
        <f t="shared" si="0"/>
        <v>0.8</v>
      </c>
      <c r="X31" s="555">
        <f t="shared" si="1"/>
        <v>1.5451695708343702</v>
      </c>
      <c r="Y31" s="555">
        <f t="shared" si="2"/>
        <v>5.484661009086417</v>
      </c>
      <c r="Z31" s="80">
        <v>0.25</v>
      </c>
      <c r="AA31" s="62">
        <v>4.1548092686712357</v>
      </c>
      <c r="AC31" s="80">
        <v>0.25</v>
      </c>
      <c r="AD31" s="62">
        <v>13.13763683385899</v>
      </c>
      <c r="AF31" s="81">
        <v>1.1000000000000001</v>
      </c>
      <c r="AG31" s="62">
        <v>-6008.0452752008841</v>
      </c>
      <c r="AI31" s="81">
        <v>4.9000000000000004</v>
      </c>
      <c r="AJ31" s="62">
        <v>-2878.8864581530615</v>
      </c>
    </row>
    <row r="32" spans="2:36" s="48" customFormat="1" ht="16.5" customHeight="1">
      <c r="B32" s="567" t="s">
        <v>49</v>
      </c>
      <c r="C32" s="583" t="s">
        <v>81</v>
      </c>
      <c r="D32" s="595"/>
      <c r="E32" s="125"/>
      <c r="F32" s="468">
        <f>N32/$C$43</f>
        <v>125.00000000000001</v>
      </c>
      <c r="G32" s="491">
        <f t="shared" si="13"/>
        <v>1.0974539069359088E-2</v>
      </c>
      <c r="H32" s="569">
        <f t="shared" si="14"/>
        <v>6.2711651824909074E-3</v>
      </c>
      <c r="I32" s="595"/>
      <c r="J32" s="125"/>
      <c r="K32" s="468">
        <f>O32/$D$43</f>
        <v>125</v>
      </c>
      <c r="L32" s="491">
        <f t="shared" si="15"/>
        <v>1.953125E-2</v>
      </c>
      <c r="M32" s="569">
        <f t="shared" si="16"/>
        <v>2.170138888888889E-3</v>
      </c>
      <c r="N32" s="570">
        <f>$P32*C$43/$E$43</f>
        <v>289.15662650602411</v>
      </c>
      <c r="O32" s="468">
        <f>$P32*D$43/$E$43</f>
        <v>1210.8433734939758</v>
      </c>
      <c r="P32" s="571">
        <f>'Operating Inputs'!D32</f>
        <v>1500</v>
      </c>
      <c r="Q32" s="569">
        <f t="shared" si="17"/>
        <v>2.6883810116086239E-3</v>
      </c>
      <c r="R32" s="5"/>
      <c r="V32" s="5"/>
      <c r="W32" s="50">
        <f t="shared" si="0"/>
        <v>0.82499999999999996</v>
      </c>
      <c r="X32" s="555">
        <f t="shared" si="1"/>
        <v>1.5092241204509425</v>
      </c>
      <c r="Y32" s="555">
        <f t="shared" si="2"/>
        <v>5.3792481189380341</v>
      </c>
      <c r="Z32" s="80">
        <v>0.27500000000000002</v>
      </c>
      <c r="AA32" s="62">
        <v>3.8097329449903277</v>
      </c>
      <c r="AC32" s="80">
        <v>0.27500000000000002</v>
      </c>
      <c r="AD32" s="62">
        <v>12.125673088434514</v>
      </c>
      <c r="AF32" s="81">
        <v>1.2</v>
      </c>
      <c r="AG32" s="62">
        <v>-4950.2203814508903</v>
      </c>
      <c r="AI32" s="81">
        <v>5.05</v>
      </c>
      <c r="AJ32" s="62">
        <v>-2038.2624581530654</v>
      </c>
    </row>
    <row r="33" spans="2:36" s="48" customFormat="1" ht="16.5" customHeight="1">
      <c r="B33" s="567" t="s">
        <v>108</v>
      </c>
      <c r="C33" s="588"/>
      <c r="D33" s="590">
        <f>'Operating Inputs'!D34</f>
        <v>7.2499999999999995E-2</v>
      </c>
      <c r="E33" s="125"/>
      <c r="F33" s="475">
        <f>'Capital Inputs'!$L43/'Capital Inputs'!D7*$T6/12</f>
        <v>1346.943365375824</v>
      </c>
      <c r="G33" s="498">
        <f t="shared" si="13"/>
        <v>0.11825666070024794</v>
      </c>
      <c r="H33" s="572">
        <f t="shared" si="14"/>
        <v>6.7575234685855967E-2</v>
      </c>
      <c r="I33" s="590">
        <f>'Operating Inputs'!D34</f>
        <v>7.2499999999999995E-2</v>
      </c>
      <c r="J33" s="125"/>
      <c r="K33" s="475">
        <f>'Capital Inputs'!$L43/'Capital Inputs'!D7*$U6/12</f>
        <v>2693.886730751648</v>
      </c>
      <c r="L33" s="498">
        <f t="shared" si="15"/>
        <v>0.42091980167994497</v>
      </c>
      <c r="M33" s="572">
        <f t="shared" si="16"/>
        <v>4.6768866853327221E-2</v>
      </c>
      <c r="N33" s="574">
        <f t="shared" ref="N33:N35" si="18">F33*$C$43</f>
        <v>3115.8207970139542</v>
      </c>
      <c r="O33" s="475">
        <f t="shared" ref="O33:O35" si="19">K33*$D$43</f>
        <v>26094.999174991866</v>
      </c>
      <c r="P33" s="575">
        <f t="shared" si="8"/>
        <v>29210.819972005822</v>
      </c>
      <c r="Q33" s="572">
        <f t="shared" si="17"/>
        <v>5.2353209164172271E-2</v>
      </c>
      <c r="R33" s="5"/>
      <c r="V33" s="5"/>
      <c r="W33" s="50">
        <f t="shared" si="0"/>
        <v>0.85</v>
      </c>
      <c r="X33" s="555">
        <f t="shared" si="1"/>
        <v>1.4753931083253633</v>
      </c>
      <c r="Y33" s="555">
        <f t="shared" si="2"/>
        <v>5.2800359870336742</v>
      </c>
      <c r="Z33" s="80">
        <v>0.3</v>
      </c>
      <c r="AA33" s="62">
        <v>3.5221693419229041</v>
      </c>
      <c r="AC33" s="80">
        <v>0.3</v>
      </c>
      <c r="AD33" s="62">
        <v>11.282369967247458</v>
      </c>
      <c r="AF33" s="81">
        <v>1.3</v>
      </c>
      <c r="AG33" s="62">
        <v>-3892.3954877008873</v>
      </c>
      <c r="AI33" s="81">
        <v>5.2</v>
      </c>
      <c r="AJ33" s="62">
        <v>-1197.6384581530619</v>
      </c>
    </row>
    <row r="34" spans="2:36" s="48" customFormat="1" ht="16.5" customHeight="1">
      <c r="B34" s="592" t="s">
        <v>50</v>
      </c>
      <c r="C34" s="596"/>
      <c r="D34" s="342"/>
      <c r="E34" s="125"/>
      <c r="F34" s="501">
        <f>SUM(F31:F33)</f>
        <v>1652.3510294383241</v>
      </c>
      <c r="G34" s="502">
        <f t="shared" si="13"/>
        <v>0.14507032743093276</v>
      </c>
      <c r="H34" s="578">
        <f t="shared" si="14"/>
        <v>8.2897329960533006E-2</v>
      </c>
      <c r="I34" s="342"/>
      <c r="J34" s="125"/>
      <c r="K34" s="501">
        <f>SUM(K31:K33)</f>
        <v>2999.2943948141478</v>
      </c>
      <c r="L34" s="502">
        <f t="shared" si="15"/>
        <v>0.46863974918971057</v>
      </c>
      <c r="M34" s="578">
        <f t="shared" si="16"/>
        <v>5.2071083243301175E-2</v>
      </c>
      <c r="N34" s="597">
        <f t="shared" si="18"/>
        <v>3822.3059958091349</v>
      </c>
      <c r="O34" s="481">
        <f t="shared" si="19"/>
        <v>29053.405944946684</v>
      </c>
      <c r="P34" s="579">
        <f t="shared" si="8"/>
        <v>32875.71194075582</v>
      </c>
      <c r="Q34" s="578">
        <f t="shared" si="17"/>
        <v>5.8921626483095228E-2</v>
      </c>
      <c r="R34" s="5"/>
      <c r="V34" s="5"/>
      <c r="W34" s="50">
        <f t="shared" si="0"/>
        <v>0.875</v>
      </c>
      <c r="X34" s="555">
        <f t="shared" si="1"/>
        <v>1.4434952968926742</v>
      </c>
      <c r="Y34" s="555">
        <f t="shared" si="2"/>
        <v>5.1864931198095636</v>
      </c>
      <c r="Z34" s="80">
        <v>0.32500000000000001</v>
      </c>
      <c r="AA34" s="62">
        <v>3.2788462931735465</v>
      </c>
      <c r="AC34" s="80">
        <v>0.32500000000000001</v>
      </c>
      <c r="AD34" s="62">
        <v>10.568805787781484</v>
      </c>
      <c r="AF34" s="81">
        <v>1.4</v>
      </c>
      <c r="AG34" s="62">
        <v>-2834.5705939508898</v>
      </c>
      <c r="AI34" s="81">
        <v>5.35</v>
      </c>
      <c r="AJ34" s="62">
        <v>-357.01445815306215</v>
      </c>
    </row>
    <row r="35" spans="2:36" s="48" customFormat="1" ht="16.5" customHeight="1">
      <c r="B35" s="598" t="s">
        <v>51</v>
      </c>
      <c r="C35" s="599"/>
      <c r="D35" s="363"/>
      <c r="E35" s="134"/>
      <c r="F35" s="600">
        <f>SUM(F34,F29)</f>
        <v>16804.727503825889</v>
      </c>
      <c r="G35" s="601">
        <f t="shared" si="13"/>
        <v>1.4753931083253633</v>
      </c>
      <c r="H35" s="602">
        <f t="shared" si="14"/>
        <v>0.84308177618592195</v>
      </c>
      <c r="I35" s="603"/>
      <c r="J35" s="604"/>
      <c r="K35" s="600">
        <f>SUM(K34,K29)</f>
        <v>35101.830458153068</v>
      </c>
      <c r="L35" s="601">
        <f>K35/$J$6</f>
        <v>5.484661009086417</v>
      </c>
      <c r="M35" s="602">
        <f t="shared" si="16"/>
        <v>0.6094067787873797</v>
      </c>
      <c r="N35" s="605">
        <f t="shared" si="18"/>
        <v>38873.58651487434</v>
      </c>
      <c r="O35" s="600">
        <f t="shared" si="19"/>
        <v>340022.55046210921</v>
      </c>
      <c r="P35" s="606">
        <f>SUM(P29,P34)</f>
        <v>325866.82107457641</v>
      </c>
      <c r="Q35" s="602">
        <f t="shared" si="17"/>
        <v>0.58403611606010408</v>
      </c>
      <c r="R35" s="5"/>
      <c r="V35" s="5"/>
      <c r="W35" s="607">
        <f t="shared" si="0"/>
        <v>0.9</v>
      </c>
      <c r="X35" s="608">
        <f t="shared" si="1"/>
        <v>1.413369586095135</v>
      </c>
      <c r="Y35" s="608">
        <f t="shared" si="2"/>
        <v>5.0981470785423477</v>
      </c>
      <c r="Z35" s="80">
        <v>0.35</v>
      </c>
      <c r="AA35" s="62">
        <v>3.070283679959811</v>
      </c>
      <c r="AC35" s="80">
        <v>0.35</v>
      </c>
      <c r="AD35" s="62">
        <v>9.9571793482392206</v>
      </c>
      <c r="AF35" s="81">
        <v>1.5</v>
      </c>
      <c r="AG35" s="62">
        <v>-1776.7457002008887</v>
      </c>
      <c r="AI35" s="81">
        <v>5.5</v>
      </c>
      <c r="AJ35" s="62">
        <v>483.60954184693401</v>
      </c>
    </row>
    <row r="36" spans="2:36" s="48" customFormat="1" ht="16.5" customHeight="1">
      <c r="B36" s="609" t="s">
        <v>121</v>
      </c>
      <c r="C36" s="610"/>
      <c r="D36" s="354"/>
      <c r="E36" s="129"/>
      <c r="F36" s="611">
        <f>F8-F35</f>
        <v>867.81653417411144</v>
      </c>
      <c r="G36" s="612">
        <f t="shared" si="13"/>
        <v>7.6191091674636655E-2</v>
      </c>
      <c r="H36" s="613">
        <f t="shared" si="14"/>
        <v>4.3537766671220945E-2</v>
      </c>
      <c r="I36" s="614"/>
      <c r="J36" s="615"/>
      <c r="K36" s="611">
        <f>K8-K35</f>
        <v>20098.169541846932</v>
      </c>
      <c r="L36" s="612">
        <f t="shared" si="15"/>
        <v>3.140338990913583</v>
      </c>
      <c r="M36" s="613">
        <f t="shared" si="16"/>
        <v>0.34892655454595367</v>
      </c>
      <c r="N36" s="616"/>
      <c r="O36" s="611"/>
      <c r="P36" s="617">
        <f>P8-P35</f>
        <v>208841.61266036326</v>
      </c>
      <c r="Q36" s="613">
        <f t="shared" si="17"/>
        <v>0.37429721727322918</v>
      </c>
      <c r="R36" s="5"/>
      <c r="V36" s="5"/>
      <c r="W36" s="5"/>
      <c r="X36" s="5"/>
      <c r="Y36" s="5"/>
      <c r="Z36" s="80">
        <v>0.375</v>
      </c>
      <c r="AA36" s="62">
        <v>2.889529415174573</v>
      </c>
      <c r="AC36" s="80">
        <v>0.375</v>
      </c>
      <c r="AD36" s="62">
        <v>9.4271031006359252</v>
      </c>
      <c r="AF36" s="81">
        <v>1.6</v>
      </c>
      <c r="AG36" s="62">
        <v>-718.92080645088572</v>
      </c>
      <c r="AI36" s="81">
        <v>5.65</v>
      </c>
      <c r="AJ36" s="62">
        <v>1324.2335418469338</v>
      </c>
    </row>
    <row r="37" spans="2:36" s="48" customFormat="1" ht="16.5" customHeight="1">
      <c r="B37" s="618"/>
      <c r="C37" s="618"/>
      <c r="D37" s="125"/>
      <c r="E37" s="125"/>
      <c r="F37" s="125"/>
      <c r="G37" s="125"/>
      <c r="H37" s="125"/>
      <c r="I37" s="125"/>
      <c r="J37" s="125"/>
      <c r="K37" s="125"/>
      <c r="L37" s="125"/>
      <c r="M37" s="125"/>
      <c r="P37" s="125"/>
      <c r="Q37" s="125"/>
      <c r="R37" s="5"/>
      <c r="V37" s="5"/>
      <c r="W37" s="5"/>
      <c r="X37" s="5"/>
      <c r="Y37" s="5"/>
      <c r="Z37" s="80">
        <v>0.4</v>
      </c>
      <c r="AA37" s="62">
        <v>2.7313694334874907</v>
      </c>
      <c r="AC37" s="80">
        <v>0.4</v>
      </c>
      <c r="AD37" s="62">
        <v>8.9632863839830428</v>
      </c>
      <c r="AF37" s="81">
        <v>1.7</v>
      </c>
      <c r="AG37" s="62">
        <v>338.90408729910996</v>
      </c>
      <c r="AI37" s="81">
        <v>5.8</v>
      </c>
      <c r="AJ37" s="62">
        <v>2164.8575418469336</v>
      </c>
    </row>
    <row r="38" spans="2:36" s="48" customFormat="1" ht="16.5" customHeight="1">
      <c r="B38" s="619" t="s">
        <v>326</v>
      </c>
      <c r="C38" s="620" cm="1">
        <f t="array" ref="C38">IFERROR(INDEX(_xlfn._xlws.FILTER(B69:B78, F65:F74&gt;0), 1),"&gt;10 years")</f>
        <v>2</v>
      </c>
      <c r="D38" s="125"/>
      <c r="E38" s="125"/>
      <c r="F38" s="618"/>
      <c r="G38" s="125"/>
      <c r="H38" s="125"/>
      <c r="I38" s="125"/>
      <c r="J38" s="125"/>
      <c r="K38" s="125"/>
      <c r="L38" s="125"/>
      <c r="M38" s="125"/>
      <c r="P38" s="125"/>
      <c r="Q38" s="125"/>
      <c r="R38" s="521"/>
      <c r="V38" s="5"/>
      <c r="W38" s="5"/>
      <c r="X38" s="5"/>
      <c r="Y38" s="5"/>
      <c r="Z38" s="80">
        <v>0.42499999999999999</v>
      </c>
      <c r="AA38" s="62">
        <v>2.5918165084694764</v>
      </c>
      <c r="AC38" s="80">
        <v>0.42499999999999999</v>
      </c>
      <c r="AD38" s="62">
        <v>8.5540363398775572</v>
      </c>
      <c r="AF38" s="81">
        <v>1.8</v>
      </c>
      <c r="AG38" s="62">
        <v>1396.7289810491129</v>
      </c>
      <c r="AI38" s="81">
        <v>5.95</v>
      </c>
      <c r="AJ38" s="62">
        <v>3005.481541846937</v>
      </c>
    </row>
    <row r="39" spans="2:36" s="48" customFormat="1" ht="16.5" customHeight="1">
      <c r="B39" s="621" t="s">
        <v>327</v>
      </c>
      <c r="C39" s="622">
        <f>IFERROR(IRR(E68:E78),"High loss")</f>
        <v>0.55894695471471167</v>
      </c>
      <c r="D39" s="125"/>
      <c r="E39" s="125"/>
      <c r="F39" s="125"/>
      <c r="G39" s="125"/>
      <c r="H39" s="125"/>
      <c r="I39" s="125"/>
      <c r="J39" s="125"/>
      <c r="K39" s="125"/>
      <c r="L39" s="125"/>
      <c r="M39" s="125"/>
      <c r="P39" s="125"/>
      <c r="Q39" s="125"/>
      <c r="R39" s="523"/>
      <c r="V39" s="5"/>
      <c r="W39" s="5"/>
      <c r="X39" s="5"/>
      <c r="Y39" s="5"/>
      <c r="Z39" s="80">
        <v>0.45</v>
      </c>
      <c r="AA39" s="62">
        <v>2.4677694640090198</v>
      </c>
      <c r="AC39" s="80">
        <v>0.45</v>
      </c>
      <c r="AD39" s="62">
        <v>8.1902585228949025</v>
      </c>
      <c r="AF39" s="81">
        <v>1.9</v>
      </c>
      <c r="AG39" s="62">
        <v>2454.5538747991122</v>
      </c>
      <c r="AI39" s="81">
        <v>6.1</v>
      </c>
      <c r="AJ39" s="62">
        <v>3846.1055418469332</v>
      </c>
    </row>
    <row r="40" spans="2:36" s="48" customFormat="1" ht="16.5" customHeight="1">
      <c r="B40" s="623" t="str">
        <f>"NPV at " &amp; 100*D33 &amp; " % in 10 years"</f>
        <v>NPV at 7.25 % in 10 years</v>
      </c>
      <c r="C40" s="624">
        <f>NPV(D33,E68:E78)</f>
        <v>1272112.3970181171</v>
      </c>
      <c r="D40" s="125"/>
      <c r="E40" s="125"/>
      <c r="F40" s="125"/>
      <c r="G40" s="125"/>
      <c r="H40" s="125"/>
      <c r="I40" s="125"/>
      <c r="J40" s="125"/>
      <c r="K40" s="125"/>
      <c r="L40" s="125"/>
      <c r="M40" s="125"/>
      <c r="N40" s="125"/>
      <c r="O40" s="125"/>
      <c r="P40" s="125"/>
      <c r="Q40" s="125"/>
      <c r="R40" s="5"/>
      <c r="V40" s="5"/>
      <c r="W40" s="5"/>
      <c r="X40" s="5"/>
      <c r="Y40" s="5"/>
      <c r="Z40" s="80">
        <v>0.47499999999999998</v>
      </c>
      <c r="AA40" s="62">
        <v>2.3567800031759787</v>
      </c>
      <c r="AC40" s="80">
        <v>0.47499999999999998</v>
      </c>
      <c r="AD40" s="62">
        <v>7.8647731076998975</v>
      </c>
      <c r="AF40" s="81">
        <v>2</v>
      </c>
      <c r="AG40" s="62">
        <v>3512.3787685491116</v>
      </c>
      <c r="AI40" s="81">
        <v>6.2500000000000098</v>
      </c>
      <c r="AJ40" s="62">
        <v>4686.7295418469948</v>
      </c>
    </row>
    <row r="41" spans="2:36" s="48" customFormat="1" ht="16.5" customHeight="1">
      <c r="B41" s="125"/>
      <c r="C41" s="125"/>
      <c r="D41" s="125"/>
      <c r="E41" s="125"/>
      <c r="F41" s="260"/>
      <c r="G41" s="260"/>
      <c r="H41" s="260"/>
      <c r="I41" s="261"/>
      <c r="J41" s="261"/>
      <c r="K41" s="625"/>
      <c r="L41" s="625"/>
      <c r="M41" s="260"/>
      <c r="N41" s="626">
        <f>F8</f>
        <v>17672.544038</v>
      </c>
      <c r="O41" s="626"/>
      <c r="P41" s="626"/>
      <c r="Q41" s="626"/>
      <c r="R41" s="5"/>
      <c r="V41" s="5"/>
      <c r="W41" s="5"/>
      <c r="X41" s="5"/>
      <c r="Y41" s="5"/>
      <c r="Z41" s="80">
        <v>0.5</v>
      </c>
      <c r="AA41" s="62">
        <v>2.2568894884262427</v>
      </c>
      <c r="AC41" s="80">
        <v>0.5</v>
      </c>
      <c r="AD41" s="62">
        <v>7.5718362340243912</v>
      </c>
      <c r="AF41" s="81">
        <v>2.1</v>
      </c>
      <c r="AG41" s="62">
        <v>4570.2036622991145</v>
      </c>
      <c r="AI41" s="81">
        <v>6.4000000000000101</v>
      </c>
      <c r="AJ41" s="62">
        <v>5527.353541846991</v>
      </c>
    </row>
    <row r="42" spans="2:36" s="48" customFormat="1" ht="35.25" customHeight="1">
      <c r="B42" s="519"/>
      <c r="C42" s="627" t="s">
        <v>126</v>
      </c>
      <c r="D42" s="627" t="s">
        <v>127</v>
      </c>
      <c r="E42" s="627" t="s">
        <v>151</v>
      </c>
      <c r="F42" s="125"/>
      <c r="G42" s="125"/>
      <c r="H42" s="125"/>
      <c r="I42" s="125"/>
      <c r="J42" s="125"/>
      <c r="K42" s="125"/>
      <c r="L42" s="625"/>
      <c r="M42" s="125"/>
      <c r="N42" s="125"/>
      <c r="O42" s="125"/>
      <c r="P42" s="125"/>
      <c r="Q42" s="125"/>
      <c r="R42" s="5"/>
      <c r="V42" s="5"/>
      <c r="W42" s="5"/>
      <c r="X42" s="5"/>
      <c r="Y42" s="5"/>
      <c r="Z42" s="80">
        <v>0.52500000000000002</v>
      </c>
      <c r="AA42" s="62">
        <v>2.1665123560336239</v>
      </c>
      <c r="AC42" s="80">
        <v>0.52500000000000002</v>
      </c>
      <c r="AD42" s="62">
        <v>7.3067981102227444</v>
      </c>
      <c r="AF42" s="81">
        <v>2.2000000000000002</v>
      </c>
      <c r="AG42" s="62">
        <v>5628.0285560491175</v>
      </c>
      <c r="AI42" s="81">
        <v>6.5500000000000096</v>
      </c>
      <c r="AJ42" s="62">
        <v>6367.9775418469799</v>
      </c>
    </row>
    <row r="43" spans="2:36" s="48" customFormat="1" ht="17.25">
      <c r="B43" s="127" t="s">
        <v>142</v>
      </c>
      <c r="C43" s="136">
        <f>'Capital Inputs'!$D$7/(1+$E$11/$J$11)</f>
        <v>2.3132530120481927</v>
      </c>
      <c r="D43" s="136">
        <f>($E$11/$J$11)*'Capital Inputs'!$D$7/(1+$E$11/$J$11)</f>
        <v>9.6867469879518069</v>
      </c>
      <c r="E43" s="136">
        <f>SUM(C43:D43)</f>
        <v>12</v>
      </c>
      <c r="F43" s="260"/>
      <c r="G43" s="260"/>
      <c r="H43" s="260"/>
      <c r="I43" s="125"/>
      <c r="J43" s="125"/>
      <c r="K43" s="125"/>
      <c r="L43" s="625"/>
      <c r="M43" s="260"/>
      <c r="N43" s="125"/>
      <c r="O43" s="125"/>
      <c r="P43" s="125"/>
      <c r="Q43" s="125"/>
      <c r="R43" s="532"/>
      <c r="V43" s="5"/>
      <c r="W43" s="5"/>
      <c r="X43" s="5"/>
      <c r="Y43" s="5"/>
      <c r="Z43" s="80">
        <v>0.55000000000000004</v>
      </c>
      <c r="AA43" s="62">
        <v>2.0843513265857885</v>
      </c>
      <c r="AC43" s="80">
        <v>0.55000000000000004</v>
      </c>
      <c r="AD43" s="62">
        <v>7.0658543613121543</v>
      </c>
      <c r="AF43" s="81">
        <v>2.2999999999999998</v>
      </c>
      <c r="AG43" s="62">
        <v>6685.8534497991095</v>
      </c>
      <c r="AI43" s="81">
        <v>6.7000000000000099</v>
      </c>
      <c r="AJ43" s="62">
        <v>7208.6015418469906</v>
      </c>
    </row>
    <row r="44" spans="2:36" s="48" customFormat="1" ht="17.25">
      <c r="B44" s="127" t="s">
        <v>422</v>
      </c>
      <c r="C44" s="279">
        <f>N8/N35</f>
        <v>0</v>
      </c>
      <c r="D44" s="279">
        <f>O8/O35</f>
        <v>0</v>
      </c>
      <c r="E44" s="279">
        <f>P8/P35</f>
        <v>1.640880258909724</v>
      </c>
      <c r="F44" s="13"/>
      <c r="G44" s="13"/>
      <c r="H44" s="13"/>
      <c r="I44" s="13"/>
      <c r="J44" s="13"/>
      <c r="K44" s="13"/>
      <c r="L44" s="13"/>
      <c r="M44" s="13"/>
      <c r="N44" s="5"/>
      <c r="O44" s="5"/>
      <c r="P44" s="5"/>
      <c r="Q44" s="5"/>
      <c r="R44" s="532"/>
      <c r="V44" s="5"/>
      <c r="W44" s="5"/>
      <c r="X44" s="5"/>
      <c r="Y44" s="5"/>
      <c r="Z44" s="80">
        <v>0.57499999999999996</v>
      </c>
      <c r="AA44" s="62">
        <v>2.0093347344812438</v>
      </c>
      <c r="AC44" s="80">
        <v>0.57499999999999996</v>
      </c>
      <c r="AD44" s="62">
        <v>6.84586224274162</v>
      </c>
      <c r="AF44" s="81">
        <v>2.4</v>
      </c>
      <c r="AG44" s="62">
        <v>7743.6783435491125</v>
      </c>
      <c r="AI44" s="81">
        <v>6.8500000000000103</v>
      </c>
      <c r="AJ44" s="62">
        <v>8049.2255418469867</v>
      </c>
    </row>
    <row r="45" spans="2:36" s="48" customFormat="1" ht="17.25">
      <c r="B45" s="127" t="s">
        <v>146</v>
      </c>
      <c r="C45" s="167">
        <f>G35</f>
        <v>1.4753931083253633</v>
      </c>
      <c r="D45" s="167">
        <f>L35</f>
        <v>5.484661009086417</v>
      </c>
      <c r="E45" s="167">
        <f>(P35)/(D43*J6)</f>
        <v>5.2563250445409366</v>
      </c>
      <c r="F45" s="13"/>
      <c r="G45" s="13"/>
      <c r="H45" s="13"/>
      <c r="I45" s="13"/>
      <c r="J45" s="13"/>
      <c r="K45" s="13"/>
      <c r="L45" s="13"/>
      <c r="M45" s="13"/>
      <c r="N45" s="540"/>
      <c r="O45" s="540"/>
      <c r="P45" s="540"/>
      <c r="Q45" s="540"/>
      <c r="R45" s="532"/>
      <c r="V45" s="5"/>
      <c r="W45" s="5"/>
      <c r="X45" s="5"/>
      <c r="Y45" s="5"/>
      <c r="Z45" s="80">
        <v>0.6</v>
      </c>
      <c r="AA45" s="62">
        <v>1.9405695250520771</v>
      </c>
      <c r="AC45" s="80">
        <v>0.6</v>
      </c>
      <c r="AD45" s="62">
        <v>6.6442028007186256</v>
      </c>
      <c r="AF45" s="81">
        <v>2.5</v>
      </c>
      <c r="AG45" s="62">
        <v>8801.5032372991118</v>
      </c>
      <c r="AI45" s="81">
        <v>7.0000000000000098</v>
      </c>
      <c r="AJ45" s="62">
        <v>8889.8495418469902</v>
      </c>
    </row>
    <row r="46" spans="2:36" s="48" customFormat="1" ht="17.25">
      <c r="B46" s="130" t="s">
        <v>145</v>
      </c>
      <c r="C46" s="321">
        <f>F35/G8</f>
        <v>10830.690015937187</v>
      </c>
      <c r="D46" s="321">
        <f>K35/L8</f>
        <v>4069.7774444235442</v>
      </c>
      <c r="E46" s="321">
        <f>P35/L8/D43</f>
        <v>3900.345540297043</v>
      </c>
      <c r="F46" s="523"/>
      <c r="G46" s="523"/>
      <c r="H46" s="523"/>
      <c r="I46" s="523"/>
      <c r="J46" s="523"/>
      <c r="K46" s="13"/>
      <c r="L46" s="13"/>
      <c r="M46" s="523"/>
      <c r="N46" s="540"/>
      <c r="O46" s="540"/>
      <c r="P46" s="540"/>
      <c r="Q46" s="540"/>
      <c r="R46" s="532"/>
      <c r="V46" s="5"/>
      <c r="W46" s="5"/>
      <c r="X46" s="5"/>
      <c r="Y46" s="5"/>
      <c r="Z46" s="80">
        <v>0.625</v>
      </c>
      <c r="AA46" s="62">
        <v>1.8773055323772441</v>
      </c>
      <c r="AC46" s="80">
        <v>0.625</v>
      </c>
      <c r="AD46" s="62">
        <v>6.4586761140574716</v>
      </c>
      <c r="AF46" s="81">
        <v>2.6</v>
      </c>
      <c r="AG46" s="62">
        <v>9859.3281310491111</v>
      </c>
      <c r="AI46" s="81">
        <v>7.1500000000000101</v>
      </c>
      <c r="AJ46" s="62">
        <v>9730.4735418469936</v>
      </c>
    </row>
    <row r="47" spans="2:36" s="48" customFormat="1" ht="17.25" hidden="1">
      <c r="B47" s="135"/>
      <c r="C47" s="158"/>
      <c r="D47" s="158"/>
      <c r="E47" s="158"/>
      <c r="F47" s="15"/>
      <c r="G47" s="15"/>
      <c r="H47" s="15"/>
      <c r="I47" s="15"/>
      <c r="J47" s="15"/>
      <c r="K47" s="13"/>
      <c r="L47" s="13"/>
      <c r="M47" s="15"/>
      <c r="N47" s="23"/>
      <c r="O47" s="23"/>
      <c r="P47" s="23"/>
      <c r="Q47" s="23"/>
      <c r="R47" s="18"/>
      <c r="V47" s="5"/>
      <c r="W47" s="5"/>
      <c r="X47" s="5"/>
      <c r="Y47" s="5"/>
      <c r="Z47" s="80">
        <v>0.65</v>
      </c>
      <c r="AA47" s="62">
        <v>1.8189080006773983</v>
      </c>
      <c r="AC47" s="80">
        <v>0.65</v>
      </c>
      <c r="AD47" s="62">
        <v>6.2874207109856375</v>
      </c>
      <c r="AF47" s="81">
        <v>2.7</v>
      </c>
      <c r="AG47" s="62">
        <v>10917.153024799118</v>
      </c>
      <c r="AI47" s="81">
        <v>7.3000000000000096</v>
      </c>
      <c r="AJ47" s="62">
        <v>10571.097541846982</v>
      </c>
    </row>
    <row r="48" spans="2:36" s="48" customFormat="1" ht="17.25" hidden="1">
      <c r="B48" s="34"/>
      <c r="C48" s="29"/>
      <c r="D48" s="30"/>
      <c r="E48" s="35"/>
      <c r="F48" s="13"/>
      <c r="G48" s="13"/>
      <c r="H48" s="13"/>
      <c r="I48" s="13"/>
      <c r="J48" s="13"/>
      <c r="K48" s="13"/>
      <c r="L48" s="13"/>
      <c r="M48" s="13"/>
      <c r="N48" s="23"/>
      <c r="O48" s="23"/>
      <c r="P48" s="23"/>
      <c r="Q48" s="23"/>
      <c r="R48" s="5"/>
      <c r="V48" s="5"/>
      <c r="W48" s="5"/>
      <c r="X48" s="5"/>
      <c r="Y48" s="5"/>
      <c r="Z48" s="80">
        <v>0.67500000000000004</v>
      </c>
      <c r="AA48" s="62">
        <v>1.7648362120664296</v>
      </c>
      <c r="AC48" s="80">
        <v>0.67500000000000004</v>
      </c>
      <c r="AD48" s="62">
        <v>6.1288508933265327</v>
      </c>
      <c r="AF48" s="81">
        <v>2.8</v>
      </c>
      <c r="AG48" s="62">
        <v>11974.97791854911</v>
      </c>
      <c r="AI48" s="81">
        <v>7.4500000000000099</v>
      </c>
      <c r="AJ48" s="62">
        <v>11411.721541846986</v>
      </c>
    </row>
    <row r="49" spans="2:36" s="48" customFormat="1" ht="17.25" hidden="1">
      <c r="B49" s="5"/>
      <c r="C49" s="5"/>
      <c r="D49" s="5"/>
      <c r="E49" s="5"/>
      <c r="F49" s="13"/>
      <c r="G49" s="13"/>
      <c r="H49" s="13"/>
      <c r="I49" s="13"/>
      <c r="J49" s="13"/>
      <c r="K49" s="13"/>
      <c r="L49" s="13"/>
      <c r="M49" s="13"/>
      <c r="N49" s="23"/>
      <c r="O49" s="23"/>
      <c r="P49" s="23"/>
      <c r="Q49" s="23"/>
      <c r="R49" s="5"/>
      <c r="V49" s="5"/>
      <c r="W49" s="5"/>
      <c r="X49" s="5"/>
      <c r="Y49" s="5"/>
      <c r="Z49" s="80">
        <v>0.7</v>
      </c>
      <c r="AA49" s="62">
        <v>1.7146266940705304</v>
      </c>
      <c r="AB49" s="82"/>
      <c r="AC49" s="80">
        <v>0.7</v>
      </c>
      <c r="AD49" s="62">
        <v>5.9816074912145059</v>
      </c>
      <c r="AF49" s="81">
        <v>2.9</v>
      </c>
      <c r="AG49" s="62">
        <v>13032.802812299113</v>
      </c>
      <c r="AH49" s="82"/>
      <c r="AI49" s="81">
        <v>7.6000000000000103</v>
      </c>
      <c r="AJ49" s="62">
        <v>12252.345541846989</v>
      </c>
    </row>
    <row r="50" spans="2:36" s="48" customFormat="1" ht="17.25" hidden="1">
      <c r="B50" s="5"/>
      <c r="C50" s="5"/>
      <c r="D50" s="5"/>
      <c r="E50" s="5"/>
      <c r="F50" s="13"/>
      <c r="G50" s="13"/>
      <c r="H50" s="13"/>
      <c r="I50" s="13"/>
      <c r="J50" s="13"/>
      <c r="K50" s="13"/>
      <c r="L50" s="13"/>
      <c r="M50" s="13"/>
      <c r="N50" s="5"/>
      <c r="O50" s="5"/>
      <c r="P50" s="5"/>
      <c r="Q50" s="5"/>
      <c r="R50" s="5"/>
      <c r="V50" s="5"/>
      <c r="W50" s="5"/>
      <c r="X50" s="5"/>
      <c r="Y50" s="5"/>
      <c r="Z50" s="80">
        <v>0.72499999999999998</v>
      </c>
      <c r="AA50" s="62">
        <v>1.6678799014536587</v>
      </c>
      <c r="AB50" s="83"/>
      <c r="AC50" s="80">
        <v>0.72499999999999998</v>
      </c>
      <c r="AD50" s="62">
        <v>5.8445188064895159</v>
      </c>
      <c r="AF50" s="81">
        <v>3</v>
      </c>
      <c r="AG50" s="62">
        <v>14090.627706049112</v>
      </c>
      <c r="AH50" s="83"/>
      <c r="AI50" s="81">
        <v>7.7500000000000098</v>
      </c>
      <c r="AJ50" s="62">
        <v>13092.969541846993</v>
      </c>
    </row>
    <row r="51" spans="2:36" s="48" customFormat="1" ht="17.25" hidden="1">
      <c r="B51" s="5"/>
      <c r="C51" s="5"/>
      <c r="D51" s="5"/>
      <c r="E51" s="5"/>
      <c r="F51" s="13"/>
      <c r="G51" s="13"/>
      <c r="H51" s="13"/>
      <c r="I51" s="13"/>
      <c r="J51" s="13"/>
      <c r="K51" s="13"/>
      <c r="L51" s="13"/>
      <c r="M51" s="13"/>
      <c r="N51" s="5"/>
      <c r="O51" s="5"/>
      <c r="P51" s="5"/>
      <c r="Q51" s="5"/>
      <c r="R51" s="5"/>
      <c r="V51" s="5"/>
      <c r="W51" s="5"/>
      <c r="X51" s="5"/>
      <c r="Y51" s="5"/>
      <c r="Z51" s="80">
        <v>0.75</v>
      </c>
      <c r="AA51" s="62">
        <v>1.6242495616779118</v>
      </c>
      <c r="AB51" s="83"/>
      <c r="AC51" s="80">
        <v>0.75</v>
      </c>
      <c r="AD51" s="62">
        <v>5.7165693674128581</v>
      </c>
      <c r="AF51" s="81">
        <v>3.1</v>
      </c>
      <c r="AG51" s="62">
        <v>15148.452599799111</v>
      </c>
      <c r="AH51" s="83"/>
      <c r="AI51" s="81">
        <v>7.9000000000000101</v>
      </c>
      <c r="AJ51" s="62">
        <v>13933.593541846989</v>
      </c>
    </row>
    <row r="52" spans="2:36" s="48" customFormat="1" ht="17.25" hidden="1">
      <c r="B52" s="5"/>
      <c r="C52" s="5"/>
      <c r="D52" s="5"/>
      <c r="E52" s="5"/>
      <c r="F52" s="5"/>
      <c r="G52" s="5"/>
      <c r="H52" s="5"/>
      <c r="I52" s="5"/>
      <c r="J52" s="5"/>
      <c r="K52" s="5"/>
      <c r="L52" s="5"/>
      <c r="M52" s="5"/>
      <c r="N52" s="5"/>
      <c r="O52" s="5"/>
      <c r="P52" s="5"/>
      <c r="Q52" s="5"/>
      <c r="R52" s="5"/>
      <c r="V52" s="5"/>
      <c r="W52" s="5"/>
      <c r="X52" s="5"/>
      <c r="Y52" s="5"/>
      <c r="Z52" s="80">
        <v>0.77500000000000002</v>
      </c>
      <c r="AA52" s="62">
        <v>1.5834340825328579</v>
      </c>
      <c r="AB52" s="4"/>
      <c r="AC52" s="80">
        <v>0.77500000000000002</v>
      </c>
      <c r="AD52" s="62">
        <v>5.5968747308572757</v>
      </c>
      <c r="AF52" s="81">
        <v>3.2</v>
      </c>
      <c r="AG52" s="62">
        <v>16206.277493549111</v>
      </c>
      <c r="AH52" s="4"/>
      <c r="AI52" s="81">
        <v>8.0500000000000096</v>
      </c>
      <c r="AJ52" s="62">
        <v>14774.217541846985</v>
      </c>
    </row>
    <row r="53" spans="2:36" s="48" customFormat="1" ht="17.25" hidden="1">
      <c r="B53" s="5"/>
      <c r="C53" s="5"/>
      <c r="D53" s="5"/>
      <c r="E53" s="5"/>
      <c r="F53" s="5"/>
      <c r="G53" s="5"/>
      <c r="H53" s="5"/>
      <c r="I53" s="5"/>
      <c r="J53" s="5"/>
      <c r="K53" s="5"/>
      <c r="L53" s="5"/>
      <c r="M53" s="5"/>
      <c r="N53" s="5"/>
      <c r="O53" s="5"/>
      <c r="P53" s="5"/>
      <c r="Q53" s="5"/>
      <c r="R53" s="5"/>
      <c r="V53" s="5"/>
      <c r="W53" s="5"/>
      <c r="X53" s="5"/>
      <c r="Y53" s="5"/>
      <c r="Z53" s="80">
        <v>0.8</v>
      </c>
      <c r="AA53" s="62">
        <v>1.5451695708343702</v>
      </c>
      <c r="AB53" s="4"/>
      <c r="AC53" s="80">
        <v>0.8</v>
      </c>
      <c r="AD53" s="62">
        <v>5.484661009086417</v>
      </c>
      <c r="AF53" s="81">
        <v>3.3</v>
      </c>
      <c r="AG53" s="62">
        <v>17264.102387299114</v>
      </c>
      <c r="AH53" s="4"/>
      <c r="AI53" s="81">
        <v>8.2000000000000099</v>
      </c>
      <c r="AJ53" s="62">
        <v>15614.841541846989</v>
      </c>
    </row>
    <row r="54" spans="2:36" s="48" customFormat="1" ht="17.25" hidden="1">
      <c r="B54" s="5"/>
      <c r="C54" s="5"/>
      <c r="D54" s="5"/>
      <c r="E54" s="5"/>
      <c r="F54" s="5"/>
      <c r="G54" s="5"/>
      <c r="H54" s="5"/>
      <c r="I54" s="5"/>
      <c r="J54" s="5"/>
      <c r="K54" s="5"/>
      <c r="L54" s="5"/>
      <c r="M54" s="5"/>
      <c r="N54" s="5"/>
      <c r="O54" s="5"/>
      <c r="P54" s="5"/>
      <c r="Q54" s="5"/>
      <c r="R54" s="5"/>
      <c r="V54" s="5"/>
      <c r="W54" s="5"/>
      <c r="X54" s="5"/>
      <c r="Y54" s="5"/>
      <c r="Z54" s="80">
        <v>0.82499999999999996</v>
      </c>
      <c r="AA54" s="62">
        <v>1.5092241204509425</v>
      </c>
      <c r="AB54" s="4"/>
      <c r="AC54" s="80">
        <v>0.82499999999999996</v>
      </c>
      <c r="AD54" s="62">
        <v>5.3792481189380341</v>
      </c>
      <c r="AF54" s="81">
        <v>3.4</v>
      </c>
      <c r="AG54" s="62">
        <v>18321.927281049113</v>
      </c>
      <c r="AH54" s="4"/>
      <c r="AI54" s="81">
        <v>8.3500000000000103</v>
      </c>
      <c r="AJ54" s="62">
        <v>16455.465541846992</v>
      </c>
    </row>
    <row r="55" spans="2:36" s="48" customFormat="1" ht="17.25" hidden="1">
      <c r="B55" s="5"/>
      <c r="C55" s="5"/>
      <c r="D55" s="5"/>
      <c r="E55" s="5"/>
      <c r="F55" s="5"/>
      <c r="G55" s="5"/>
      <c r="H55" s="5"/>
      <c r="I55" s="5"/>
      <c r="J55" s="5"/>
      <c r="K55" s="5"/>
      <c r="L55" s="5"/>
      <c r="M55" s="5"/>
      <c r="N55" s="5"/>
      <c r="O55" s="5"/>
      <c r="P55" s="5"/>
      <c r="Q55" s="5"/>
      <c r="R55" s="5"/>
      <c r="V55" s="5"/>
      <c r="W55" s="5"/>
      <c r="X55" s="5"/>
      <c r="Y55" s="5"/>
      <c r="Z55" s="80">
        <v>0.85</v>
      </c>
      <c r="AA55" s="62">
        <v>1.4753931083253633</v>
      </c>
      <c r="AB55" s="4"/>
      <c r="AC55" s="80">
        <v>0.85</v>
      </c>
      <c r="AD55" s="62">
        <v>5.2800359870336742</v>
      </c>
      <c r="AF55" s="81">
        <v>3.5</v>
      </c>
      <c r="AG55" s="62">
        <v>19379.752174799112</v>
      </c>
      <c r="AH55" s="4"/>
      <c r="AI55" s="81">
        <v>8.5000000000000107</v>
      </c>
      <c r="AJ55" s="62">
        <v>17296.089541846988</v>
      </c>
    </row>
    <row r="56" spans="2:36" s="48" customFormat="1" ht="17.25" hidden="1">
      <c r="B56" s="5"/>
      <c r="C56" s="5"/>
      <c r="D56" s="5"/>
      <c r="E56" s="5"/>
      <c r="F56" s="5"/>
      <c r="G56" s="5"/>
      <c r="H56" s="5"/>
      <c r="I56" s="5"/>
      <c r="J56" s="5"/>
      <c r="K56" s="5"/>
      <c r="L56" s="5"/>
      <c r="M56" s="5"/>
      <c r="N56" s="5"/>
      <c r="O56" s="5"/>
      <c r="P56" s="5"/>
      <c r="Q56" s="5"/>
      <c r="R56" s="5"/>
      <c r="V56" s="5"/>
      <c r="W56" s="5"/>
      <c r="X56" s="5"/>
      <c r="Y56" s="5"/>
      <c r="Z56" s="80">
        <v>0.875</v>
      </c>
      <c r="AA56" s="62">
        <v>1.4434952968926742</v>
      </c>
      <c r="AB56" s="4"/>
      <c r="AC56" s="80">
        <v>0.875</v>
      </c>
      <c r="AD56" s="62">
        <v>5.1864931198095636</v>
      </c>
      <c r="AF56" s="81">
        <v>3.6</v>
      </c>
      <c r="AG56" s="62">
        <v>20437.577068549115</v>
      </c>
      <c r="AH56" s="4"/>
      <c r="AI56" s="81">
        <v>8.6500000000000092</v>
      </c>
      <c r="AJ56" s="62">
        <v>18136.713541846984</v>
      </c>
    </row>
    <row r="57" spans="2:36" s="48" customFormat="1" ht="17.25" hidden="1">
      <c r="B57" s="5"/>
      <c r="C57" s="5"/>
      <c r="D57" s="5"/>
      <c r="E57" s="5"/>
      <c r="F57" s="5"/>
      <c r="G57" s="5"/>
      <c r="H57" s="5"/>
      <c r="I57" s="5"/>
      <c r="J57" s="5"/>
      <c r="K57" s="5"/>
      <c r="L57" s="5"/>
      <c r="M57" s="5"/>
      <c r="N57" s="5"/>
      <c r="O57" s="5"/>
      <c r="P57" s="5"/>
      <c r="Q57" s="5"/>
      <c r="R57" s="5"/>
      <c r="V57" s="5"/>
      <c r="W57" s="5"/>
      <c r="X57" s="5"/>
      <c r="Y57" s="5"/>
      <c r="Z57" s="80">
        <v>0.9</v>
      </c>
      <c r="AA57" s="62">
        <v>1.413369586095135</v>
      </c>
      <c r="AB57" s="4"/>
      <c r="AC57" s="80">
        <v>0.9</v>
      </c>
      <c r="AD57" s="62">
        <v>5.0981470785423477</v>
      </c>
      <c r="AF57" s="81">
        <v>3.7</v>
      </c>
      <c r="AG57" s="62">
        <v>21495.401962299115</v>
      </c>
      <c r="AH57" s="4"/>
      <c r="AI57" s="81">
        <v>8.8000000000000096</v>
      </c>
      <c r="AJ57" s="62">
        <v>18977.33754184698</v>
      </c>
    </row>
    <row r="58" spans="2:36" s="48" customFormat="1" ht="17.25" hidden="1">
      <c r="B58" s="5"/>
      <c r="C58" s="5"/>
      <c r="D58" s="5"/>
      <c r="E58" s="5"/>
      <c r="F58" s="5"/>
      <c r="G58" s="5"/>
      <c r="H58" s="5"/>
      <c r="I58" s="5"/>
      <c r="J58" s="5"/>
      <c r="K58" s="5"/>
      <c r="L58" s="5"/>
      <c r="M58" s="5"/>
      <c r="N58" s="5"/>
      <c r="O58" s="5"/>
      <c r="P58" s="5"/>
      <c r="Q58" s="5"/>
      <c r="R58" s="5"/>
      <c r="S58" s="50"/>
      <c r="T58" s="38"/>
      <c r="U58" s="38"/>
      <c r="V58" s="13"/>
      <c r="W58" s="13"/>
      <c r="X58" s="13"/>
      <c r="Y58" s="13"/>
      <c r="Z58" s="4"/>
      <c r="AA58" s="4"/>
      <c r="AB58" s="4"/>
      <c r="AC58" s="4"/>
      <c r="AD58" s="4"/>
    </row>
    <row r="59" spans="2:36" s="48" customFormat="1" ht="17.25" hidden="1">
      <c r="B59" s="5"/>
      <c r="C59" s="5"/>
      <c r="D59" s="5"/>
      <c r="E59" s="5"/>
      <c r="F59" s="5"/>
      <c r="G59" s="5"/>
      <c r="H59" s="5"/>
      <c r="I59" s="5"/>
      <c r="J59" s="5"/>
      <c r="K59" s="5"/>
      <c r="L59" s="5"/>
      <c r="M59" s="5"/>
      <c r="N59" s="5"/>
      <c r="O59" s="5"/>
      <c r="P59" s="5"/>
      <c r="Q59" s="5"/>
      <c r="R59" s="5"/>
      <c r="S59" s="50"/>
      <c r="T59" s="38"/>
      <c r="U59" s="38"/>
      <c r="V59" s="13"/>
      <c r="W59" s="13"/>
      <c r="X59" s="13"/>
      <c r="Y59" s="13"/>
      <c r="Z59" s="4"/>
      <c r="AA59" s="4"/>
      <c r="AB59" s="4"/>
      <c r="AC59" s="4"/>
      <c r="AD59" s="4"/>
    </row>
    <row r="60" spans="2:36" s="48" customFormat="1" ht="17.25" hidden="1">
      <c r="B60" s="5"/>
      <c r="C60" s="5"/>
      <c r="D60" s="5"/>
      <c r="E60" s="5"/>
      <c r="F60" s="5"/>
      <c r="G60" s="5"/>
      <c r="H60" s="5"/>
      <c r="I60" s="5"/>
      <c r="J60" s="5"/>
      <c r="K60" s="5"/>
      <c r="L60" s="5"/>
      <c r="M60" s="5"/>
      <c r="N60" s="5"/>
      <c r="O60" s="5"/>
      <c r="P60" s="5"/>
      <c r="Q60" s="5"/>
      <c r="R60" s="5"/>
      <c r="S60" s="50"/>
      <c r="T60" s="38"/>
      <c r="U60" s="38"/>
      <c r="V60" s="13"/>
      <c r="W60" s="13"/>
      <c r="X60" s="13"/>
      <c r="Y60" s="13"/>
      <c r="Z60" s="4"/>
      <c r="AA60" s="4"/>
      <c r="AB60" s="4"/>
      <c r="AC60" s="4"/>
      <c r="AD60" s="4"/>
    </row>
    <row r="61" spans="2:36" s="48" customFormat="1" ht="17.25" hidden="1">
      <c r="B61" s="5"/>
      <c r="C61" s="5"/>
      <c r="D61" s="5"/>
      <c r="E61" s="5"/>
      <c r="K61" s="5"/>
      <c r="L61" s="5"/>
      <c r="M61" s="5"/>
      <c r="N61" s="5"/>
      <c r="O61" s="5"/>
      <c r="P61" s="5"/>
      <c r="Q61" s="5"/>
      <c r="R61" s="5"/>
      <c r="S61" s="50"/>
      <c r="T61" s="38"/>
      <c r="U61" s="38"/>
      <c r="V61" s="13"/>
      <c r="W61" s="13"/>
      <c r="X61" s="13"/>
      <c r="Y61" s="13"/>
      <c r="Z61" s="4"/>
      <c r="AA61" s="4"/>
      <c r="AB61" s="4"/>
      <c r="AC61" s="4"/>
      <c r="AD61" s="4"/>
    </row>
    <row r="62" spans="2:36" s="48" customFormat="1" ht="17.25" hidden="1">
      <c r="B62" s="5"/>
      <c r="C62" s="5"/>
      <c r="D62" s="5"/>
      <c r="E62" s="5"/>
      <c r="K62" s="5"/>
      <c r="L62" s="5"/>
      <c r="M62" s="5"/>
      <c r="N62" s="5"/>
      <c r="O62" s="5"/>
      <c r="P62" s="5"/>
      <c r="Q62" s="5"/>
      <c r="R62" s="5"/>
      <c r="S62" s="50"/>
      <c r="T62" s="38"/>
      <c r="U62" s="38"/>
      <c r="V62" s="13"/>
      <c r="W62" s="13"/>
      <c r="X62" s="13"/>
      <c r="Y62" s="13"/>
      <c r="Z62" s="4"/>
      <c r="AA62" s="4"/>
      <c r="AB62" s="4"/>
      <c r="AC62" s="4"/>
      <c r="AD62" s="4"/>
    </row>
    <row r="63" spans="2:36" s="48" customFormat="1" ht="17.25" hidden="1">
      <c r="B63" s="5"/>
      <c r="C63" s="5"/>
      <c r="D63" s="5"/>
      <c r="E63" s="5"/>
      <c r="F63" s="71" t="s">
        <v>322</v>
      </c>
      <c r="K63" s="5"/>
      <c r="L63" s="5"/>
      <c r="M63" s="5"/>
      <c r="N63" s="5"/>
      <c r="O63" s="5"/>
      <c r="P63" s="5"/>
      <c r="Q63" s="5"/>
      <c r="R63" s="5"/>
      <c r="S63" s="50"/>
      <c r="T63" s="38"/>
      <c r="U63" s="38"/>
      <c r="V63" s="13"/>
      <c r="W63" s="13"/>
      <c r="X63" s="13"/>
      <c r="Y63" s="13"/>
      <c r="Z63" s="4"/>
      <c r="AA63" s="4"/>
      <c r="AB63" s="4"/>
      <c r="AC63" s="4"/>
      <c r="AD63" s="4"/>
    </row>
    <row r="64" spans="2:36" s="48" customFormat="1" ht="17.25" hidden="1">
      <c r="B64" s="5"/>
      <c r="C64" s="5"/>
      <c r="D64" s="5"/>
      <c r="E64" s="5"/>
      <c r="F64" s="74">
        <f>E68</f>
        <v>-423964</v>
      </c>
      <c r="K64" s="5"/>
      <c r="L64" s="5"/>
      <c r="M64" s="5"/>
      <c r="N64" s="5"/>
      <c r="O64" s="5"/>
      <c r="P64" s="5"/>
      <c r="Q64" s="5"/>
      <c r="R64" s="5"/>
      <c r="S64" s="50"/>
      <c r="T64" s="38"/>
      <c r="U64" s="38"/>
      <c r="V64" s="13"/>
      <c r="W64" s="13"/>
      <c r="X64" s="13"/>
      <c r="Y64" s="13"/>
      <c r="Z64" s="4"/>
      <c r="AA64" s="4"/>
      <c r="AB64" s="4"/>
      <c r="AC64" s="4"/>
      <c r="AD64" s="4"/>
    </row>
    <row r="65" spans="2:6" s="48" customFormat="1" ht="17.25" hidden="1">
      <c r="F65" s="74">
        <f t="shared" ref="F65:F74" si="20">F64+E69</f>
        <v>-185911.56736763089</v>
      </c>
    </row>
    <row r="66" spans="2:6" s="48" customFormat="1" ht="17.25" hidden="1">
      <c r="F66" s="74">
        <f t="shared" si="20"/>
        <v>52140.865264738211</v>
      </c>
    </row>
    <row r="67" spans="2:6" s="48" customFormat="1" ht="17.25" hidden="1">
      <c r="B67" s="71" t="s">
        <v>317</v>
      </c>
      <c r="C67" s="71" t="s">
        <v>319</v>
      </c>
      <c r="D67" s="72" t="s">
        <v>320</v>
      </c>
      <c r="E67" s="72" t="s">
        <v>321</v>
      </c>
      <c r="F67" s="74">
        <f t="shared" si="20"/>
        <v>290193.29789710732</v>
      </c>
    </row>
    <row r="68" spans="2:6" s="48" customFormat="1" ht="17.25" hidden="1">
      <c r="B68" s="73">
        <v>0</v>
      </c>
      <c r="C68" s="65">
        <f>'Capital Inputs'!F43</f>
        <v>423964</v>
      </c>
      <c r="D68" s="65">
        <v>0</v>
      </c>
      <c r="E68" s="65">
        <f>D68-C68</f>
        <v>-423964</v>
      </c>
      <c r="F68" s="74">
        <f t="shared" si="20"/>
        <v>528245.73052947642</v>
      </c>
    </row>
    <row r="69" spans="2:6" s="48" customFormat="1" ht="17.25" hidden="1">
      <c r="B69" s="73">
        <v>1</v>
      </c>
      <c r="C69" s="65">
        <f>'Cash flow for investments- Food'!C2</f>
        <v>0</v>
      </c>
      <c r="D69" s="65">
        <f>P8-P29-P31-P32</f>
        <v>238052.43263236911</v>
      </c>
      <c r="E69" s="65">
        <f t="shared" ref="E69:E77" si="21">D69-C69</f>
        <v>238052.43263236911</v>
      </c>
      <c r="F69" s="74">
        <f t="shared" si="20"/>
        <v>765884.16316184553</v>
      </c>
    </row>
    <row r="70" spans="2:6" s="48" customFormat="1" ht="17.25" hidden="1">
      <c r="B70" s="73">
        <v>2</v>
      </c>
      <c r="C70" s="65">
        <f>'Cash flow for investments- Food'!C3</f>
        <v>0</v>
      </c>
      <c r="D70" s="65">
        <f t="shared" ref="D70:D78" si="22">D69</f>
        <v>238052.43263236911</v>
      </c>
      <c r="E70" s="65">
        <f t="shared" si="21"/>
        <v>238052.43263236911</v>
      </c>
      <c r="F70" s="74">
        <f t="shared" si="20"/>
        <v>1003936.5957942146</v>
      </c>
    </row>
    <row r="71" spans="2:6" ht="17.25" hidden="1">
      <c r="B71" s="73">
        <v>3</v>
      </c>
      <c r="C71" s="65">
        <f>'Cash flow for investments- Food'!C4</f>
        <v>0</v>
      </c>
      <c r="D71" s="65">
        <f t="shared" si="22"/>
        <v>238052.43263236911</v>
      </c>
      <c r="E71" s="65">
        <f t="shared" si="21"/>
        <v>238052.43263236911</v>
      </c>
      <c r="F71" s="74">
        <f t="shared" si="20"/>
        <v>1239989.0284265839</v>
      </c>
    </row>
    <row r="72" spans="2:6" ht="17.25" hidden="1">
      <c r="B72" s="73">
        <v>4</v>
      </c>
      <c r="C72" s="65">
        <f>'Cash flow for investments- Food'!C5</f>
        <v>0</v>
      </c>
      <c r="D72" s="65">
        <f t="shared" si="22"/>
        <v>238052.43263236911</v>
      </c>
      <c r="E72" s="65">
        <f t="shared" si="21"/>
        <v>238052.43263236911</v>
      </c>
      <c r="F72" s="74">
        <f t="shared" si="20"/>
        <v>1476291.4610589528</v>
      </c>
    </row>
    <row r="73" spans="2:6" ht="17.25" hidden="1">
      <c r="B73" s="73">
        <v>5</v>
      </c>
      <c r="C73" s="65">
        <f>'Cash flow for investments- Food'!C6</f>
        <v>414</v>
      </c>
      <c r="D73" s="65">
        <f t="shared" si="22"/>
        <v>238052.43263236911</v>
      </c>
      <c r="E73" s="65">
        <f t="shared" si="21"/>
        <v>237638.43263236911</v>
      </c>
      <c r="F73" s="74">
        <f t="shared" si="20"/>
        <v>1714343.8936913218</v>
      </c>
    </row>
    <row r="74" spans="2:6" ht="17.25" hidden="1">
      <c r="B74" s="73">
        <v>6</v>
      </c>
      <c r="C74" s="65">
        <f>'Cash flow for investments- Food'!C7</f>
        <v>0</v>
      </c>
      <c r="D74" s="65">
        <f t="shared" si="22"/>
        <v>238052.43263236911</v>
      </c>
      <c r="E74" s="65">
        <f t="shared" si="21"/>
        <v>238052.43263236911</v>
      </c>
      <c r="F74" s="74">
        <f t="shared" si="20"/>
        <v>2230258.2417998817</v>
      </c>
    </row>
    <row r="75" spans="2:6" ht="17.25" hidden="1">
      <c r="B75" s="73">
        <v>7</v>
      </c>
      <c r="C75" s="65">
        <f>'Cash flow for investments- Food'!C8</f>
        <v>2000</v>
      </c>
      <c r="D75" s="65">
        <f t="shared" si="22"/>
        <v>238052.43263236911</v>
      </c>
      <c r="E75" s="65">
        <f t="shared" si="21"/>
        <v>236052.43263236911</v>
      </c>
      <c r="F75" s="74"/>
    </row>
    <row r="76" spans="2:6" ht="17.25" hidden="1">
      <c r="B76" s="73">
        <v>8</v>
      </c>
      <c r="C76" s="65">
        <f>'Cash flow for investments- Food'!C9</f>
        <v>1750</v>
      </c>
      <c r="D76" s="65">
        <f t="shared" si="22"/>
        <v>238052.43263236911</v>
      </c>
      <c r="E76" s="65">
        <f t="shared" si="21"/>
        <v>236302.43263236911</v>
      </c>
      <c r="F76" s="48"/>
    </row>
    <row r="77" spans="2:6" ht="17.25" hidden="1">
      <c r="B77" s="73">
        <v>9</v>
      </c>
      <c r="C77" s="65">
        <f>'Cash flow for investments- Food'!C10</f>
        <v>0</v>
      </c>
      <c r="D77" s="65">
        <f t="shared" si="22"/>
        <v>238052.43263236911</v>
      </c>
      <c r="E77" s="65">
        <f t="shared" si="21"/>
        <v>238052.43263236911</v>
      </c>
      <c r="F77" s="48"/>
    </row>
    <row r="78" spans="2:6" ht="17.25" hidden="1">
      <c r="B78" s="73">
        <v>10</v>
      </c>
      <c r="C78" s="65">
        <f>'Cash flow for investments- Food'!C11</f>
        <v>57503.075000000004</v>
      </c>
      <c r="D78" s="65">
        <f t="shared" si="22"/>
        <v>238052.43263236911</v>
      </c>
      <c r="E78" s="65">
        <f>D78-C78+D79</f>
        <v>515914.34810855961</v>
      </c>
      <c r="F78" s="48"/>
    </row>
    <row r="79" spans="2:6" ht="17.25" hidden="1">
      <c r="B79" s="73" t="s">
        <v>323</v>
      </c>
      <c r="C79" s="65"/>
      <c r="D79" s="65">
        <f>'Cash flow for investments- Food'!C12</f>
        <v>335364.99047619052</v>
      </c>
      <c r="E79" s="65"/>
      <c r="F79" s="48"/>
    </row>
    <row r="80" spans="2:6" ht="17.25" hidden="1">
      <c r="B80" s="48"/>
      <c r="C80" s="48"/>
      <c r="D80" s="48"/>
      <c r="E80" s="48"/>
      <c r="F80" s="48"/>
    </row>
    <row r="81" spans="2:5" ht="17.25" hidden="1">
      <c r="B81" s="48"/>
      <c r="C81" s="48"/>
      <c r="D81" s="48"/>
      <c r="E81" s="48"/>
    </row>
    <row r="82" spans="2:5" ht="17.25" hidden="1">
      <c r="B82" s="48"/>
      <c r="C82" s="48"/>
      <c r="D82" s="48"/>
      <c r="E82" s="48"/>
    </row>
    <row r="83" spans="2:5" ht="17.25" hidden="1">
      <c r="B83" s="48"/>
      <c r="C83" s="48"/>
      <c r="D83" s="48"/>
      <c r="E83" s="48"/>
    </row>
    <row r="84" spans="2:5" ht="17.25" hidden="1">
      <c r="B84" s="48"/>
      <c r="C84" s="48"/>
      <c r="D84" s="48"/>
      <c r="E84" s="48"/>
    </row>
    <row r="85" spans="2:5" ht="17.25" hidden="1"/>
    <row r="86" spans="2:5" ht="17.25" hidden="1"/>
    <row r="87" spans="2:5" ht="17.25" hidden="1"/>
    <row r="88" spans="2:5" ht="17.25" hidden="1"/>
    <row r="89" spans="2:5" ht="17.25" hidden="1"/>
    <row r="91" spans="2:5" ht="17.25" hidden="1"/>
    <row r="92" spans="2:5" ht="17.25" hidden="1"/>
  </sheetData>
  <mergeCells count="9">
    <mergeCell ref="W1:W2"/>
    <mergeCell ref="X1:X2"/>
    <mergeCell ref="Y1:Y2"/>
    <mergeCell ref="D3:H3"/>
    <mergeCell ref="I3:M3"/>
    <mergeCell ref="N3:Q3"/>
    <mergeCell ref="T2:U2"/>
    <mergeCell ref="B2:Q2"/>
    <mergeCell ref="T3:U3"/>
  </mergeCells>
  <conditionalFormatting sqref="AG58:AH408">
    <cfRule type="duplicateValues" dxfId="9" priority="1"/>
  </conditionalFormatting>
  <hyperlinks>
    <hyperlink ref="V13" r:id="rId1" display="https://keofishfarm.com/2-hybrid-striped-bass" xr:uid="{08B50F82-6832-498D-9CDC-709BAA503647}"/>
    <hyperlink ref="Z13" r:id="rId2" display="https://keofishfarm.com/6-hybrid-striped-bass" xr:uid="{B9EAC2EE-5CB5-4C26-8E06-2317D7FA1EF6}"/>
    <hyperlink ref="AD17" r:id="rId3" display="https://harborfish.com/product/fresh-hybrid-bass-whole/" xr:uid="{5D05E7E0-D448-4E1F-900E-809265472FF0}"/>
    <hyperlink ref="AD18" r:id="rId4" display="https://sunfishfishfarms.com/products/hybrid-striped-bass-wiper?srsltid=AfmBOoryhFNEik2PtgddvqTz64nw1u5y4bt2pCxE-_xPuVyq_1ViqGql&amp;variant=41381104484551" xr:uid="{3B65E023-6AC2-4536-90B8-8F51AFB45428}"/>
    <hyperlink ref="V8" r:id="rId5" display="https://marine-aquaculture.extension.org/wp-content/uploads/2019/05/Hybrid_Striped_Bass_Production_in_Ponds_Enterprise_Budget.pdf" xr:uid="{774B1E59-BD3C-49AE-A09E-494A5760FDC3}"/>
    <hyperlink ref="V5" r:id="rId6" display="https://marine-aquaculture.extension.org/wp-content/uploads/2019/05/Hybrid_Striped_Bass_Production_in_Ponds_Enterprise_Budget.pdf" xr:uid="{7EA002FF-5371-4073-BB37-2219AAB7BDD2}"/>
    <hyperlink ref="V4" r:id="rId7" display="https://marine-aquaculture.extension.org/wp-content/uploads/2019/05/Hybrid_Striped_Bass_Production_in_Ponds_Enterprise_Budget.pdf" xr:uid="{8A06D69F-7743-493D-BC81-AE0A955A1716}"/>
    <hyperlink ref="V6" r:id="rId8" display="https://marine-aquaculture.extension.org/wp-content/uploads/2019/05/Hybrid_Striped_Bass_Production_in_Ponds_Enterprise_Budget.pdf" xr:uid="{E617B829-F669-4A8E-B3C0-DD3937FB84B7}"/>
    <hyperlink ref="V11" r:id="rId9" xr:uid="{0AA4ED2D-9A12-4F0B-8113-75213644F8AE}"/>
  </hyperlinks>
  <pageMargins left="0.7" right="0.7" top="0.75" bottom="0.75" header="0.3" footer="0.3"/>
  <pageSetup orientation="portrait" r:id="rId10"/>
  <ignoredErrors>
    <ignoredError sqref="C38"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21E99-F656-4C3C-8E46-4452272225A6}">
  <sheetPr codeName="Sheet8"/>
  <dimension ref="A1:AO96"/>
  <sheetViews>
    <sheetView showGridLines="0" zoomScaleNormal="100" workbookViewId="0">
      <selection activeCell="G43" sqref="G43"/>
    </sheetView>
  </sheetViews>
  <sheetFormatPr defaultColWidth="0" defaultRowHeight="0" customHeight="1" zeroHeight="1"/>
  <cols>
    <col min="1" max="1" width="2.33203125" style="125" customWidth="1"/>
    <col min="2" max="2" width="36.77734375" style="181" customWidth="1"/>
    <col min="3" max="4" width="10.77734375" style="181" customWidth="1"/>
    <col min="5" max="5" width="13.77734375" style="181" customWidth="1"/>
    <col min="6" max="9" width="10.77734375" style="181" customWidth="1"/>
    <col min="10" max="11" width="3.33203125" style="125" customWidth="1"/>
    <col min="12" max="12" width="33.5546875" style="125" bestFit="1" customWidth="1"/>
    <col min="13" max="13" width="11.77734375" style="125" customWidth="1"/>
    <col min="14" max="14" width="3.33203125" style="125" customWidth="1"/>
    <col min="15" max="15" width="7.77734375" style="125" customWidth="1"/>
    <col min="16" max="16" width="14.44140625" style="125" customWidth="1"/>
    <col min="17" max="17" width="3.33203125" style="125" customWidth="1"/>
    <col min="18" max="19" width="12.33203125" style="125" hidden="1" customWidth="1"/>
    <col min="20" max="20" width="18" style="125" hidden="1" customWidth="1"/>
    <col min="21" max="21" width="36" style="125" hidden="1" customWidth="1"/>
    <col min="22" max="22" width="14.77734375" style="125" hidden="1" customWidth="1"/>
    <col min="23" max="23" width="10" style="125" hidden="1" customWidth="1"/>
    <col min="24" max="24" width="22.88671875" style="125" hidden="1" customWidth="1"/>
    <col min="25" max="25" width="11.77734375" style="125" hidden="1" customWidth="1"/>
    <col min="26" max="41" width="0" style="125" hidden="1" customWidth="1"/>
    <col min="42" max="16384" width="8.88671875" style="125" hidden="1"/>
  </cols>
  <sheetData>
    <row r="1" spans="2:16" ht="16.5" customHeight="1">
      <c r="B1" s="125"/>
      <c r="C1" s="125"/>
      <c r="D1" s="125"/>
      <c r="E1" s="125"/>
      <c r="F1" s="125"/>
      <c r="G1" s="125"/>
      <c r="H1" s="125"/>
      <c r="I1" s="125"/>
    </row>
    <row r="2" spans="2:16" ht="21">
      <c r="B2" s="707" t="s">
        <v>219</v>
      </c>
      <c r="C2" s="707"/>
      <c r="D2" s="707"/>
      <c r="E2" s="707"/>
      <c r="F2" s="707"/>
      <c r="G2" s="707"/>
      <c r="H2" s="707"/>
      <c r="I2" s="707"/>
      <c r="J2" s="206"/>
      <c r="L2" s="125" t="s">
        <v>402</v>
      </c>
      <c r="N2" s="174"/>
      <c r="O2" s="197" t="s">
        <v>120</v>
      </c>
      <c r="P2" s="245" t="s">
        <v>393</v>
      </c>
    </row>
    <row r="3" spans="2:16" ht="16.5" customHeight="1">
      <c r="B3" s="281"/>
      <c r="C3" s="281"/>
      <c r="D3" s="281"/>
      <c r="E3" s="281"/>
      <c r="F3" s="281"/>
      <c r="G3" s="281"/>
      <c r="H3" s="281"/>
      <c r="I3" s="281"/>
      <c r="L3" s="195" t="s">
        <v>31</v>
      </c>
      <c r="M3" s="196" t="s">
        <v>34</v>
      </c>
      <c r="N3" s="176"/>
      <c r="O3" s="189" t="s">
        <v>383</v>
      </c>
      <c r="P3" s="189" t="s">
        <v>395</v>
      </c>
    </row>
    <row r="4" spans="2:16" ht="16.5" customHeight="1">
      <c r="B4" s="282" t="s">
        <v>88</v>
      </c>
      <c r="C4" s="128" t="s">
        <v>2</v>
      </c>
      <c r="D4" s="150" t="s">
        <v>387</v>
      </c>
      <c r="E4" s="150" t="s">
        <v>32</v>
      </c>
      <c r="F4" s="150" t="s">
        <v>33</v>
      </c>
      <c r="G4" s="150" t="s">
        <v>233</v>
      </c>
      <c r="H4" s="150" t="s">
        <v>93</v>
      </c>
      <c r="I4" s="150" t="s">
        <v>214</v>
      </c>
      <c r="K4" s="138"/>
      <c r="L4" s="193" t="s">
        <v>277</v>
      </c>
      <c r="M4" s="547">
        <v>10000</v>
      </c>
      <c r="N4" s="177" t="s">
        <v>152</v>
      </c>
      <c r="P4" s="166">
        <f>H36</f>
        <v>7.905673094544504</v>
      </c>
    </row>
    <row r="5" spans="2:16" ht="16.5" customHeight="1">
      <c r="B5" s="138" t="s">
        <v>94</v>
      </c>
      <c r="C5" s="161" t="s">
        <v>93</v>
      </c>
      <c r="D5" s="166">
        <f>M19</f>
        <v>9</v>
      </c>
      <c r="E5" s="141">
        <f>E11*M12*M18</f>
        <v>33660</v>
      </c>
      <c r="F5" s="170">
        <f>D5*E5</f>
        <v>302940</v>
      </c>
      <c r="G5" s="170">
        <f>F5/'Capital Inputs'!$D$7</f>
        <v>25245</v>
      </c>
      <c r="H5" s="239">
        <f>D5</f>
        <v>9</v>
      </c>
      <c r="I5" s="185">
        <f>F5/$F$5</f>
        <v>1</v>
      </c>
      <c r="K5" s="138"/>
      <c r="L5" s="193" t="s">
        <v>227</v>
      </c>
      <c r="M5" s="637">
        <v>12</v>
      </c>
      <c r="N5" s="177" t="s">
        <v>152</v>
      </c>
      <c r="O5" s="185">
        <v>0.1</v>
      </c>
      <c r="P5" s="166">
        <f t="dataTable" ref="P5:P37" dt2D="0" dtr="0" r1="M12"/>
        <v>55.734325630361162</v>
      </c>
    </row>
    <row r="6" spans="2:16" ht="16.5" customHeight="1">
      <c r="B6" s="138" t="s">
        <v>35</v>
      </c>
      <c r="C6" s="161" t="s">
        <v>16</v>
      </c>
      <c r="D6" s="166">
        <f>'Operating Inputs'!D25</f>
        <v>1.5</v>
      </c>
      <c r="E6" s="141">
        <f>E5/M16*M17*D6</f>
        <v>6311.25</v>
      </c>
      <c r="F6" s="171">
        <f>D6*E6</f>
        <v>9466.875</v>
      </c>
      <c r="G6" s="171">
        <f>F6/'Capital Inputs'!$D$7</f>
        <v>788.90625</v>
      </c>
      <c r="H6" s="240">
        <f>F6/$E$5</f>
        <v>0.28125</v>
      </c>
      <c r="I6" s="190">
        <f>F6/$F$5</f>
        <v>3.125E-2</v>
      </c>
      <c r="K6" s="152"/>
      <c r="L6" s="193" t="s">
        <v>98</v>
      </c>
      <c r="M6" s="548">
        <v>1.85</v>
      </c>
      <c r="N6" s="177" t="s">
        <v>152</v>
      </c>
      <c r="O6" s="185">
        <v>0.125</v>
      </c>
      <c r="P6" s="166">
        <v>44.893164388909383</v>
      </c>
    </row>
    <row r="7" spans="2:16" ht="16.5" customHeight="1">
      <c r="B7" s="160" t="s">
        <v>89</v>
      </c>
      <c r="C7" s="161"/>
      <c r="D7" s="125"/>
      <c r="E7" s="125"/>
      <c r="F7" s="173">
        <f>F5-F6</f>
        <v>293473.125</v>
      </c>
      <c r="G7" s="173">
        <f>G5-G6</f>
        <v>24456.09375</v>
      </c>
      <c r="H7" s="241">
        <f>F7/$E$5</f>
        <v>8.71875</v>
      </c>
      <c r="I7" s="395">
        <f>F7/$F$5</f>
        <v>0.96875</v>
      </c>
      <c r="K7" s="152"/>
      <c r="L7" s="125" t="s">
        <v>403</v>
      </c>
      <c r="M7" s="547">
        <v>1058.2080000000001</v>
      </c>
      <c r="N7" s="181"/>
      <c r="O7" s="185">
        <v>0.15</v>
      </c>
      <c r="P7" s="166">
        <v>37.665723561274874</v>
      </c>
    </row>
    <row r="8" spans="2:16" ht="16.5" customHeight="1">
      <c r="B8" s="160"/>
      <c r="C8" s="161"/>
      <c r="D8" s="125"/>
      <c r="E8" s="125"/>
      <c r="F8" s="153"/>
      <c r="G8" s="153"/>
      <c r="H8" s="154"/>
      <c r="I8" s="155"/>
      <c r="K8" s="155"/>
      <c r="L8" s="193" t="s">
        <v>119</v>
      </c>
      <c r="M8" s="637">
        <v>140</v>
      </c>
      <c r="N8" s="178" t="s">
        <v>154</v>
      </c>
      <c r="O8" s="185">
        <v>0.17499999999999999</v>
      </c>
      <c r="P8" s="166">
        <v>32.503265827250218</v>
      </c>
    </row>
    <row r="9" spans="2:16" ht="16.5" customHeight="1">
      <c r="B9" s="163" t="s">
        <v>37</v>
      </c>
      <c r="C9" s="128" t="s">
        <v>2</v>
      </c>
      <c r="D9" s="150" t="s">
        <v>387</v>
      </c>
      <c r="E9" s="150" t="s">
        <v>32</v>
      </c>
      <c r="F9" s="150" t="s">
        <v>33</v>
      </c>
      <c r="G9" s="150" t="s">
        <v>233</v>
      </c>
      <c r="H9" s="150" t="s">
        <v>93</v>
      </c>
      <c r="I9" s="150" t="s">
        <v>214</v>
      </c>
      <c r="K9" s="152"/>
      <c r="L9" s="193" t="s">
        <v>137</v>
      </c>
      <c r="M9" s="547">
        <v>1000</v>
      </c>
      <c r="N9" s="177" t="s">
        <v>152</v>
      </c>
      <c r="O9" s="185">
        <v>0.2</v>
      </c>
      <c r="P9" s="166">
        <v>28.631422526731729</v>
      </c>
    </row>
    <row r="10" spans="2:16" ht="16.5" customHeight="1">
      <c r="B10" s="138" t="s">
        <v>38</v>
      </c>
      <c r="C10" s="126" t="s">
        <v>39</v>
      </c>
      <c r="D10" s="166">
        <f>M7</f>
        <v>1058.2080000000001</v>
      </c>
      <c r="E10" s="141">
        <f>AVERAGE(1,M12)*E11*(M18-M14)*M6/2206</f>
        <v>29.167271078875793</v>
      </c>
      <c r="F10" s="170">
        <f>E10*D10</f>
        <v>30865.039593834998</v>
      </c>
      <c r="G10" s="170">
        <f>F10/'Capital Inputs'!$D$7</f>
        <v>2572.086632819583</v>
      </c>
      <c r="H10" s="239">
        <f>F10/$E$5</f>
        <v>0.91696493148648239</v>
      </c>
      <c r="I10" s="185">
        <f>F10/$F$5</f>
        <v>0.10188499238738694</v>
      </c>
      <c r="K10" s="152"/>
      <c r="L10" s="193" t="s">
        <v>170</v>
      </c>
      <c r="M10" s="547">
        <v>700</v>
      </c>
      <c r="N10" s="177" t="s">
        <v>152</v>
      </c>
      <c r="O10" s="185">
        <v>0.22500000000000001</v>
      </c>
      <c r="P10" s="166">
        <v>25.619988848550676</v>
      </c>
    </row>
    <row r="11" spans="2:16" ht="16.5" customHeight="1">
      <c r="B11" s="138" t="s">
        <v>107</v>
      </c>
      <c r="C11" s="126" t="s">
        <v>41</v>
      </c>
      <c r="D11" s="166"/>
      <c r="E11" s="141">
        <f>M4*'Capital Inputs'!D7</f>
        <v>120000</v>
      </c>
      <c r="F11" s="170">
        <f>E11*M15</f>
        <v>120000</v>
      </c>
      <c r="G11" s="170">
        <f>F11/'Capital Inputs'!$D$7</f>
        <v>10000</v>
      </c>
      <c r="H11" s="239">
        <f>F11/$E$5</f>
        <v>3.5650623885918002</v>
      </c>
      <c r="I11" s="185">
        <f>F11/$F$5</f>
        <v>0.39611804317686672</v>
      </c>
      <c r="K11" s="152"/>
      <c r="L11" s="125" t="s">
        <v>228</v>
      </c>
      <c r="M11" s="551">
        <v>500</v>
      </c>
      <c r="N11" s="177"/>
      <c r="O11" s="185">
        <v>0.25</v>
      </c>
      <c r="P11" s="166">
        <v>23.210841906005832</v>
      </c>
    </row>
    <row r="12" spans="2:16" ht="16.5" customHeight="1">
      <c r="B12" s="138" t="s">
        <v>6</v>
      </c>
      <c r="C12" s="161"/>
      <c r="D12" s="166"/>
      <c r="E12" s="125"/>
      <c r="F12" s="170">
        <f>'Operating Inputs'!D7*ROUND(M5/12,0)*'Capital Inputs'!D7</f>
        <v>1800</v>
      </c>
      <c r="G12" s="170">
        <f>F12/'Capital Inputs'!$D$7</f>
        <v>150</v>
      </c>
      <c r="H12" s="239">
        <f>F12/$E$5</f>
        <v>5.3475935828877004E-2</v>
      </c>
      <c r="I12" s="185">
        <f>F12/$F$5</f>
        <v>5.9417706476530005E-3</v>
      </c>
      <c r="K12" s="152"/>
      <c r="L12" s="193" t="s">
        <v>99</v>
      </c>
      <c r="M12" s="549">
        <v>0.85</v>
      </c>
      <c r="N12" s="179" t="s">
        <v>153</v>
      </c>
      <c r="O12" s="185">
        <v>0.27500000000000002</v>
      </c>
      <c r="P12" s="166">
        <v>21.239721680287332</v>
      </c>
    </row>
    <row r="13" spans="2:16" ht="16.5" customHeight="1">
      <c r="B13" s="138" t="s">
        <v>186</v>
      </c>
      <c r="C13" s="126" t="s">
        <v>40</v>
      </c>
      <c r="D13" s="166">
        <f>'Operating Inputs'!D14</f>
        <v>0.4</v>
      </c>
      <c r="E13" s="141">
        <f>M8*'Capital Inputs'!D7</f>
        <v>1680</v>
      </c>
      <c r="F13" s="170">
        <f>D13*E13</f>
        <v>672</v>
      </c>
      <c r="G13" s="170">
        <f>F13/'Capital Inputs'!$D$7</f>
        <v>56</v>
      </c>
      <c r="H13" s="166"/>
      <c r="I13" s="396"/>
      <c r="K13" s="152"/>
      <c r="L13" s="194" t="s">
        <v>164</v>
      </c>
      <c r="M13" s="550">
        <v>7</v>
      </c>
      <c r="N13" s="177" t="s">
        <v>152</v>
      </c>
      <c r="O13" s="185">
        <v>0.3</v>
      </c>
      <c r="P13" s="166">
        <v>19.597121492188577</v>
      </c>
    </row>
    <row r="14" spans="2:16" ht="16.5" customHeight="1">
      <c r="B14" s="138" t="s">
        <v>42</v>
      </c>
      <c r="C14" s="161"/>
      <c r="D14" s="166"/>
      <c r="E14" s="141"/>
      <c r="F14" s="170">
        <f>'Operating Inputs'!D9*F5</f>
        <v>6058.8</v>
      </c>
      <c r="G14" s="170">
        <f>F14/'Capital Inputs'!$D$7</f>
        <v>504.90000000000003</v>
      </c>
      <c r="H14" s="239">
        <f t="shared" ref="H14:H28" si="0">F14/$E$5</f>
        <v>0.18</v>
      </c>
      <c r="I14" s="185">
        <f>F14/$F$5</f>
        <v>0.02</v>
      </c>
      <c r="K14" s="152"/>
      <c r="L14" s="193" t="s">
        <v>283</v>
      </c>
      <c r="M14" s="548">
        <f>1/60</f>
        <v>1.6666666666666666E-2</v>
      </c>
      <c r="N14" s="177" t="s">
        <v>280</v>
      </c>
      <c r="O14" s="185">
        <v>0.32500000000000001</v>
      </c>
      <c r="P14" s="166">
        <v>18.207229025335788</v>
      </c>
    </row>
    <row r="15" spans="2:16" ht="16.5" customHeight="1">
      <c r="B15" s="138" t="s">
        <v>11</v>
      </c>
      <c r="C15" s="161"/>
      <c r="D15" s="166"/>
      <c r="E15" s="141"/>
      <c r="F15" s="170">
        <f>('Operating Inputs'!D15*'Operating Inputs'!C42/2000+'Operating Inputs'!C43*'Operating Inputs'!D16+'Operating Inputs'!C44)*'Capital Inputs'!D7</f>
        <v>1153.5</v>
      </c>
      <c r="G15" s="170">
        <f>F15/'Capital Inputs'!$D$7</f>
        <v>96.125</v>
      </c>
      <c r="H15" s="239">
        <f t="shared" si="0"/>
        <v>3.4269162210338683E-2</v>
      </c>
      <c r="I15" s="185">
        <f>F15/$F$5</f>
        <v>3.8076846900376312E-3</v>
      </c>
      <c r="K15" s="152"/>
      <c r="L15" s="193" t="s">
        <v>284</v>
      </c>
      <c r="M15" s="551">
        <v>1</v>
      </c>
      <c r="N15" s="177" t="s">
        <v>274</v>
      </c>
      <c r="O15" s="185">
        <v>0.35</v>
      </c>
      <c r="P15" s="166">
        <v>17.015892625176249</v>
      </c>
    </row>
    <row r="16" spans="2:16" ht="16.5" customHeight="1">
      <c r="B16" s="138" t="s">
        <v>43</v>
      </c>
      <c r="C16" s="161"/>
      <c r="D16" s="166"/>
      <c r="E16" s="141"/>
      <c r="F16" s="170">
        <f>('Operating Inputs'!D10*('Capital Inputs'!D6+'Capital Inputs'!D5)/'Capital Inputs'!D7+'Capital Inputs'!G40)*ROUND(M5/12,0)</f>
        <v>7401.0389999999998</v>
      </c>
      <c r="G16" s="170">
        <f>F16/'Capital Inputs'!$D$7</f>
        <v>616.75324999999998</v>
      </c>
      <c r="H16" s="239">
        <f t="shared" si="0"/>
        <v>0.21987638146167557</v>
      </c>
      <c r="I16" s="185">
        <f>F16/$F$5</f>
        <v>2.4430709051297284E-2</v>
      </c>
      <c r="K16" s="152"/>
      <c r="L16" s="193" t="s">
        <v>217</v>
      </c>
      <c r="M16" s="547">
        <v>2000</v>
      </c>
      <c r="N16" s="179"/>
      <c r="O16" s="185">
        <v>0.375</v>
      </c>
      <c r="P16" s="166">
        <v>15.983401078371317</v>
      </c>
    </row>
    <row r="17" spans="2:19" ht="16.5" customHeight="1">
      <c r="B17" s="138" t="s">
        <v>44</v>
      </c>
      <c r="C17" s="161"/>
      <c r="D17" s="166"/>
      <c r="E17" s="141"/>
      <c r="F17" s="170">
        <f>SUM(F18:F21)</f>
        <v>11795.18</v>
      </c>
      <c r="G17" s="170">
        <f>F17/'Capital Inputs'!$D$7</f>
        <v>982.93166666666673</v>
      </c>
      <c r="H17" s="239">
        <f t="shared" si="0"/>
        <v>0.35042127153891861</v>
      </c>
      <c r="I17" s="185">
        <f>F17/$F$5</f>
        <v>3.8935696837657623E-2</v>
      </c>
      <c r="K17" s="152"/>
      <c r="L17" s="193" t="s">
        <v>218</v>
      </c>
      <c r="M17" s="547">
        <v>250</v>
      </c>
      <c r="N17" s="181"/>
      <c r="O17" s="185">
        <v>0.4</v>
      </c>
      <c r="P17" s="166">
        <v>15.079970974917005</v>
      </c>
    </row>
    <row r="18" spans="2:19" ht="16.5" customHeight="1">
      <c r="B18" s="157" t="s">
        <v>171</v>
      </c>
      <c r="C18" s="126" t="s">
        <v>73</v>
      </c>
      <c r="D18" s="166">
        <f>'Operating Inputs'!D22</f>
        <v>0.15</v>
      </c>
      <c r="E18" s="141">
        <f>'Capital Inputs'!D7*'Operating Inputs'!D19*0.7457*M9</f>
        <v>26845.200000000001</v>
      </c>
      <c r="F18" s="133">
        <f>E18*'Operating Inputs'!D22</f>
        <v>4026.7799999999997</v>
      </c>
      <c r="G18" s="133">
        <f>F18/'Capital Inputs'!$D$7</f>
        <v>335.565</v>
      </c>
      <c r="H18" s="239">
        <f t="shared" si="0"/>
        <v>0.11963101604278074</v>
      </c>
      <c r="I18" s="396"/>
      <c r="K18" s="152"/>
      <c r="L18" s="193" t="s">
        <v>278</v>
      </c>
      <c r="M18" s="548">
        <v>0.33</v>
      </c>
      <c r="N18" s="181"/>
      <c r="O18" s="185">
        <v>0.42499999999999999</v>
      </c>
      <c r="P18" s="166">
        <v>14.282826765986727</v>
      </c>
    </row>
    <row r="19" spans="2:19" ht="16.5" customHeight="1">
      <c r="B19" s="157" t="s">
        <v>184</v>
      </c>
      <c r="C19" s="126" t="s">
        <v>73</v>
      </c>
      <c r="D19" s="166">
        <f>'Operating Inputs'!D22</f>
        <v>0.15</v>
      </c>
      <c r="E19" s="141">
        <f>'Capital Inputs'!D7*M13*'Operating Inputs'!D28*'Operating Inputs'!D29</f>
        <v>23016.000000000004</v>
      </c>
      <c r="F19" s="133">
        <f>E19*D19</f>
        <v>3452.4000000000005</v>
      </c>
      <c r="G19" s="133">
        <f>F19/'Capital Inputs'!$D$7</f>
        <v>287.70000000000005</v>
      </c>
      <c r="H19" s="239">
        <f t="shared" si="0"/>
        <v>0.10256684491978611</v>
      </c>
      <c r="I19" s="396"/>
      <c r="K19" s="152"/>
      <c r="L19" s="129" t="s">
        <v>279</v>
      </c>
      <c r="M19" s="638">
        <v>9</v>
      </c>
      <c r="N19" s="177" t="s">
        <v>282</v>
      </c>
      <c r="O19" s="185">
        <v>0.45</v>
      </c>
      <c r="P19" s="166">
        <v>13.574254135826479</v>
      </c>
    </row>
    <row r="20" spans="2:19" ht="16.5" customHeight="1">
      <c r="B20" s="157" t="s">
        <v>162</v>
      </c>
      <c r="C20" s="126" t="s">
        <v>226</v>
      </c>
      <c r="D20" s="166">
        <v>3.5</v>
      </c>
      <c r="E20" s="141">
        <f>'Operating Inputs'!D26*M5</f>
        <v>600</v>
      </c>
      <c r="F20" s="133">
        <f>D20*E20</f>
        <v>2100</v>
      </c>
      <c r="G20" s="133">
        <f>F20/'Capital Inputs'!$D$7</f>
        <v>175</v>
      </c>
      <c r="H20" s="239">
        <f t="shared" si="0"/>
        <v>6.2388591800356503E-2</v>
      </c>
      <c r="I20" s="396"/>
      <c r="K20" s="152"/>
      <c r="N20" s="181"/>
      <c r="O20" s="185">
        <v>0.47499999999999998</v>
      </c>
      <c r="P20" s="166">
        <v>12.940268098314677</v>
      </c>
      <c r="R20" s="181"/>
      <c r="S20" s="181"/>
    </row>
    <row r="21" spans="2:19" ht="16.5" customHeight="1">
      <c r="B21" s="157" t="s">
        <v>204</v>
      </c>
      <c r="C21" s="126"/>
      <c r="D21" s="166"/>
      <c r="E21" s="141"/>
      <c r="F21" s="133">
        <f>('Operating Inputs'!D24*'Operating Inputs'!D22*ROUND(M5/12,0)*12 + 'Operating Inputs'!D21)</f>
        <v>2216</v>
      </c>
      <c r="G21" s="133">
        <f>F21/'Capital Inputs'!$D$7</f>
        <v>184.66666666666666</v>
      </c>
      <c r="H21" s="239">
        <f t="shared" si="0"/>
        <v>6.5834818775995244E-2</v>
      </c>
      <c r="I21" s="396"/>
      <c r="K21" s="152"/>
      <c r="O21" s="185">
        <v>0.5</v>
      </c>
      <c r="P21" s="166">
        <v>12.36968066455406</v>
      </c>
      <c r="R21" s="181"/>
      <c r="S21" s="181"/>
    </row>
    <row r="22" spans="2:19" ht="16.5" customHeight="1">
      <c r="B22" s="138" t="s">
        <v>281</v>
      </c>
      <c r="C22" s="126"/>
      <c r="D22" s="166"/>
      <c r="E22" s="141"/>
      <c r="F22" s="133">
        <f>M11*M5/12</f>
        <v>500</v>
      </c>
      <c r="G22" s="133">
        <f>F22/'Capital Inputs'!$D$7</f>
        <v>41.666666666666664</v>
      </c>
      <c r="H22" s="239">
        <f t="shared" si="0"/>
        <v>1.4854426619132501E-2</v>
      </c>
      <c r="I22" s="396"/>
      <c r="O22" s="185">
        <v>0.52500000000000002</v>
      </c>
      <c r="P22" s="166">
        <v>11.853434891151595</v>
      </c>
      <c r="Q22" s="207" t="str">
        <f>P2</f>
        <v xml:space="preserve">Breakeven price </v>
      </c>
      <c r="R22" s="207" t="str">
        <f>O2</f>
        <v>Survival</v>
      </c>
      <c r="S22" s="207" t="str">
        <f>P2</f>
        <v xml:space="preserve">Breakeven price </v>
      </c>
    </row>
    <row r="23" spans="2:19" ht="16.5" customHeight="1">
      <c r="B23" s="138" t="s">
        <v>90</v>
      </c>
      <c r="C23" s="161"/>
      <c r="D23" s="166"/>
      <c r="E23" s="141">
        <f>M10*M5/12</f>
        <v>700</v>
      </c>
      <c r="F23" s="170">
        <f>'Operating Inputs'!D5*M10</f>
        <v>12950</v>
      </c>
      <c r="G23" s="170">
        <f>F23/'Capital Inputs'!$D$7</f>
        <v>1079.1666666666667</v>
      </c>
      <c r="H23" s="239">
        <f t="shared" si="0"/>
        <v>0.38472964943553178</v>
      </c>
      <c r="I23" s="185">
        <f t="shared" ref="I23:I28" si="1">F23/$F$5</f>
        <v>4.2747738826170202E-2</v>
      </c>
      <c r="O23" s="185">
        <v>0.55000000000000004</v>
      </c>
      <c r="P23" s="166">
        <v>11.384120551694808</v>
      </c>
      <c r="Q23" s="209">
        <f t="shared" ref="Q23:Q39" si="2">P5</f>
        <v>55.734325630361162</v>
      </c>
      <c r="R23" s="208">
        <f t="shared" ref="R23:R38" si="3">O22</f>
        <v>0.52500000000000002</v>
      </c>
      <c r="S23" s="209">
        <f t="shared" ref="S23:S38" si="4">P22</f>
        <v>11.853434891151595</v>
      </c>
    </row>
    <row r="24" spans="2:19" ht="16.5" customHeight="1">
      <c r="B24" s="138" t="s">
        <v>74</v>
      </c>
      <c r="C24" s="161"/>
      <c r="D24" s="166"/>
      <c r="E24" s="141"/>
      <c r="F24" s="170">
        <f>'Operating Inputs'!D11*M5/12</f>
        <v>2400</v>
      </c>
      <c r="G24" s="170">
        <f>F24/'Capital Inputs'!$D$7</f>
        <v>200</v>
      </c>
      <c r="H24" s="239">
        <f t="shared" si="0"/>
        <v>7.130124777183601E-2</v>
      </c>
      <c r="I24" s="185">
        <f t="shared" si="1"/>
        <v>7.9223608635373335E-3</v>
      </c>
      <c r="O24" s="185">
        <v>0.57499999999999996</v>
      </c>
      <c r="P24" s="166">
        <v>10.955616154799479</v>
      </c>
      <c r="Q24" s="209">
        <f t="shared" si="2"/>
        <v>44.893164388909383</v>
      </c>
      <c r="R24" s="208">
        <f t="shared" si="3"/>
        <v>0.55000000000000004</v>
      </c>
      <c r="S24" s="209">
        <f t="shared" si="4"/>
        <v>11.384120551694808</v>
      </c>
    </row>
    <row r="25" spans="2:19" ht="16.5" customHeight="1">
      <c r="B25" s="138" t="s">
        <v>8</v>
      </c>
      <c r="C25" s="161" t="s">
        <v>214</v>
      </c>
      <c r="D25" s="143">
        <f>'Operating Inputs'!D8</f>
        <v>0.1</v>
      </c>
      <c r="E25" s="141">
        <f>F5</f>
        <v>302940</v>
      </c>
      <c r="F25" s="170">
        <f>D25*E25</f>
        <v>30294</v>
      </c>
      <c r="G25" s="170">
        <f>F25/'Capital Inputs'!$D$7</f>
        <v>2524.5</v>
      </c>
      <c r="H25" s="239">
        <f t="shared" si="0"/>
        <v>0.9</v>
      </c>
      <c r="I25" s="185">
        <f t="shared" si="1"/>
        <v>0.1</v>
      </c>
      <c r="O25" s="185">
        <v>0.6</v>
      </c>
      <c r="P25" s="166">
        <v>10.562820457645429</v>
      </c>
      <c r="Q25" s="209">
        <f t="shared" si="2"/>
        <v>37.665723561274874</v>
      </c>
      <c r="R25" s="208">
        <f t="shared" si="3"/>
        <v>0.57499999999999996</v>
      </c>
      <c r="S25" s="209">
        <f t="shared" si="4"/>
        <v>10.955616154799479</v>
      </c>
    </row>
    <row r="26" spans="2:19" ht="16.5" customHeight="1">
      <c r="B26" s="138" t="s">
        <v>45</v>
      </c>
      <c r="C26" s="161"/>
      <c r="D26" s="125"/>
      <c r="E26" s="125"/>
      <c r="F26" s="546">
        <v>0</v>
      </c>
      <c r="G26" s="170">
        <f>F26/'Capital Inputs'!$D$7</f>
        <v>0</v>
      </c>
      <c r="H26" s="239">
        <f t="shared" si="0"/>
        <v>0</v>
      </c>
      <c r="I26" s="185">
        <f t="shared" si="1"/>
        <v>0</v>
      </c>
      <c r="O26" s="185">
        <v>0.625</v>
      </c>
      <c r="P26" s="166">
        <v>10.201448416263705</v>
      </c>
      <c r="Q26" s="209">
        <f t="shared" si="2"/>
        <v>32.503265827250218</v>
      </c>
      <c r="R26" s="208">
        <f t="shared" si="3"/>
        <v>0.6</v>
      </c>
      <c r="S26" s="209">
        <f t="shared" si="4"/>
        <v>10.562820457645429</v>
      </c>
    </row>
    <row r="27" spans="2:19" ht="16.5" customHeight="1">
      <c r="B27" s="138" t="s">
        <v>46</v>
      </c>
      <c r="C27" s="161" t="s">
        <v>14</v>
      </c>
      <c r="D27" s="144">
        <f>'Operating Inputs'!D12</f>
        <v>7.2499999999999995E-2</v>
      </c>
      <c r="E27" s="125"/>
      <c r="F27" s="171">
        <f>SUM(F10:F17,F22:F26)/2*(1-'Operating Inputs'!D13)*D27*M5/12</f>
        <v>4094.248249513259</v>
      </c>
      <c r="G27" s="171">
        <f>F27/'Capital Inputs'!$D$7</f>
        <v>341.18735412610494</v>
      </c>
      <c r="H27" s="240">
        <f t="shared" si="0"/>
        <v>0.1216354203658128</v>
      </c>
      <c r="I27" s="190">
        <f t="shared" si="1"/>
        <v>1.3515046707312534E-2</v>
      </c>
      <c r="O27" s="185">
        <v>0.65</v>
      </c>
      <c r="P27" s="166">
        <v>9.8678742242190332</v>
      </c>
      <c r="Q27" s="209">
        <f t="shared" si="2"/>
        <v>28.631422526731729</v>
      </c>
      <c r="R27" s="208">
        <f t="shared" si="3"/>
        <v>0.625</v>
      </c>
      <c r="S27" s="209">
        <f t="shared" si="4"/>
        <v>10.201448416263705</v>
      </c>
    </row>
    <row r="28" spans="2:19" ht="16.5" customHeight="1">
      <c r="B28" s="257" t="s">
        <v>47</v>
      </c>
      <c r="C28" s="233"/>
      <c r="D28" s="125"/>
      <c r="E28" s="125"/>
      <c r="F28" s="172">
        <f>SUM(F10:F27)-F17</f>
        <v>229983.80684334825</v>
      </c>
      <c r="G28" s="172">
        <f>F28/'Capital Inputs'!$D$7</f>
        <v>19165.317236945688</v>
      </c>
      <c r="H28" s="241">
        <f t="shared" si="0"/>
        <v>6.8325551646865197</v>
      </c>
      <c r="I28" s="395">
        <f t="shared" si="1"/>
        <v>0.75917279607627997</v>
      </c>
      <c r="O28" s="185">
        <v>0.67500000000000004</v>
      </c>
      <c r="P28" s="166">
        <v>9.5590092315850814</v>
      </c>
      <c r="Q28" s="209">
        <f t="shared" si="2"/>
        <v>25.619988848550676</v>
      </c>
      <c r="R28" s="208">
        <f t="shared" si="3"/>
        <v>0.65</v>
      </c>
      <c r="S28" s="209">
        <f t="shared" si="4"/>
        <v>9.8678742242190332</v>
      </c>
    </row>
    <row r="29" spans="2:19" ht="16.5" customHeight="1">
      <c r="B29" s="257"/>
      <c r="C29" s="233"/>
      <c r="D29" s="125"/>
      <c r="E29" s="125"/>
      <c r="F29" s="172"/>
      <c r="G29" s="172"/>
      <c r="H29" s="241"/>
      <c r="I29" s="155"/>
      <c r="O29" s="185">
        <v>0.7</v>
      </c>
      <c r="P29" s="166">
        <v>9.2722060241392672</v>
      </c>
      <c r="Q29" s="209">
        <f t="shared" si="2"/>
        <v>23.210841906005832</v>
      </c>
      <c r="R29" s="208">
        <f t="shared" si="3"/>
        <v>0.67500000000000004</v>
      </c>
      <c r="S29" s="209">
        <f t="shared" si="4"/>
        <v>9.5590092315850814</v>
      </c>
    </row>
    <row r="30" spans="2:19" ht="16.5" customHeight="1">
      <c r="B30" s="163" t="s">
        <v>48</v>
      </c>
      <c r="C30" s="128" t="s">
        <v>2</v>
      </c>
      <c r="D30" s="150" t="s">
        <v>387</v>
      </c>
      <c r="E30" s="150" t="s">
        <v>32</v>
      </c>
      <c r="F30" s="150" t="s">
        <v>33</v>
      </c>
      <c r="G30" s="150" t="s">
        <v>233</v>
      </c>
      <c r="H30" s="150" t="s">
        <v>93</v>
      </c>
      <c r="I30" s="150" t="s">
        <v>214</v>
      </c>
      <c r="O30" s="185">
        <v>0.72499999999999998</v>
      </c>
      <c r="P30" s="166">
        <v>9.0051823482414388</v>
      </c>
      <c r="Q30" s="209">
        <f t="shared" si="2"/>
        <v>21.239721680287332</v>
      </c>
      <c r="R30" s="208">
        <f t="shared" si="3"/>
        <v>0.7</v>
      </c>
      <c r="S30" s="209">
        <f t="shared" si="4"/>
        <v>9.2722060241392672</v>
      </c>
    </row>
    <row r="31" spans="2:19" ht="16.5" customHeight="1">
      <c r="B31" s="138" t="s">
        <v>25</v>
      </c>
      <c r="C31" s="161" t="s">
        <v>81</v>
      </c>
      <c r="D31" s="146"/>
      <c r="E31" s="125"/>
      <c r="F31" s="170">
        <f>'Operating Inputs'!D31*'Capital Inputs'!K43</f>
        <v>2294.50875</v>
      </c>
      <c r="G31" s="170">
        <f>F31/'Capital Inputs'!$D$7</f>
        <v>191.20906249999999</v>
      </c>
      <c r="H31" s="239">
        <f>F31/$E$5</f>
        <v>6.8167223707664884E-2</v>
      </c>
      <c r="I31" s="185">
        <f>F31/$F$5</f>
        <v>7.5741359675183207E-3</v>
      </c>
      <c r="O31" s="185">
        <v>0.75</v>
      </c>
      <c r="P31" s="166">
        <v>8.755960250736802</v>
      </c>
      <c r="Q31" s="209">
        <f t="shared" si="2"/>
        <v>19.597121492188577</v>
      </c>
      <c r="R31" s="208">
        <f t="shared" si="3"/>
        <v>0.72499999999999998</v>
      </c>
      <c r="S31" s="209">
        <f t="shared" si="4"/>
        <v>9.0051823482414388</v>
      </c>
    </row>
    <row r="32" spans="2:19" ht="16.5" customHeight="1">
      <c r="B32" s="138" t="s">
        <v>49</v>
      </c>
      <c r="C32" s="161" t="s">
        <v>81</v>
      </c>
      <c r="D32" s="146"/>
      <c r="E32" s="125"/>
      <c r="F32" s="170">
        <f>'Operating Inputs'!D32</f>
        <v>1500</v>
      </c>
      <c r="G32" s="170">
        <f>F32/'Capital Inputs'!$D$7</f>
        <v>125</v>
      </c>
      <c r="H32" s="239">
        <f>F32/$E$5</f>
        <v>4.4563279857397504E-2</v>
      </c>
      <c r="I32" s="185">
        <f>F32/$F$5</f>
        <v>4.9514755397108336E-3</v>
      </c>
      <c r="O32" s="185">
        <v>0.77500000000000002</v>
      </c>
      <c r="P32" s="166">
        <v>8.5228169982324609</v>
      </c>
      <c r="Q32" s="209">
        <f t="shared" si="2"/>
        <v>18.207229025335788</v>
      </c>
      <c r="R32" s="208">
        <f t="shared" si="3"/>
        <v>0.75</v>
      </c>
      <c r="S32" s="209">
        <f t="shared" si="4"/>
        <v>8.755960250736802</v>
      </c>
    </row>
    <row r="33" spans="2:19" ht="16.5" customHeight="1">
      <c r="B33" s="138" t="s">
        <v>108</v>
      </c>
      <c r="C33" s="161"/>
      <c r="D33" s="144">
        <f>'Operating Inputs'!D34</f>
        <v>7.2499999999999995E-2</v>
      </c>
      <c r="E33" s="125"/>
      <c r="F33" s="171">
        <f>'Capital Inputs'!L43*ROUND(M5/12,0)</f>
        <v>32326.640769019774</v>
      </c>
      <c r="G33" s="171">
        <f>F33/'Capital Inputs'!$D$7</f>
        <v>2693.886730751648</v>
      </c>
      <c r="H33" s="240">
        <f>F33/$E$5</f>
        <v>0.96038742629292262</v>
      </c>
      <c r="I33" s="190">
        <f>F33/$F$5</f>
        <v>0.10670971403254695</v>
      </c>
      <c r="O33" s="185">
        <v>0.8</v>
      </c>
      <c r="P33" s="166">
        <v>8.3042451990096424</v>
      </c>
      <c r="Q33" s="209">
        <f t="shared" si="2"/>
        <v>17.015892625176249</v>
      </c>
      <c r="R33" s="208">
        <f t="shared" si="3"/>
        <v>0.77500000000000002</v>
      </c>
      <c r="S33" s="209">
        <f t="shared" si="4"/>
        <v>8.5228169982324609</v>
      </c>
    </row>
    <row r="34" spans="2:19" ht="16.5" customHeight="1">
      <c r="B34" s="257" t="s">
        <v>50</v>
      </c>
      <c r="C34" s="233"/>
      <c r="D34" s="125"/>
      <c r="E34" s="125"/>
      <c r="F34" s="172">
        <f>SUM(F31:F33)</f>
        <v>36121.149519019775</v>
      </c>
      <c r="G34" s="172">
        <f>SUM(G31:G33)</f>
        <v>3010.095793251648</v>
      </c>
      <c r="H34" s="241">
        <f>F34/$E$5</f>
        <v>1.0731179298579849</v>
      </c>
      <c r="I34" s="395">
        <f>F34/$F$5</f>
        <v>0.11923532553977612</v>
      </c>
      <c r="O34" s="185">
        <v>0.82499999999999996</v>
      </c>
      <c r="P34" s="166">
        <v>8.0989201754972999</v>
      </c>
      <c r="Q34" s="209">
        <f t="shared" si="2"/>
        <v>15.983401078371317</v>
      </c>
      <c r="R34" s="208">
        <f t="shared" si="3"/>
        <v>0.8</v>
      </c>
      <c r="S34" s="209">
        <f t="shared" si="4"/>
        <v>8.3042451990096424</v>
      </c>
    </row>
    <row r="35" spans="2:19" ht="16.5" customHeight="1">
      <c r="B35" s="257"/>
      <c r="C35" s="233"/>
      <c r="D35" s="125"/>
      <c r="E35" s="125"/>
      <c r="F35" s="172"/>
      <c r="G35" s="172"/>
      <c r="H35" s="239"/>
      <c r="I35" s="395"/>
      <c r="O35" s="185">
        <v>0.85</v>
      </c>
      <c r="P35" s="166">
        <v>7.905673094544504</v>
      </c>
      <c r="Q35" s="209">
        <f t="shared" si="2"/>
        <v>15.079970974917005</v>
      </c>
      <c r="R35" s="208">
        <f t="shared" si="3"/>
        <v>0.82499999999999996</v>
      </c>
      <c r="S35" s="209">
        <f t="shared" si="4"/>
        <v>8.0989201754972999</v>
      </c>
    </row>
    <row r="36" spans="2:19" ht="16.5" customHeight="1">
      <c r="B36" s="147" t="s">
        <v>51</v>
      </c>
      <c r="C36" s="211"/>
      <c r="D36" s="134"/>
      <c r="E36" s="134"/>
      <c r="F36" s="284">
        <f>SUM(F34,F28)</f>
        <v>266104.95636236802</v>
      </c>
      <c r="G36" s="284">
        <f>SUM(G34,G28)</f>
        <v>22175.413030197335</v>
      </c>
      <c r="H36" s="286">
        <f>F36/$E$5</f>
        <v>7.905673094544504</v>
      </c>
      <c r="I36" s="404">
        <f>F36/$F$5</f>
        <v>0.87840812161605608</v>
      </c>
      <c r="O36" s="185">
        <v>0.875</v>
      </c>
      <c r="P36" s="166">
        <v>7.7234687039318706</v>
      </c>
      <c r="Q36" s="209">
        <f t="shared" si="2"/>
        <v>14.282826765986727</v>
      </c>
      <c r="R36" s="208">
        <f t="shared" si="3"/>
        <v>0.85</v>
      </c>
      <c r="S36" s="209">
        <f t="shared" si="4"/>
        <v>7.905673094544504</v>
      </c>
    </row>
    <row r="37" spans="2:19" ht="16.5" customHeight="1">
      <c r="B37" s="145" t="s">
        <v>121</v>
      </c>
      <c r="C37" s="210"/>
      <c r="D37" s="129"/>
      <c r="E37" s="129"/>
      <c r="F37" s="285">
        <f>F7-F36</f>
        <v>27368.168637631985</v>
      </c>
      <c r="G37" s="285">
        <f>G7-G36</f>
        <v>2280.6807198026654</v>
      </c>
      <c r="H37" s="287">
        <f>F37/$E$5</f>
        <v>0.81307690545549571</v>
      </c>
      <c r="I37" s="397">
        <f>F37/$F$5</f>
        <v>9.034187838394396E-2</v>
      </c>
      <c r="O37" s="190">
        <v>0.9</v>
      </c>
      <c r="P37" s="192">
        <v>7.551386779464381</v>
      </c>
      <c r="Q37" s="209">
        <f t="shared" si="2"/>
        <v>13.574254135826479</v>
      </c>
      <c r="R37" s="208">
        <f t="shared" si="3"/>
        <v>0.875</v>
      </c>
      <c r="S37" s="209">
        <f t="shared" si="4"/>
        <v>7.7234687039318706</v>
      </c>
    </row>
    <row r="38" spans="2:19" ht="16.5" customHeight="1">
      <c r="B38" s="125"/>
      <c r="C38" s="125"/>
      <c r="D38" s="125"/>
      <c r="E38" s="125"/>
      <c r="H38" s="125"/>
      <c r="I38" s="125"/>
      <c r="J38" s="212"/>
      <c r="P38" s="208">
        <f>O20</f>
        <v>0.47499999999999998</v>
      </c>
      <c r="Q38" s="209">
        <f t="shared" si="2"/>
        <v>12.940268098314677</v>
      </c>
      <c r="R38" s="208">
        <f t="shared" si="3"/>
        <v>0.9</v>
      </c>
      <c r="S38" s="209">
        <f t="shared" si="4"/>
        <v>7.551386779464381</v>
      </c>
    </row>
    <row r="39" spans="2:19" ht="16.5" customHeight="1">
      <c r="B39" s="290" t="s">
        <v>326</v>
      </c>
      <c r="C39" s="291" cm="1">
        <f t="array" ref="C39">IFERROR(INDEX(_xlfn._xlws.FILTER(B68:B77,F68:F77&gt; 0), 1),"&gt;10 years")</f>
        <v>8</v>
      </c>
      <c r="D39" s="125"/>
      <c r="E39" s="125"/>
      <c r="H39" s="125"/>
      <c r="I39" s="125"/>
      <c r="J39" s="214"/>
      <c r="P39" s="208">
        <f>O21</f>
        <v>0.5</v>
      </c>
      <c r="Q39" s="209">
        <f t="shared" si="2"/>
        <v>12.36968066455406</v>
      </c>
      <c r="R39" s="181"/>
      <c r="S39" s="181"/>
    </row>
    <row r="40" spans="2:19" ht="16.5" customHeight="1">
      <c r="B40" s="159" t="s">
        <v>331</v>
      </c>
      <c r="C40" s="288">
        <f>IFERROR(IRR(E67:E77),"High loss")</f>
        <v>0.12043560440325041</v>
      </c>
      <c r="D40" s="125"/>
      <c r="E40" s="125"/>
      <c r="H40" s="125"/>
      <c r="I40" s="125"/>
      <c r="P40" s="181"/>
      <c r="Q40" s="181"/>
      <c r="R40" s="181"/>
      <c r="S40" s="181"/>
    </row>
    <row r="41" spans="2:19" ht="16.5" customHeight="1">
      <c r="B41" s="164" t="str">
        <f>"NPV at " &amp; 100*D33 &amp; " % in 10 years"</f>
        <v>NPV at 7.25 % in 10 years</v>
      </c>
      <c r="C41" s="289">
        <f>NPV(D33,E67:E77)</f>
        <v>117464.47877141873</v>
      </c>
      <c r="D41" s="125"/>
      <c r="E41" s="125"/>
      <c r="F41" s="125"/>
      <c r="G41" s="125"/>
      <c r="H41" s="125"/>
      <c r="I41" s="125"/>
      <c r="P41" s="181"/>
      <c r="Q41" s="181"/>
      <c r="R41" s="181"/>
      <c r="S41" s="181"/>
    </row>
    <row r="42" spans="2:19" ht="15.75">
      <c r="B42" s="125"/>
      <c r="C42" s="125"/>
      <c r="D42" s="125"/>
      <c r="E42" s="125"/>
      <c r="F42" s="213" t="s">
        <v>36</v>
      </c>
      <c r="G42" s="213"/>
      <c r="H42" s="214"/>
      <c r="I42" s="214"/>
      <c r="P42" s="181"/>
      <c r="Q42" s="181"/>
      <c r="R42" s="181"/>
      <c r="S42" s="181"/>
    </row>
    <row r="43" spans="2:19" ht="34.5">
      <c r="B43" s="300"/>
      <c r="C43" s="298" t="s">
        <v>393</v>
      </c>
      <c r="D43" s="298" t="s">
        <v>389</v>
      </c>
      <c r="E43" s="299" t="s">
        <v>391</v>
      </c>
      <c r="F43" s="213" t="s">
        <v>54</v>
      </c>
      <c r="G43" s="213"/>
      <c r="H43" s="214"/>
      <c r="I43" s="125"/>
      <c r="J43" s="219"/>
      <c r="P43" s="181"/>
      <c r="Q43" s="181"/>
      <c r="R43" s="181"/>
      <c r="S43" s="181"/>
    </row>
    <row r="44" spans="2:19" ht="17.25">
      <c r="B44" s="34"/>
      <c r="C44" s="301" t="s">
        <v>388</v>
      </c>
      <c r="D44" s="301" t="s">
        <v>390</v>
      </c>
      <c r="E44" s="301" t="s">
        <v>392</v>
      </c>
      <c r="F44" s="213"/>
      <c r="G44" s="213"/>
      <c r="H44" s="214"/>
      <c r="I44" s="125"/>
      <c r="J44" s="219"/>
      <c r="P44" s="181"/>
      <c r="Q44" s="181"/>
      <c r="R44" s="181"/>
      <c r="S44" s="181"/>
    </row>
    <row r="45" spans="2:19" ht="15.75">
      <c r="B45" s="135" t="s">
        <v>52</v>
      </c>
      <c r="C45" s="639">
        <f>H28</f>
        <v>6.8325551646865197</v>
      </c>
      <c r="D45" s="640">
        <f>F28/H7</f>
        <v>26378.071035796216</v>
      </c>
      <c r="E45" s="132">
        <f>D45*M18/M12</f>
        <v>10240.898166838531</v>
      </c>
      <c r="F45" s="213" t="s">
        <v>55</v>
      </c>
      <c r="G45" s="184"/>
      <c r="H45" s="184"/>
      <c r="I45" s="125"/>
      <c r="J45" s="219"/>
      <c r="P45" s="181"/>
      <c r="Q45" s="181"/>
      <c r="R45" s="181"/>
      <c r="S45" s="181"/>
    </row>
    <row r="46" spans="2:19" ht="15.75">
      <c r="B46" s="140" t="s">
        <v>53</v>
      </c>
      <c r="C46" s="641">
        <f>H36</f>
        <v>7.905673094544504</v>
      </c>
      <c r="D46" s="642">
        <f>F36/H7</f>
        <v>30520.99857919633</v>
      </c>
      <c r="E46" s="643">
        <f>D46*M18/M12</f>
        <v>11849.328860158575</v>
      </c>
      <c r="F46" s="184"/>
      <c r="G46" s="184"/>
      <c r="H46" s="184"/>
      <c r="I46" s="218"/>
      <c r="J46" s="219"/>
      <c r="P46" s="181"/>
      <c r="Q46" s="181"/>
      <c r="R46" s="181"/>
      <c r="S46" s="181"/>
    </row>
    <row r="47" spans="2:19" ht="15.75" hidden="1">
      <c r="B47" s="135"/>
      <c r="C47" s="215"/>
      <c r="D47" s="216"/>
      <c r="E47" s="217"/>
      <c r="F47" s="184"/>
      <c r="G47" s="184"/>
      <c r="H47" s="184"/>
      <c r="I47" s="218"/>
      <c r="J47" s="219"/>
      <c r="P47" s="181"/>
      <c r="Q47" s="181"/>
      <c r="R47" s="181"/>
      <c r="S47" s="181"/>
    </row>
    <row r="48" spans="2:19" ht="15.75" hidden="1">
      <c r="B48" s="135"/>
      <c r="C48" s="215"/>
      <c r="D48" s="216"/>
      <c r="E48" s="217"/>
      <c r="F48" s="184"/>
      <c r="G48" s="213"/>
      <c r="H48" s="213"/>
      <c r="I48" s="223"/>
      <c r="K48" s="182"/>
    </row>
    <row r="49" spans="2:4" ht="17.25" hidden="1">
      <c r="B49" s="34"/>
      <c r="C49" s="292"/>
      <c r="D49" s="292"/>
    </row>
    <row r="50" spans="2:4" ht="17.25" hidden="1">
      <c r="B50" s="34"/>
      <c r="C50" s="294"/>
      <c r="D50" s="294"/>
    </row>
    <row r="51" spans="2:4" ht="15.75" hidden="1">
      <c r="B51" s="220"/>
      <c r="C51" s="221"/>
      <c r="D51" s="222"/>
    </row>
    <row r="52" spans="2:4" ht="15.75" hidden="1">
      <c r="B52" s="220"/>
      <c r="C52" s="221"/>
      <c r="D52" s="222"/>
    </row>
    <row r="53" spans="2:4" ht="15.75" hidden="1"/>
    <row r="54" spans="2:4" ht="15.75" hidden="1"/>
    <row r="55" spans="2:4" ht="15.75" hidden="1"/>
    <row r="56" spans="2:4" ht="15.75" hidden="1"/>
    <row r="57" spans="2:4" ht="15.75" hidden="1"/>
    <row r="58" spans="2:4" ht="15.75" hidden="1">
      <c r="C58" s="224"/>
    </row>
    <row r="59" spans="2:4" ht="15.75" hidden="1">
      <c r="B59" s="181" t="s">
        <v>103</v>
      </c>
    </row>
    <row r="60" spans="2:4" ht="15.75" hidden="1">
      <c r="B60" s="181" t="s">
        <v>100</v>
      </c>
      <c r="C60" s="225">
        <v>1068.5999999999999</v>
      </c>
      <c r="D60" s="181" t="s">
        <v>101</v>
      </c>
    </row>
    <row r="61" spans="2:4" ht="15.75" hidden="1">
      <c r="B61" s="181" t="s">
        <v>104</v>
      </c>
      <c r="C61" s="225">
        <v>325.85000000000002</v>
      </c>
      <c r="D61" s="181" t="s">
        <v>101</v>
      </c>
    </row>
    <row r="62" spans="2:4" ht="15.75" hidden="1">
      <c r="B62" s="181" t="s">
        <v>105</v>
      </c>
      <c r="C62" s="181">
        <v>3.28084</v>
      </c>
      <c r="D62" s="181" t="s">
        <v>102</v>
      </c>
    </row>
    <row r="63" spans="2:4" ht="15.75" hidden="1">
      <c r="B63" s="220" t="s">
        <v>96</v>
      </c>
      <c r="C63" s="226">
        <v>2.2046199999999998</v>
      </c>
      <c r="D63" s="181" t="s">
        <v>40</v>
      </c>
    </row>
    <row r="64" spans="2:4" ht="15.75" hidden="1"/>
    <row r="65" spans="2:6" ht="15.75" hidden="1">
      <c r="F65" s="213"/>
    </row>
    <row r="66" spans="2:6" ht="15.75" hidden="1">
      <c r="B66" s="227" t="s">
        <v>317</v>
      </c>
      <c r="C66" s="227" t="s">
        <v>319</v>
      </c>
      <c r="D66" s="228" t="s">
        <v>320</v>
      </c>
      <c r="E66" s="228" t="s">
        <v>321</v>
      </c>
      <c r="F66" s="227" t="s">
        <v>322</v>
      </c>
    </row>
    <row r="67" spans="2:6" ht="15.75" hidden="1">
      <c r="B67" s="229">
        <v>0</v>
      </c>
      <c r="C67" s="230">
        <f>'Capital Inputs'!F43</f>
        <v>423964</v>
      </c>
      <c r="D67" s="230">
        <v>0</v>
      </c>
      <c r="E67" s="230">
        <f>D67-C67</f>
        <v>-423964</v>
      </c>
      <c r="F67" s="231">
        <f>E67</f>
        <v>-423964</v>
      </c>
    </row>
    <row r="68" spans="2:6" ht="15.75" hidden="1">
      <c r="B68" s="229">
        <v>1</v>
      </c>
      <c r="C68" s="230">
        <f>'Cash flow for investments- Food'!C2</f>
        <v>0</v>
      </c>
      <c r="D68" s="230">
        <f>F7-F28-F31-F32</f>
        <v>59694.809406651744</v>
      </c>
      <c r="E68" s="230">
        <f t="shared" ref="E68:E76" si="5">D68-C68</f>
        <v>59694.809406651744</v>
      </c>
      <c r="F68" s="231">
        <f>F67+E68</f>
        <v>-364269.19059334823</v>
      </c>
    </row>
    <row r="69" spans="2:6" ht="15.75" hidden="1">
      <c r="B69" s="229">
        <v>2</v>
      </c>
      <c r="C69" s="230">
        <f>'Cash flow for investments- Food'!C3</f>
        <v>0</v>
      </c>
      <c r="D69" s="230">
        <f t="shared" ref="D69:D77" si="6">D68</f>
        <v>59694.809406651744</v>
      </c>
      <c r="E69" s="230">
        <f t="shared" si="5"/>
        <v>59694.809406651744</v>
      </c>
      <c r="F69" s="231">
        <f t="shared" ref="F69:F77" si="7">F68+E69</f>
        <v>-304574.38118669647</v>
      </c>
    </row>
    <row r="70" spans="2:6" ht="15.75" hidden="1">
      <c r="B70" s="229">
        <v>3</v>
      </c>
      <c r="C70" s="230">
        <f>'Cash flow for investments- Food'!C4</f>
        <v>0</v>
      </c>
      <c r="D70" s="230">
        <f t="shared" si="6"/>
        <v>59694.809406651744</v>
      </c>
      <c r="E70" s="230">
        <f t="shared" si="5"/>
        <v>59694.809406651744</v>
      </c>
      <c r="F70" s="231">
        <f t="shared" si="7"/>
        <v>-244879.57178004473</v>
      </c>
    </row>
    <row r="71" spans="2:6" ht="15.75" hidden="1">
      <c r="B71" s="229">
        <v>4</v>
      </c>
      <c r="C71" s="230">
        <f>'Cash flow for investments- Food'!C5</f>
        <v>0</v>
      </c>
      <c r="D71" s="230">
        <f t="shared" si="6"/>
        <v>59694.809406651744</v>
      </c>
      <c r="E71" s="230">
        <f t="shared" si="5"/>
        <v>59694.809406651744</v>
      </c>
      <c r="F71" s="231">
        <f t="shared" si="7"/>
        <v>-185184.76237339299</v>
      </c>
    </row>
    <row r="72" spans="2:6" ht="15.75" hidden="1">
      <c r="B72" s="229">
        <v>5</v>
      </c>
      <c r="C72" s="230">
        <f>'Cash flow for investments- Food'!C6</f>
        <v>414</v>
      </c>
      <c r="D72" s="230">
        <f t="shared" si="6"/>
        <v>59694.809406651744</v>
      </c>
      <c r="E72" s="230">
        <f t="shared" si="5"/>
        <v>59280.809406651744</v>
      </c>
      <c r="F72" s="231">
        <f t="shared" si="7"/>
        <v>-125903.95296674126</v>
      </c>
    </row>
    <row r="73" spans="2:6" ht="15.75" hidden="1">
      <c r="B73" s="229">
        <v>6</v>
      </c>
      <c r="C73" s="230">
        <f>'Cash flow for investments- Food'!C7</f>
        <v>0</v>
      </c>
      <c r="D73" s="230">
        <f t="shared" si="6"/>
        <v>59694.809406651744</v>
      </c>
      <c r="E73" s="230">
        <f t="shared" si="5"/>
        <v>59694.809406651744</v>
      </c>
      <c r="F73" s="231">
        <f t="shared" si="7"/>
        <v>-66209.14356008952</v>
      </c>
    </row>
    <row r="74" spans="2:6" ht="15.75" hidden="1">
      <c r="B74" s="229">
        <v>7</v>
      </c>
      <c r="C74" s="230">
        <f>'Cash flow for investments- Food'!C8</f>
        <v>2000</v>
      </c>
      <c r="D74" s="230">
        <f t="shared" si="6"/>
        <v>59694.809406651744</v>
      </c>
      <c r="E74" s="230">
        <f t="shared" si="5"/>
        <v>57694.809406651744</v>
      </c>
      <c r="F74" s="231">
        <f t="shared" si="7"/>
        <v>-8514.334153437776</v>
      </c>
    </row>
    <row r="75" spans="2:6" ht="15.75" hidden="1">
      <c r="B75" s="229">
        <v>8</v>
      </c>
      <c r="C75" s="230">
        <f>'Cash flow for investments- Food'!C9</f>
        <v>1750</v>
      </c>
      <c r="D75" s="230">
        <f t="shared" si="6"/>
        <v>59694.809406651744</v>
      </c>
      <c r="E75" s="230">
        <f t="shared" si="5"/>
        <v>57944.809406651744</v>
      </c>
      <c r="F75" s="231">
        <f t="shared" si="7"/>
        <v>49430.475253213968</v>
      </c>
    </row>
    <row r="76" spans="2:6" ht="15.75" hidden="1">
      <c r="B76" s="229">
        <v>9</v>
      </c>
      <c r="C76" s="230">
        <f>'Cash flow for investments- Food'!C10</f>
        <v>0</v>
      </c>
      <c r="D76" s="230">
        <f t="shared" si="6"/>
        <v>59694.809406651744</v>
      </c>
      <c r="E76" s="230">
        <f t="shared" si="5"/>
        <v>59694.809406651744</v>
      </c>
      <c r="F76" s="231">
        <f t="shared" si="7"/>
        <v>109125.28465986572</v>
      </c>
    </row>
    <row r="77" spans="2:6" ht="15.75" hidden="1">
      <c r="B77" s="229">
        <v>10</v>
      </c>
      <c r="C77" s="230">
        <f>'Cash flow for investments- Food'!C11</f>
        <v>57503.075000000004</v>
      </c>
      <c r="D77" s="230">
        <f t="shared" si="6"/>
        <v>59694.809406651744</v>
      </c>
      <c r="E77" s="230">
        <f>D77-C77+D78</f>
        <v>337556.72488284227</v>
      </c>
      <c r="F77" s="231">
        <f t="shared" si="7"/>
        <v>446682.00954270799</v>
      </c>
    </row>
    <row r="78" spans="2:6" ht="15.75" hidden="1">
      <c r="B78" s="229" t="s">
        <v>323</v>
      </c>
      <c r="C78" s="230"/>
      <c r="D78" s="230">
        <f>'Cash flow for investments- Food'!C12</f>
        <v>335364.99047619052</v>
      </c>
      <c r="E78" s="230"/>
      <c r="F78" s="231"/>
    </row>
    <row r="79" spans="2:6" ht="15.75" hidden="1">
      <c r="F79" s="213"/>
    </row>
    <row r="80" spans="2:6" ht="15.75" hidden="1">
      <c r="F80" s="213"/>
    </row>
    <row r="81" spans="2:4" ht="15.75" hidden="1"/>
    <row r="82" spans="2:4" ht="15.75" hidden="1"/>
    <row r="83" spans="2:4" ht="15.75" hidden="1"/>
    <row r="84" spans="2:4" ht="15.75" hidden="1"/>
    <row r="85" spans="2:4" ht="15.75" hidden="1"/>
    <row r="86" spans="2:4" ht="15.75" hidden="1"/>
    <row r="87" spans="2:4" ht="15.75" hidden="1"/>
    <row r="88" spans="2:4" ht="15.75" hidden="1"/>
    <row r="89" spans="2:4" ht="15.75" hidden="1"/>
    <row r="90" spans="2:4" ht="15.75" hidden="1"/>
    <row r="91" spans="2:4" ht="15.75" hidden="1"/>
    <row r="93" spans="2:4" ht="15.75" hidden="1"/>
    <row r="94" spans="2:4" ht="15.75" hidden="1"/>
    <row r="96" spans="2:4" ht="0" hidden="1" customHeight="1">
      <c r="B96" s="220" t="s">
        <v>97</v>
      </c>
      <c r="C96" s="226">
        <v>2.47105</v>
      </c>
      <c r="D96" s="181" t="s">
        <v>29</v>
      </c>
    </row>
  </sheetData>
  <sheetProtection sheet="1" objects="1" scenarios="1"/>
  <mergeCells count="1">
    <mergeCell ref="B2:I2"/>
  </mergeCells>
  <conditionalFormatting sqref="V93:W410 V58:W91">
    <cfRule type="duplicateValues" dxfId="8" priority="16"/>
  </conditionalFormatting>
  <hyperlinks>
    <hyperlink ref="N4" r:id="rId1" display="https://www.ncrac.org/files/inline-files/ncrac111.pdf" xr:uid="{20D19C0A-7E2F-4CFF-975F-540DDB6E16E3}"/>
    <hyperlink ref="N5" r:id="rId2" display="https://www.ncrac.org/files/inline-files/ncrac111.pdf" xr:uid="{D7BE9DAB-3684-4D20-BD3E-0824E7869CF1}"/>
    <hyperlink ref="N6" r:id="rId3" display="https://www.ncrac.org/files/inline-files/ncrac111.pdf" xr:uid="{36690685-A9B2-4850-BAA6-B0A96A543903}"/>
    <hyperlink ref="N9" r:id="rId4" display="https://www.ncrac.org/files/inline-files/ncrac111.pdf" xr:uid="{04AE2BD6-528F-4C35-879C-2F507ED396B9}"/>
    <hyperlink ref="N13" r:id="rId5" display="https://www.ncrac.org/files/inline-files/ncrac111.pdf" xr:uid="{7A6A5562-7B8D-4641-A25C-5028B44944BF}"/>
    <hyperlink ref="N10" r:id="rId6" display="https://www.ncrac.org/files/inline-files/ncrac111.pdf" xr:uid="{7556B4CB-0F02-4932-B62D-72B2261E3E8A}"/>
    <hyperlink ref="N14" r:id="rId7" display="http://www.stockalake.com/species--information.html" xr:uid="{11ED8DF4-870C-454C-BCC1-491A1B6DC164}"/>
    <hyperlink ref="N15" r:id="rId8" display="https://fendersfishhatchery.com/fish-pricing/" xr:uid="{8AB5E56B-A0DA-42C6-9030-F14CB5AC61D9}"/>
    <hyperlink ref="N19" r:id="rId9" display="https://www.walleyedirect.com/product/whole-perch-11.html?utm_source=google&amp;utm_medium=cpc&amp;utm_campaign=feed&amp;gad_source=4&amp;gad_campaignid=17335798209&amp;gbraid=0AAAAAD9uz871YzjKC3_PA76DFZ49asmIo&amp;gclid=Cj0KCQjw8vvABhCcARIsAOCfwwphUpLr_wLITCmoCO9ZPhVrm6Udmt8UD4NiEpXyn-Ca0BjIaRbhNOkaAlmEEALw_wcB" xr:uid="{2E493C0F-06BC-4A18-84CC-04782513991B}"/>
  </hyperlinks>
  <pageMargins left="0.7" right="0.7" top="0.75" bottom="0.75" header="0.3" footer="0.3"/>
  <pageSetup orientation="portrait" r:id="rId10"/>
  <ignoredErrors>
    <ignoredError sqref="C39"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E348C-06ED-4C71-8111-A7832C586E87}">
  <sheetPr codeName="Sheet9"/>
  <dimension ref="A1:AO103"/>
  <sheetViews>
    <sheetView showGridLines="0" zoomScaleNormal="100" workbookViewId="0">
      <selection activeCell="G46" sqref="G46"/>
    </sheetView>
  </sheetViews>
  <sheetFormatPr defaultColWidth="0" defaultRowHeight="0" customHeight="1" zeroHeight="1"/>
  <cols>
    <col min="1" max="1" width="2.33203125" style="5" customWidth="1"/>
    <col min="2" max="2" width="36.77734375" style="48" customWidth="1"/>
    <col min="3" max="3" width="10.77734375" style="48" customWidth="1"/>
    <col min="4" max="4" width="11.77734375" style="48" customWidth="1"/>
    <col min="5" max="5" width="13.77734375" style="48" customWidth="1"/>
    <col min="6" max="9" width="10.77734375" style="48" customWidth="1"/>
    <col min="10" max="11" width="3.33203125" style="5" customWidth="1"/>
    <col min="12" max="12" width="35.21875" style="5" bestFit="1" customWidth="1"/>
    <col min="13" max="13" width="11.77734375" style="5" customWidth="1"/>
    <col min="14" max="14" width="3.33203125" style="5" customWidth="1"/>
    <col min="15" max="15" width="7.77734375" style="5" customWidth="1"/>
    <col min="16" max="16" width="10.77734375" style="5" customWidth="1"/>
    <col min="17" max="17" width="3.33203125" style="5" customWidth="1"/>
    <col min="18" max="18" width="7.77734375" style="5" customWidth="1"/>
    <col min="19" max="19" width="13" style="5" customWidth="1"/>
    <col min="20" max="20" width="3.33203125" style="5" customWidth="1"/>
    <col min="21" max="21" width="28.21875" style="5" hidden="1" customWidth="1"/>
    <col min="22" max="22" width="14.77734375" style="5" hidden="1" customWidth="1"/>
    <col min="23" max="23" width="10" style="5" hidden="1" customWidth="1"/>
    <col min="24" max="24" width="22.88671875" style="5" hidden="1" customWidth="1"/>
    <col min="25" max="25" width="11.77734375" style="5" hidden="1" customWidth="1"/>
    <col min="26" max="41" width="0" style="5" hidden="1" customWidth="1"/>
    <col min="42" max="16384" width="8.88671875" style="5" hidden="1"/>
  </cols>
  <sheetData>
    <row r="1" spans="2:21" ht="16.5" customHeight="1">
      <c r="B1" s="5"/>
      <c r="C1" s="5"/>
      <c r="D1" s="5"/>
      <c r="E1" s="5"/>
      <c r="F1" s="5"/>
      <c r="G1" s="5"/>
      <c r="H1" s="5"/>
      <c r="I1" s="5"/>
    </row>
    <row r="2" spans="2:21" ht="21">
      <c r="B2" s="707" t="s">
        <v>222</v>
      </c>
      <c r="C2" s="707"/>
      <c r="D2" s="707"/>
      <c r="E2" s="707"/>
      <c r="F2" s="707"/>
      <c r="G2" s="707"/>
      <c r="H2" s="707"/>
      <c r="I2" s="707"/>
      <c r="J2" s="27"/>
      <c r="L2" s="125" t="s">
        <v>404</v>
      </c>
      <c r="M2" s="125"/>
      <c r="N2" s="174"/>
      <c r="O2" s="197" t="s">
        <v>397</v>
      </c>
      <c r="P2" s="198" t="s">
        <v>396</v>
      </c>
      <c r="Q2" s="242"/>
      <c r="R2" s="197" t="s">
        <v>120</v>
      </c>
      <c r="S2" s="199" t="s">
        <v>393</v>
      </c>
    </row>
    <row r="3" spans="2:21" ht="17.25">
      <c r="B3" s="295"/>
      <c r="C3" s="295"/>
      <c r="D3" s="295"/>
      <c r="E3" s="295"/>
      <c r="F3" s="295"/>
      <c r="G3" s="295"/>
      <c r="H3" s="295"/>
      <c r="I3" s="295"/>
      <c r="L3" s="195" t="s">
        <v>31</v>
      </c>
      <c r="M3" s="196" t="s">
        <v>34</v>
      </c>
      <c r="N3" s="176"/>
      <c r="O3" s="189" t="s">
        <v>388</v>
      </c>
      <c r="P3" s="189" t="s">
        <v>394</v>
      </c>
      <c r="Q3" s="242"/>
      <c r="R3" s="189" t="s">
        <v>383</v>
      </c>
      <c r="S3" s="189" t="s">
        <v>395</v>
      </c>
    </row>
    <row r="4" spans="2:21" ht="17.25">
      <c r="B4" s="282" t="s">
        <v>88</v>
      </c>
      <c r="C4" s="128" t="s">
        <v>2</v>
      </c>
      <c r="D4" s="150" t="s">
        <v>387</v>
      </c>
      <c r="E4" s="150" t="s">
        <v>32</v>
      </c>
      <c r="F4" s="150" t="s">
        <v>33</v>
      </c>
      <c r="G4" s="150" t="s">
        <v>233</v>
      </c>
      <c r="H4" s="150" t="s">
        <v>144</v>
      </c>
      <c r="I4" s="150" t="s">
        <v>214</v>
      </c>
      <c r="K4" s="1"/>
      <c r="L4" s="193" t="s">
        <v>268</v>
      </c>
      <c r="M4" s="547">
        <v>15000</v>
      </c>
      <c r="N4" s="177" t="s">
        <v>245</v>
      </c>
      <c r="O4" s="125"/>
      <c r="P4" s="166">
        <f>G38</f>
        <v>2514.493102818582</v>
      </c>
      <c r="Q4" s="243"/>
      <c r="R4" s="125"/>
      <c r="S4" s="166">
        <f>H37</f>
        <v>1.6514895019716815</v>
      </c>
    </row>
    <row r="5" spans="2:21" ht="16.5" customHeight="1">
      <c r="C5" s="151"/>
      <c r="D5" s="125"/>
      <c r="E5" s="125"/>
      <c r="F5" s="138"/>
      <c r="G5" s="138"/>
      <c r="H5" s="138"/>
      <c r="I5" s="138"/>
      <c r="K5" s="1"/>
      <c r="L5" s="193" t="s">
        <v>87</v>
      </c>
      <c r="M5" s="548">
        <v>8</v>
      </c>
      <c r="N5" s="177"/>
      <c r="O5" s="188">
        <v>0.5</v>
      </c>
      <c r="P5" s="166">
        <f t="dataTable" ref="P5:P35" dt2D="0" dtr="0" r1="D6" ca="1"/>
        <v>-12642.334240931417</v>
      </c>
      <c r="Q5" s="125"/>
      <c r="R5" s="185">
        <v>0.1</v>
      </c>
      <c r="S5" s="166">
        <f t="dataTable" ref="S5:S37" dt2D="0" dtr="0" r1="M11"/>
        <v>10.835579091492159</v>
      </c>
    </row>
    <row r="6" spans="2:21" ht="16.5" customHeight="1">
      <c r="B6" s="138" t="s">
        <v>94</v>
      </c>
      <c r="C6" s="126" t="s">
        <v>144</v>
      </c>
      <c r="D6" s="166">
        <f>M15</f>
        <v>1.95</v>
      </c>
      <c r="E6" s="138">
        <f>E12*M11</f>
        <v>135000</v>
      </c>
      <c r="F6" s="170">
        <f>D6*E6</f>
        <v>263250</v>
      </c>
      <c r="G6" s="170">
        <f>F6/'Capital Inputs'!$D$7</f>
        <v>21937.5</v>
      </c>
      <c r="H6" s="239">
        <f>D6</f>
        <v>1.95</v>
      </c>
      <c r="I6" s="185">
        <f>F6/$F$6</f>
        <v>1</v>
      </c>
      <c r="K6" s="3"/>
      <c r="L6" s="193" t="s">
        <v>239</v>
      </c>
      <c r="M6" s="548">
        <v>10</v>
      </c>
      <c r="N6" s="177"/>
      <c r="O6" s="188">
        <v>0.55000000000000004</v>
      </c>
      <c r="P6" s="166">
        <v>-12119.68502218142</v>
      </c>
      <c r="Q6" s="125"/>
      <c r="R6" s="185">
        <v>0.125</v>
      </c>
      <c r="S6" s="166">
        <v>8.7161738016028192</v>
      </c>
    </row>
    <row r="7" spans="2:21" ht="16.5" customHeight="1">
      <c r="B7" s="138" t="s">
        <v>35</v>
      </c>
      <c r="C7" s="126" t="s">
        <v>16</v>
      </c>
      <c r="D7" s="166">
        <f>'Operating Inputs'!D25</f>
        <v>1.5</v>
      </c>
      <c r="E7" s="138">
        <f>E6/M6/M17*M18*D7</f>
        <v>6750</v>
      </c>
      <c r="F7" s="171">
        <f>D7*E7</f>
        <v>10125</v>
      </c>
      <c r="G7" s="171">
        <f>F7/'Capital Inputs'!$D$7</f>
        <v>843.75</v>
      </c>
      <c r="H7" s="240">
        <f>F7/$E$6</f>
        <v>7.4999999999999997E-2</v>
      </c>
      <c r="I7" s="190">
        <f>F7/$F$6</f>
        <v>3.8461538461538464E-2</v>
      </c>
      <c r="K7" s="3"/>
      <c r="L7" s="193" t="s">
        <v>98</v>
      </c>
      <c r="M7" s="548">
        <v>2</v>
      </c>
      <c r="N7" s="177"/>
      <c r="O7" s="188">
        <v>0.6</v>
      </c>
      <c r="P7" s="166">
        <v>-11597.035803431419</v>
      </c>
      <c r="Q7" s="125"/>
      <c r="R7" s="185">
        <v>0.15</v>
      </c>
      <c r="S7" s="166">
        <v>7.303236941676591</v>
      </c>
    </row>
    <row r="8" spans="2:21" ht="16.5" customHeight="1">
      <c r="B8" s="160" t="s">
        <v>89</v>
      </c>
      <c r="C8" s="135"/>
      <c r="D8" s="125"/>
      <c r="E8" s="138"/>
      <c r="F8" s="173">
        <f>F6-F7</f>
        <v>253125</v>
      </c>
      <c r="G8" s="173">
        <f>G6-G7</f>
        <v>21093.75</v>
      </c>
      <c r="H8" s="241">
        <f>F8/$E$6</f>
        <v>1.875</v>
      </c>
      <c r="I8" s="395">
        <f>F8/$F$6</f>
        <v>0.96153846153846156</v>
      </c>
      <c r="K8" s="20"/>
      <c r="L8" s="193" t="s">
        <v>119</v>
      </c>
      <c r="M8" s="548">
        <v>140</v>
      </c>
      <c r="N8" s="178"/>
      <c r="O8" s="188">
        <v>0.65</v>
      </c>
      <c r="P8" s="166">
        <v>-11074.386584681419</v>
      </c>
      <c r="Q8" s="125"/>
      <c r="R8" s="185">
        <v>0.17499999999999999</v>
      </c>
      <c r="S8" s="166">
        <v>6.2939963274435717</v>
      </c>
    </row>
    <row r="9" spans="2:21" ht="16.5" customHeight="1">
      <c r="B9" s="160"/>
      <c r="C9" s="135"/>
      <c r="D9" s="125"/>
      <c r="E9" s="138"/>
      <c r="F9" s="153"/>
      <c r="G9" s="153"/>
      <c r="H9" s="154"/>
      <c r="I9" s="155"/>
      <c r="K9" s="3"/>
      <c r="L9" s="193" t="s">
        <v>137</v>
      </c>
      <c r="M9" s="548">
        <v>1200</v>
      </c>
      <c r="N9" s="177"/>
      <c r="O9" s="188">
        <v>0.7</v>
      </c>
      <c r="P9" s="166">
        <v>-10551.737365931418</v>
      </c>
      <c r="Q9" s="125"/>
      <c r="R9" s="185">
        <v>0.2</v>
      </c>
      <c r="S9" s="166">
        <v>5.5370658667688071</v>
      </c>
    </row>
    <row r="10" spans="2:21" ht="16.5" customHeight="1">
      <c r="B10" s="163" t="s">
        <v>37</v>
      </c>
      <c r="C10" s="128" t="s">
        <v>2</v>
      </c>
      <c r="D10" s="150" t="s">
        <v>387</v>
      </c>
      <c r="E10" s="150" t="s">
        <v>32</v>
      </c>
      <c r="F10" s="150" t="s">
        <v>33</v>
      </c>
      <c r="G10" s="150" t="s">
        <v>233</v>
      </c>
      <c r="H10" s="150" t="s">
        <v>144</v>
      </c>
      <c r="I10" s="150" t="s">
        <v>214</v>
      </c>
      <c r="K10" s="3"/>
      <c r="L10" s="193" t="s">
        <v>170</v>
      </c>
      <c r="M10" s="548">
        <v>700</v>
      </c>
      <c r="N10" s="177"/>
      <c r="O10" s="188">
        <v>0.75</v>
      </c>
      <c r="P10" s="166">
        <v>-10029.088147181417</v>
      </c>
      <c r="Q10" s="125"/>
      <c r="R10" s="185">
        <v>0.22500000000000001</v>
      </c>
      <c r="S10" s="166">
        <v>4.9483421751328791</v>
      </c>
    </row>
    <row r="11" spans="2:21" ht="16.5" customHeight="1">
      <c r="B11" s="138" t="s">
        <v>38</v>
      </c>
      <c r="C11" s="126" t="s">
        <v>39</v>
      </c>
      <c r="D11" s="166">
        <f>M20</f>
        <v>2254.7045454545455</v>
      </c>
      <c r="E11" s="138">
        <f>(E6+E12)/2*(M16-M14)*M7/2204.6</f>
        <v>13.859657080649551</v>
      </c>
      <c r="F11" s="170">
        <f>E11*D11</f>
        <v>31249.43181818182</v>
      </c>
      <c r="G11" s="170">
        <f>F11/'Capital Inputs'!$D$7</f>
        <v>2604.1193181818185</v>
      </c>
      <c r="H11" s="239">
        <f>F11/$E$6</f>
        <v>0.23147727272727273</v>
      </c>
      <c r="I11" s="185">
        <f>F11/$F$6</f>
        <v>0.11870629370629371</v>
      </c>
      <c r="K11" s="3"/>
      <c r="L11" s="193" t="s">
        <v>99</v>
      </c>
      <c r="M11" s="549">
        <v>0.75</v>
      </c>
      <c r="N11" s="179"/>
      <c r="O11" s="188">
        <v>0.8</v>
      </c>
      <c r="P11" s="166">
        <v>-9506.4389284314202</v>
      </c>
      <c r="Q11" s="125"/>
      <c r="R11" s="185">
        <v>0.25</v>
      </c>
      <c r="S11" s="166">
        <v>4.4773632218241373</v>
      </c>
    </row>
    <row r="12" spans="2:21" ht="16.5" customHeight="1">
      <c r="B12" s="138" t="s">
        <v>267</v>
      </c>
      <c r="C12" s="126" t="s">
        <v>41</v>
      </c>
      <c r="D12" s="166">
        <f>M13</f>
        <v>0.55000000000000004</v>
      </c>
      <c r="E12" s="138">
        <f>M4*'Capital Inputs'!D7</f>
        <v>180000</v>
      </c>
      <c r="F12" s="170">
        <f>E12*M13</f>
        <v>99000.000000000015</v>
      </c>
      <c r="G12" s="170">
        <f>F12/'Capital Inputs'!$D$7</f>
        <v>8250.0000000000018</v>
      </c>
      <c r="H12" s="239">
        <f>F12/$E$6</f>
        <v>0.73333333333333339</v>
      </c>
      <c r="I12" s="185">
        <f>F12/$F$6</f>
        <v>0.37606837606837612</v>
      </c>
      <c r="K12" s="3"/>
      <c r="L12" s="194" t="s">
        <v>164</v>
      </c>
      <c r="M12" s="550">
        <v>7</v>
      </c>
      <c r="N12" s="177"/>
      <c r="O12" s="188">
        <v>0.85</v>
      </c>
      <c r="P12" s="166">
        <v>-8983.7897096814195</v>
      </c>
      <c r="Q12" s="125"/>
      <c r="R12" s="185">
        <v>0.27500000000000002</v>
      </c>
      <c r="S12" s="166">
        <v>4.0920168054806192</v>
      </c>
    </row>
    <row r="13" spans="2:21" ht="16.5" customHeight="1">
      <c r="B13" s="138" t="s">
        <v>6</v>
      </c>
      <c r="C13" s="161"/>
      <c r="D13" s="166"/>
      <c r="E13" s="138"/>
      <c r="F13" s="170">
        <f>'Operating Inputs'!D7*ROUND(M5/12,0)*'Capital Inputs'!D7</f>
        <v>1800</v>
      </c>
      <c r="G13" s="170">
        <f>F13/'Capital Inputs'!$D$7</f>
        <v>150</v>
      </c>
      <c r="H13" s="239">
        <f>F13/$E$6</f>
        <v>1.3333333333333334E-2</v>
      </c>
      <c r="I13" s="185">
        <f>F13/$F$6</f>
        <v>6.8376068376068376E-3</v>
      </c>
      <c r="K13" s="3"/>
      <c r="L13" s="193" t="s">
        <v>240</v>
      </c>
      <c r="M13" s="551">
        <v>0.55000000000000004</v>
      </c>
      <c r="N13" s="177" t="s">
        <v>244</v>
      </c>
      <c r="O13" s="188">
        <v>0.9</v>
      </c>
      <c r="P13" s="166">
        <v>-8461.1404909314188</v>
      </c>
      <c r="Q13" s="125"/>
      <c r="R13" s="185">
        <v>0.3</v>
      </c>
      <c r="S13" s="166">
        <v>3.7708947918610227</v>
      </c>
    </row>
    <row r="14" spans="2:21" ht="16.5" customHeight="1">
      <c r="B14" s="138" t="s">
        <v>186</v>
      </c>
      <c r="C14" s="126" t="s">
        <v>40</v>
      </c>
      <c r="D14" s="166">
        <f>'Operating Inputs'!D14</f>
        <v>0.4</v>
      </c>
      <c r="E14" s="138">
        <f>M8*'Capital Inputs'!D7</f>
        <v>1680</v>
      </c>
      <c r="F14" s="170">
        <f>D14*E14</f>
        <v>672</v>
      </c>
      <c r="G14" s="170">
        <f>F14/'Capital Inputs'!$D$7</f>
        <v>56</v>
      </c>
      <c r="H14" s="166"/>
      <c r="I14" s="396"/>
      <c r="K14" s="3"/>
      <c r="L14" s="193" t="s">
        <v>241</v>
      </c>
      <c r="M14" s="644">
        <v>3.0000000000000001E-3</v>
      </c>
      <c r="N14" s="177" t="s">
        <v>245</v>
      </c>
      <c r="O14" s="188">
        <v>0.95</v>
      </c>
      <c r="P14" s="166">
        <v>-7938.491272181418</v>
      </c>
      <c r="Q14" s="125"/>
      <c r="R14" s="185">
        <v>0.32500000000000001</v>
      </c>
      <c r="S14" s="166">
        <v>3.4991761649521331</v>
      </c>
      <c r="T14" s="48"/>
      <c r="U14" s="48"/>
    </row>
    <row r="15" spans="2:21" ht="16.5" customHeight="1">
      <c r="B15" s="138" t="s">
        <v>42</v>
      </c>
      <c r="C15" s="161"/>
      <c r="D15" s="166"/>
      <c r="E15" s="138"/>
      <c r="F15" s="170">
        <f>'Operating Inputs'!D9*F6</f>
        <v>5265</v>
      </c>
      <c r="G15" s="170">
        <f>F15/'Capital Inputs'!$D$7</f>
        <v>438.75</v>
      </c>
      <c r="H15" s="239">
        <f t="shared" ref="H15:H29" si="0">F15/$E$6</f>
        <v>3.9E-2</v>
      </c>
      <c r="I15" s="185">
        <f>F15/$F$6</f>
        <v>0.02</v>
      </c>
      <c r="K15" s="3"/>
      <c r="L15" s="125" t="s">
        <v>242</v>
      </c>
      <c r="M15" s="550">
        <v>1.95</v>
      </c>
      <c r="N15" s="177" t="s">
        <v>244</v>
      </c>
      <c r="O15" s="188">
        <v>1</v>
      </c>
      <c r="P15" s="166">
        <v>-7415.8420534314173</v>
      </c>
      <c r="Q15" s="181"/>
      <c r="R15" s="185">
        <v>0.35</v>
      </c>
      <c r="S15" s="166">
        <v>3.2662744847445131</v>
      </c>
      <c r="T15" s="48"/>
      <c r="U15" s="48"/>
    </row>
    <row r="16" spans="2:21" ht="16.5" customHeight="1">
      <c r="B16" s="138" t="s">
        <v>11</v>
      </c>
      <c r="C16" s="161"/>
      <c r="D16" s="166"/>
      <c r="E16" s="138"/>
      <c r="F16" s="170">
        <f>('Operating Inputs'!D15*'Operating Inputs'!C42/2000+'Operating Inputs'!C43*'Operating Inputs'!D16+'Operating Inputs'!C44)*'Capital Inputs'!D7</f>
        <v>1153.5</v>
      </c>
      <c r="G16" s="170">
        <f>F16/'Capital Inputs'!$D$7</f>
        <v>96.125</v>
      </c>
      <c r="H16" s="239">
        <f t="shared" si="0"/>
        <v>8.5444444444444448E-3</v>
      </c>
      <c r="I16" s="185">
        <f>F16/$F$6</f>
        <v>4.381766381766382E-3</v>
      </c>
      <c r="K16" s="3"/>
      <c r="L16" s="125" t="s">
        <v>243</v>
      </c>
      <c r="M16" s="550">
        <v>0.1</v>
      </c>
      <c r="N16" s="177" t="s">
        <v>245</v>
      </c>
      <c r="O16" s="188">
        <v>1.05</v>
      </c>
      <c r="P16" s="166">
        <v>-6893.1928346814202</v>
      </c>
      <c r="Q16" s="181"/>
      <c r="R16" s="185">
        <v>0.375</v>
      </c>
      <c r="S16" s="166">
        <v>3.0644263618979091</v>
      </c>
      <c r="T16" s="48"/>
      <c r="U16" s="48"/>
    </row>
    <row r="17" spans="2:21" ht="16.5" customHeight="1">
      <c r="B17" s="138" t="s">
        <v>43</v>
      </c>
      <c r="C17" s="161"/>
      <c r="D17" s="166"/>
      <c r="E17" s="138"/>
      <c r="F17" s="170">
        <f>('Operating Inputs'!D10*('Capital Inputs'!D6+'Capital Inputs'!D5)/'Capital Inputs'!D7+'Capital Inputs'!G40)*ROUND(M5/12,0)</f>
        <v>7401.0389999999998</v>
      </c>
      <c r="G17" s="170">
        <f>F17/'Capital Inputs'!$D$7</f>
        <v>616.75324999999998</v>
      </c>
      <c r="H17" s="239">
        <f t="shared" si="0"/>
        <v>5.4822511111111111E-2</v>
      </c>
      <c r="I17" s="185">
        <f>F17/$F$6</f>
        <v>2.8114108262108261E-2</v>
      </c>
      <c r="K17" s="3"/>
      <c r="L17" s="193" t="s">
        <v>217</v>
      </c>
      <c r="M17" s="551">
        <v>750</v>
      </c>
      <c r="N17" s="181"/>
      <c r="O17" s="188">
        <v>1.1000000000000001</v>
      </c>
      <c r="P17" s="166">
        <v>-6370.5436159314195</v>
      </c>
      <c r="Q17" s="181"/>
      <c r="R17" s="185">
        <v>0.4</v>
      </c>
      <c r="S17" s="166">
        <v>2.8878092544071303</v>
      </c>
      <c r="T17" s="48"/>
      <c r="U17" s="48"/>
    </row>
    <row r="18" spans="2:21" ht="16.5" customHeight="1">
      <c r="B18" s="138" t="s">
        <v>44</v>
      </c>
      <c r="C18" s="161"/>
      <c r="D18" s="166"/>
      <c r="E18" s="138"/>
      <c r="F18" s="170">
        <f>SUM(F19:F22)</f>
        <v>12600.536</v>
      </c>
      <c r="G18" s="170">
        <f>F18/'Capital Inputs'!$D$7</f>
        <v>1050.0446666666667</v>
      </c>
      <c r="H18" s="239">
        <f t="shared" si="0"/>
        <v>9.3337303703703703E-2</v>
      </c>
      <c r="I18" s="185">
        <f>F18/$F$6</f>
        <v>4.7865283950617281E-2</v>
      </c>
      <c r="K18" s="3"/>
      <c r="L18" s="193" t="s">
        <v>218</v>
      </c>
      <c r="M18" s="551">
        <v>250</v>
      </c>
      <c r="N18" s="177"/>
      <c r="O18" s="188">
        <v>1.1499999999999999</v>
      </c>
      <c r="P18" s="166">
        <v>-5847.8943971814188</v>
      </c>
      <c r="Q18" s="181"/>
      <c r="R18" s="185">
        <v>0.42499999999999999</v>
      </c>
      <c r="S18" s="166">
        <v>2.7319706301505615</v>
      </c>
      <c r="T18" s="48"/>
      <c r="U18" s="48"/>
    </row>
    <row r="19" spans="2:21" ht="16.5" customHeight="1">
      <c r="B19" s="157" t="s">
        <v>171</v>
      </c>
      <c r="C19" s="126" t="s">
        <v>73</v>
      </c>
      <c r="D19" s="166">
        <f>'Operating Inputs'!D22</f>
        <v>0.15</v>
      </c>
      <c r="E19" s="138">
        <f>'Capital Inputs'!D7*'Operating Inputs'!D19*0.7457*M9</f>
        <v>32214.240000000002</v>
      </c>
      <c r="F19" s="133">
        <f>E19*'Operating Inputs'!D22</f>
        <v>4832.1360000000004</v>
      </c>
      <c r="G19" s="133">
        <f>F19/'Capital Inputs'!$D$7</f>
        <v>402.67800000000005</v>
      </c>
      <c r="H19" s="239">
        <f t="shared" si="0"/>
        <v>3.5793600000000002E-2</v>
      </c>
      <c r="I19" s="396"/>
      <c r="K19" s="3"/>
      <c r="L19" s="125" t="s">
        <v>220</v>
      </c>
      <c r="M19" s="548">
        <v>4.5</v>
      </c>
      <c r="N19" s="181"/>
      <c r="O19" s="188">
        <v>1.2</v>
      </c>
      <c r="P19" s="166">
        <v>-5325.245178431418</v>
      </c>
      <c r="Q19" s="181"/>
      <c r="R19" s="185">
        <v>0.45</v>
      </c>
      <c r="S19" s="166">
        <v>2.5934474085891663</v>
      </c>
      <c r="T19" s="48"/>
      <c r="U19" s="48"/>
    </row>
    <row r="20" spans="2:21" ht="16.5" customHeight="1">
      <c r="B20" s="157" t="s">
        <v>184</v>
      </c>
      <c r="C20" s="126" t="s">
        <v>73</v>
      </c>
      <c r="D20" s="166">
        <f>'Operating Inputs'!D22</f>
        <v>0.15</v>
      </c>
      <c r="E20" s="138">
        <f>'Capital Inputs'!D7*M12*'Operating Inputs'!D28*'Operating Inputs'!D29</f>
        <v>23016.000000000004</v>
      </c>
      <c r="F20" s="133">
        <f>E20*D20</f>
        <v>3452.4000000000005</v>
      </c>
      <c r="G20" s="133">
        <f>F20/'Capital Inputs'!$D$7</f>
        <v>287.70000000000005</v>
      </c>
      <c r="H20" s="239">
        <f t="shared" si="0"/>
        <v>2.5573333333333337E-2</v>
      </c>
      <c r="I20" s="396"/>
      <c r="K20" s="3"/>
      <c r="L20" s="129" t="s">
        <v>353</v>
      </c>
      <c r="M20" s="645">
        <f>45/44*2204.6</f>
        <v>2254.7045454545455</v>
      </c>
      <c r="N20" s="177"/>
      <c r="O20" s="188">
        <v>1.25</v>
      </c>
      <c r="P20" s="166">
        <v>-4802.5959596814173</v>
      </c>
      <c r="Q20" s="181"/>
      <c r="R20" s="185">
        <v>0.47499999999999998</v>
      </c>
      <c r="S20" s="166">
        <v>2.4695055787710762</v>
      </c>
      <c r="T20" s="48"/>
      <c r="U20" s="48"/>
    </row>
    <row r="21" spans="2:21" ht="16.5" customHeight="1">
      <c r="B21" s="157" t="s">
        <v>162</v>
      </c>
      <c r="C21" s="126" t="s">
        <v>226</v>
      </c>
      <c r="D21" s="166">
        <v>3.5</v>
      </c>
      <c r="E21" s="138">
        <f>'Operating Inputs'!D26*ROUND(M5/12,0)*12</f>
        <v>600</v>
      </c>
      <c r="F21" s="133">
        <f>D21*E21</f>
        <v>2100</v>
      </c>
      <c r="G21" s="133">
        <f>F21/'Capital Inputs'!$D$7</f>
        <v>175</v>
      </c>
      <c r="H21" s="239">
        <f t="shared" si="0"/>
        <v>1.5555555555555555E-2</v>
      </c>
      <c r="I21" s="396"/>
      <c r="K21" s="3"/>
      <c r="L21" s="125"/>
      <c r="M21" s="125"/>
      <c r="N21" s="125"/>
      <c r="O21" s="188">
        <v>1.3</v>
      </c>
      <c r="P21" s="166">
        <v>-4279.9467409314202</v>
      </c>
      <c r="Q21" s="181"/>
      <c r="R21" s="185">
        <v>0.5</v>
      </c>
      <c r="S21" s="166">
        <v>2.3579579319347954</v>
      </c>
      <c r="T21" s="48"/>
      <c r="U21" s="48"/>
    </row>
    <row r="22" spans="2:21" ht="16.5" customHeight="1">
      <c r="B22" s="157" t="s">
        <v>204</v>
      </c>
      <c r="C22" s="126"/>
      <c r="D22" s="166"/>
      <c r="E22" s="138"/>
      <c r="F22" s="133">
        <f>('Operating Inputs'!D24*'Operating Inputs'!D22*ROUND(M5/12,0)*12 + 'Operating Inputs'!D21)</f>
        <v>2216</v>
      </c>
      <c r="G22" s="133">
        <f>F22/'Capital Inputs'!$D$7</f>
        <v>184.66666666666666</v>
      </c>
      <c r="H22" s="239">
        <f t="shared" si="0"/>
        <v>1.6414814814814816E-2</v>
      </c>
      <c r="I22" s="396"/>
      <c r="L22" s="125"/>
      <c r="M22" s="125"/>
      <c r="N22" s="125"/>
      <c r="O22" s="188">
        <v>1.35</v>
      </c>
      <c r="P22" s="166">
        <v>-3757.2975221814195</v>
      </c>
      <c r="Q22" s="181"/>
      <c r="R22" s="185">
        <v>0.52500000000000002</v>
      </c>
      <c r="S22" s="166">
        <v>2.2570338705114938</v>
      </c>
      <c r="T22" s="60" t="str">
        <f>R2</f>
        <v>Survival</v>
      </c>
      <c r="U22" s="60" t="str">
        <f>S2</f>
        <v xml:space="preserve">Breakeven price </v>
      </c>
    </row>
    <row r="23" spans="2:21" ht="16.5" customHeight="1">
      <c r="B23" s="138" t="s">
        <v>112</v>
      </c>
      <c r="C23" s="126"/>
      <c r="D23" s="166">
        <f>'Operating Inputs'!D27</f>
        <v>50</v>
      </c>
      <c r="E23" s="138">
        <f>M19</f>
        <v>4.5</v>
      </c>
      <c r="F23" s="133">
        <f>D23*E23</f>
        <v>225</v>
      </c>
      <c r="G23" s="133">
        <f>F23/'Capital Inputs'!$D$7</f>
        <v>18.75</v>
      </c>
      <c r="H23" s="239">
        <f t="shared" si="0"/>
        <v>1.6666666666666668E-3</v>
      </c>
      <c r="I23" s="396"/>
      <c r="L23" s="125"/>
      <c r="M23" s="125"/>
      <c r="N23" s="125"/>
      <c r="O23" s="188">
        <v>1.4</v>
      </c>
      <c r="P23" s="166">
        <v>-3234.6483034314188</v>
      </c>
      <c r="Q23" s="181"/>
      <c r="R23" s="185">
        <v>0.55000000000000004</v>
      </c>
      <c r="S23" s="166">
        <v>2.1652847237630368</v>
      </c>
      <c r="T23" s="61">
        <f t="shared" ref="T23:T38" si="1">R22</f>
        <v>0.52500000000000002</v>
      </c>
      <c r="U23" s="62">
        <f t="shared" ref="U23:U38" si="2">S22</f>
        <v>2.2570338705114938</v>
      </c>
    </row>
    <row r="24" spans="2:21" ht="16.5" customHeight="1">
      <c r="B24" s="138" t="s">
        <v>90</v>
      </c>
      <c r="C24" s="161"/>
      <c r="D24" s="125"/>
      <c r="E24" s="138"/>
      <c r="F24" s="170">
        <f>'Operating Inputs'!D5*M10</f>
        <v>12950</v>
      </c>
      <c r="G24" s="170">
        <f>F24/'Capital Inputs'!$D$7</f>
        <v>1079.1666666666667</v>
      </c>
      <c r="H24" s="239">
        <f t="shared" si="0"/>
        <v>9.5925925925925928E-2</v>
      </c>
      <c r="I24" s="185">
        <f t="shared" ref="I24:I29" si="3">F24/$F$6</f>
        <v>4.9192782526115857E-2</v>
      </c>
      <c r="L24" s="125"/>
      <c r="M24" s="125"/>
      <c r="N24" s="125"/>
      <c r="O24" s="188">
        <v>1.45</v>
      </c>
      <c r="P24" s="166">
        <v>-2711.999084681418</v>
      </c>
      <c r="Q24" s="181"/>
      <c r="R24" s="185">
        <v>0.57499999999999996</v>
      </c>
      <c r="S24" s="166">
        <v>2.0815137636883598</v>
      </c>
      <c r="T24" s="61">
        <f t="shared" si="1"/>
        <v>0.55000000000000004</v>
      </c>
      <c r="U24" s="62">
        <f t="shared" si="2"/>
        <v>2.1652847237630368</v>
      </c>
    </row>
    <row r="25" spans="2:21" ht="16.5" customHeight="1">
      <c r="B25" s="138" t="s">
        <v>74</v>
      </c>
      <c r="C25" s="161"/>
      <c r="D25" s="125"/>
      <c r="E25" s="138"/>
      <c r="F25" s="170">
        <f>'Operating Inputs'!D11*M5/12</f>
        <v>1600</v>
      </c>
      <c r="G25" s="170">
        <f>F25/'Capital Inputs'!$D$7</f>
        <v>133.33333333333334</v>
      </c>
      <c r="H25" s="239">
        <f t="shared" si="0"/>
        <v>1.1851851851851851E-2</v>
      </c>
      <c r="I25" s="185">
        <f t="shared" si="3"/>
        <v>6.0778727445394108E-3</v>
      </c>
      <c r="L25" s="125"/>
      <c r="M25" s="125"/>
      <c r="N25" s="125"/>
      <c r="O25" s="188">
        <v>1.5</v>
      </c>
      <c r="P25" s="166">
        <v>-2189.3498659314173</v>
      </c>
      <c r="Q25" s="181"/>
      <c r="R25" s="185">
        <v>0.6</v>
      </c>
      <c r="S25" s="166">
        <v>2.0047237169532388</v>
      </c>
      <c r="T25" s="61">
        <f t="shared" si="1"/>
        <v>0.57499999999999996</v>
      </c>
      <c r="U25" s="62">
        <f t="shared" si="2"/>
        <v>2.0815137636883598</v>
      </c>
    </row>
    <row r="26" spans="2:21" ht="16.5" customHeight="1">
      <c r="B26" s="138" t="s">
        <v>8</v>
      </c>
      <c r="C26" s="161" t="s">
        <v>214</v>
      </c>
      <c r="D26" s="143">
        <v>0.05</v>
      </c>
      <c r="E26" s="138">
        <f>F6</f>
        <v>263250</v>
      </c>
      <c r="F26" s="170">
        <f>D26*E26</f>
        <v>13162.5</v>
      </c>
      <c r="G26" s="170">
        <f>F26/'Capital Inputs'!$D$7</f>
        <v>1096.875</v>
      </c>
      <c r="H26" s="239">
        <f t="shared" si="0"/>
        <v>9.7500000000000003E-2</v>
      </c>
      <c r="I26" s="185">
        <f t="shared" si="3"/>
        <v>0.05</v>
      </c>
      <c r="L26" s="125"/>
      <c r="M26" s="125"/>
      <c r="N26" s="125"/>
      <c r="O26" s="188">
        <v>1.55</v>
      </c>
      <c r="P26" s="166">
        <v>-1666.7006471814202</v>
      </c>
      <c r="Q26" s="181"/>
      <c r="R26" s="185">
        <v>0.625</v>
      </c>
      <c r="S26" s="166">
        <v>1.9340768739569272</v>
      </c>
      <c r="T26" s="61">
        <f t="shared" si="1"/>
        <v>0.6</v>
      </c>
      <c r="U26" s="62">
        <f t="shared" si="2"/>
        <v>2.0047237169532388</v>
      </c>
    </row>
    <row r="27" spans="2:21" ht="16.5" customHeight="1">
      <c r="B27" s="138" t="s">
        <v>45</v>
      </c>
      <c r="C27" s="161"/>
      <c r="D27" s="125"/>
      <c r="E27" s="125"/>
      <c r="F27" s="546">
        <v>0</v>
      </c>
      <c r="G27" s="170">
        <f>F27/'Capital Inputs'!$D$7</f>
        <v>0</v>
      </c>
      <c r="H27" s="239">
        <f t="shared" si="0"/>
        <v>0</v>
      </c>
      <c r="I27" s="185">
        <f t="shared" si="3"/>
        <v>0</v>
      </c>
      <c r="L27" s="125"/>
      <c r="M27" s="125"/>
      <c r="N27" s="125"/>
      <c r="O27" s="188">
        <v>1.6</v>
      </c>
      <c r="P27" s="166">
        <v>-1144.0514284314195</v>
      </c>
      <c r="Q27" s="181"/>
      <c r="R27" s="185">
        <v>0.65</v>
      </c>
      <c r="S27" s="166">
        <v>1.8688644034987936</v>
      </c>
      <c r="T27" s="61">
        <f t="shared" si="1"/>
        <v>0.625</v>
      </c>
      <c r="U27" s="62">
        <f t="shared" si="2"/>
        <v>1.9340768739569272</v>
      </c>
    </row>
    <row r="28" spans="2:21" ht="16.5" customHeight="1">
      <c r="B28" s="138" t="s">
        <v>46</v>
      </c>
      <c r="C28" s="161" t="s">
        <v>14</v>
      </c>
      <c r="D28" s="144">
        <f>'Operating Inputs'!D12</f>
        <v>7.2499999999999995E-2</v>
      </c>
      <c r="E28" s="125"/>
      <c r="F28" s="171">
        <f>SUM(F11:F18,F23:F27)/2*(1-'Operating Inputs'!D13)*D28*M5/12</f>
        <v>2260.53799905303</v>
      </c>
      <c r="G28" s="171">
        <f>F28/'Capital Inputs'!$D$7</f>
        <v>188.3781665877525</v>
      </c>
      <c r="H28" s="240">
        <f t="shared" si="0"/>
        <v>1.6744725918911334E-2</v>
      </c>
      <c r="I28" s="190">
        <f t="shared" si="3"/>
        <v>8.5870389327750429E-3</v>
      </c>
      <c r="L28" s="125"/>
      <c r="M28" s="125"/>
      <c r="N28" s="125"/>
      <c r="O28" s="188">
        <v>1.65</v>
      </c>
      <c r="P28" s="166">
        <v>-621.40220968141875</v>
      </c>
      <c r="Q28" s="181"/>
      <c r="R28" s="185">
        <v>0.67500000000000004</v>
      </c>
      <c r="S28" s="166">
        <v>1.8084824864079292</v>
      </c>
      <c r="T28" s="61">
        <f t="shared" si="1"/>
        <v>0.65</v>
      </c>
      <c r="U28" s="62">
        <f t="shared" si="2"/>
        <v>1.8688644034987936</v>
      </c>
    </row>
    <row r="29" spans="2:21" ht="16.5" customHeight="1">
      <c r="B29" s="162" t="s">
        <v>47</v>
      </c>
      <c r="C29" s="158"/>
      <c r="D29" s="125"/>
      <c r="E29" s="125"/>
      <c r="F29" s="172">
        <f>SUM(F11:F18,F23:F28)</f>
        <v>189339.54481723483</v>
      </c>
      <c r="G29" s="172">
        <f>F29/'Capital Inputs'!$D$7</f>
        <v>15778.295401436235</v>
      </c>
      <c r="H29" s="241">
        <f t="shared" si="0"/>
        <v>1.402515146794332</v>
      </c>
      <c r="I29" s="395">
        <f t="shared" si="3"/>
        <v>0.71923853681760619</v>
      </c>
      <c r="L29" s="125"/>
      <c r="M29" s="125"/>
      <c r="N29" s="125"/>
      <c r="O29" s="188">
        <v>1.7</v>
      </c>
      <c r="P29" s="166">
        <v>-98.752990931418026</v>
      </c>
      <c r="Q29" s="181"/>
      <c r="R29" s="185">
        <v>0.7</v>
      </c>
      <c r="S29" s="166">
        <v>1.752413563394984</v>
      </c>
      <c r="T29" s="61">
        <f t="shared" si="1"/>
        <v>0.67500000000000004</v>
      </c>
      <c r="U29" s="62">
        <f t="shared" si="2"/>
        <v>1.8084824864079292</v>
      </c>
    </row>
    <row r="30" spans="2:21" ht="16.5" customHeight="1">
      <c r="B30" s="162"/>
      <c r="C30" s="158"/>
      <c r="D30" s="125"/>
      <c r="E30" s="125"/>
      <c r="F30" s="156"/>
      <c r="G30" s="156"/>
      <c r="H30" s="139"/>
      <c r="I30" s="155"/>
      <c r="L30" s="125"/>
      <c r="M30" s="125"/>
      <c r="N30" s="125"/>
      <c r="O30" s="188">
        <v>1.75</v>
      </c>
      <c r="P30" s="166">
        <v>423.8962278185827</v>
      </c>
      <c r="Q30" s="181"/>
      <c r="R30" s="185">
        <v>0.72499999999999998</v>
      </c>
      <c r="S30" s="166">
        <v>1.700211462658793</v>
      </c>
      <c r="T30" s="61">
        <f t="shared" si="1"/>
        <v>0.7</v>
      </c>
      <c r="U30" s="62">
        <f t="shared" si="2"/>
        <v>1.752413563394984</v>
      </c>
    </row>
    <row r="31" spans="2:21" ht="16.5" customHeight="1">
      <c r="B31" s="163" t="s">
        <v>48</v>
      </c>
      <c r="C31" s="128" t="s">
        <v>2</v>
      </c>
      <c r="D31" s="150" t="s">
        <v>387</v>
      </c>
      <c r="E31" s="150" t="s">
        <v>32</v>
      </c>
      <c r="F31" s="150" t="s">
        <v>33</v>
      </c>
      <c r="G31" s="150" t="s">
        <v>233</v>
      </c>
      <c r="H31" s="150" t="s">
        <v>144</v>
      </c>
      <c r="I31" s="150" t="s">
        <v>214</v>
      </c>
      <c r="L31" s="125"/>
      <c r="M31" s="125"/>
      <c r="N31" s="125"/>
      <c r="O31" s="188">
        <v>1.8</v>
      </c>
      <c r="P31" s="166">
        <v>946.54544656857979</v>
      </c>
      <c r="Q31" s="181"/>
      <c r="R31" s="185">
        <v>0.75</v>
      </c>
      <c r="S31" s="166">
        <v>1.6514895019716815</v>
      </c>
      <c r="T31" s="61">
        <f t="shared" si="1"/>
        <v>0.72499999999999998</v>
      </c>
      <c r="U31" s="62">
        <f t="shared" si="2"/>
        <v>1.700211462658793</v>
      </c>
    </row>
    <row r="32" spans="2:21" ht="16.5" customHeight="1">
      <c r="B32" s="138" t="s">
        <v>25</v>
      </c>
      <c r="C32" s="161" t="s">
        <v>81</v>
      </c>
      <c r="D32" s="146"/>
      <c r="E32" s="125"/>
      <c r="F32" s="170">
        <f>'Operating Inputs'!D31*'Capital Inputs'!K40</f>
        <v>2164.8919687500002</v>
      </c>
      <c r="G32" s="170">
        <f>F32/'Capital Inputs'!$D$7</f>
        <v>180.4076640625</v>
      </c>
      <c r="H32" s="239">
        <f>F32/$E$6</f>
        <v>1.6036236805555555E-2</v>
      </c>
      <c r="I32" s="185">
        <f>F32/$F$6</f>
        <v>8.2237111823361825E-3</v>
      </c>
      <c r="L32" s="125"/>
      <c r="M32" s="125"/>
      <c r="N32" s="125"/>
      <c r="O32" s="188">
        <v>1.85</v>
      </c>
      <c r="P32" s="166">
        <v>1469.1946653185805</v>
      </c>
      <c r="Q32" s="181"/>
      <c r="R32" s="185">
        <v>0.77500000000000002</v>
      </c>
      <c r="S32" s="166">
        <v>1.6059108935869648</v>
      </c>
      <c r="T32" s="61">
        <f t="shared" si="1"/>
        <v>0.75</v>
      </c>
      <c r="U32" s="62">
        <f t="shared" si="2"/>
        <v>1.6514895019716815</v>
      </c>
    </row>
    <row r="33" spans="2:21" ht="16.5" customHeight="1">
      <c r="B33" s="138" t="s">
        <v>49</v>
      </c>
      <c r="C33" s="161" t="s">
        <v>81</v>
      </c>
      <c r="D33" s="146"/>
      <c r="E33" s="125"/>
      <c r="F33" s="170">
        <f>'Operating Inputs'!D32</f>
        <v>1500</v>
      </c>
      <c r="G33" s="170">
        <f>F33/'Capital Inputs'!$D$7</f>
        <v>125</v>
      </c>
      <c r="H33" s="239">
        <f>F33/$E$6</f>
        <v>1.1111111111111112E-2</v>
      </c>
      <c r="I33" s="185">
        <f>F33/$F$6</f>
        <v>5.6980056980056983E-3</v>
      </c>
      <c r="L33" s="125"/>
      <c r="M33" s="125"/>
      <c r="N33" s="125"/>
      <c r="O33" s="188">
        <v>1.9</v>
      </c>
      <c r="P33" s="166">
        <v>1991.8438840685812</v>
      </c>
      <c r="Q33" s="181"/>
      <c r="R33" s="185">
        <v>0.8</v>
      </c>
      <c r="S33" s="166">
        <v>1.5631809482262924</v>
      </c>
      <c r="T33" s="61">
        <f t="shared" si="1"/>
        <v>0.77500000000000002</v>
      </c>
      <c r="U33" s="62">
        <f t="shared" si="2"/>
        <v>1.6059108935869648</v>
      </c>
    </row>
    <row r="34" spans="2:21" ht="16.5" customHeight="1">
      <c r="B34" s="138" t="s">
        <v>108</v>
      </c>
      <c r="C34" s="135"/>
      <c r="D34" s="144">
        <f>'Operating Inputs'!D34</f>
        <v>7.2499999999999995E-2</v>
      </c>
      <c r="E34" s="125"/>
      <c r="F34" s="171">
        <f>'Capital Inputs'!L40*ROUND(M5/12,0)</f>
        <v>29946.645980192185</v>
      </c>
      <c r="G34" s="171">
        <f>F34/'Capital Inputs'!$D$7</f>
        <v>2495.5538316826819</v>
      </c>
      <c r="H34" s="240">
        <f>F34/$E$6</f>
        <v>0.22182700726068286</v>
      </c>
      <c r="I34" s="190">
        <f>F34/$F$6</f>
        <v>0.113757439620863</v>
      </c>
      <c r="L34" s="125"/>
      <c r="M34" s="125"/>
      <c r="N34" s="125"/>
      <c r="O34" s="188">
        <v>1.95</v>
      </c>
      <c r="P34" s="166">
        <v>2514.493102818582</v>
      </c>
      <c r="Q34" s="181"/>
      <c r="R34" s="185">
        <v>0.82499999999999996</v>
      </c>
      <c r="S34" s="166">
        <v>1.523040696523843</v>
      </c>
      <c r="T34" s="61">
        <f t="shared" si="1"/>
        <v>0.8</v>
      </c>
      <c r="U34" s="62">
        <f t="shared" si="2"/>
        <v>1.5631809482262924</v>
      </c>
    </row>
    <row r="35" spans="2:21" ht="16.5" customHeight="1">
      <c r="B35" s="162" t="s">
        <v>50</v>
      </c>
      <c r="C35" s="158"/>
      <c r="D35" s="125"/>
      <c r="E35" s="125"/>
      <c r="F35" s="173">
        <f>SUM(F32:F34)</f>
        <v>33611.537948942183</v>
      </c>
      <c r="G35" s="173">
        <f>SUM(G32:G34)</f>
        <v>2800.9614957451818</v>
      </c>
      <c r="H35" s="241">
        <f>F35/$E$6</f>
        <v>0.2489743551773495</v>
      </c>
      <c r="I35" s="395">
        <f>F35/$F$6</f>
        <v>0.12767915650120487</v>
      </c>
      <c r="L35" s="125"/>
      <c r="M35" s="125"/>
      <c r="N35" s="125"/>
      <c r="O35" s="191">
        <v>2</v>
      </c>
      <c r="P35" s="192">
        <v>3037.1423215685827</v>
      </c>
      <c r="Q35" s="181"/>
      <c r="R35" s="185">
        <v>0.85</v>
      </c>
      <c r="S35" s="166">
        <v>1.485261636098008</v>
      </c>
      <c r="T35" s="61">
        <f t="shared" si="1"/>
        <v>0.82499999999999996</v>
      </c>
      <c r="U35" s="62">
        <f t="shared" si="2"/>
        <v>1.523040696523843</v>
      </c>
    </row>
    <row r="36" spans="2:21" ht="16.5" customHeight="1">
      <c r="B36" s="162"/>
      <c r="C36" s="158"/>
      <c r="D36" s="125"/>
      <c r="E36" s="125"/>
      <c r="F36" s="170"/>
      <c r="G36" s="170"/>
      <c r="H36" s="239"/>
      <c r="I36" s="395"/>
      <c r="L36" s="125"/>
      <c r="M36" s="125"/>
      <c r="N36" s="125"/>
      <c r="O36" s="125"/>
      <c r="P36" s="125"/>
      <c r="Q36" s="181"/>
      <c r="R36" s="185">
        <v>0.875</v>
      </c>
      <c r="S36" s="166">
        <v>1.449641379125078</v>
      </c>
      <c r="T36" s="61">
        <f t="shared" si="1"/>
        <v>0.85</v>
      </c>
      <c r="U36" s="62">
        <f t="shared" si="2"/>
        <v>1.485261636098008</v>
      </c>
    </row>
    <row r="37" spans="2:21" ht="16.5" customHeight="1">
      <c r="B37" s="147" t="s">
        <v>51</v>
      </c>
      <c r="C37" s="147"/>
      <c r="D37" s="134"/>
      <c r="E37" s="134"/>
      <c r="F37" s="284">
        <f>SUM(F35,F29)</f>
        <v>222951.08276617702</v>
      </c>
      <c r="G37" s="284">
        <f>SUM(G35,G29)</f>
        <v>18579.256897181418</v>
      </c>
      <c r="H37" s="286">
        <f>F37/$E$6</f>
        <v>1.6514895019716815</v>
      </c>
      <c r="I37" s="404">
        <f>F37/$F$6</f>
        <v>0.84691769331881106</v>
      </c>
      <c r="O37" s="125"/>
      <c r="P37" s="125"/>
      <c r="Q37" s="181"/>
      <c r="R37" s="190">
        <v>0.9</v>
      </c>
      <c r="S37" s="192">
        <v>1.4160000253173106</v>
      </c>
      <c r="T37" s="61">
        <f t="shared" si="1"/>
        <v>0.875</v>
      </c>
      <c r="U37" s="62">
        <f t="shared" si="2"/>
        <v>1.449641379125078</v>
      </c>
    </row>
    <row r="38" spans="2:21" ht="16.5" customHeight="1">
      <c r="B38" s="145" t="s">
        <v>121</v>
      </c>
      <c r="C38" s="145"/>
      <c r="D38" s="129"/>
      <c r="E38" s="129"/>
      <c r="F38" s="285">
        <f>F8-F37</f>
        <v>30173.917233822984</v>
      </c>
      <c r="G38" s="285">
        <f>G8-G37</f>
        <v>2514.493102818582</v>
      </c>
      <c r="H38" s="287">
        <f>F38/$E$6</f>
        <v>0.22351049802831841</v>
      </c>
      <c r="I38" s="397">
        <f>F38/$F$6</f>
        <v>0.11462076821965046</v>
      </c>
      <c r="J38" s="14"/>
      <c r="Q38" s="48"/>
      <c r="R38" s="61">
        <f t="shared" ref="R38:S40" si="4">R19</f>
        <v>0.45</v>
      </c>
      <c r="S38" s="62">
        <f t="shared" si="4"/>
        <v>2.5934474085891663</v>
      </c>
      <c r="T38" s="61">
        <f t="shared" si="1"/>
        <v>0.9</v>
      </c>
      <c r="U38" s="62">
        <f t="shared" si="2"/>
        <v>1.4160000253173106</v>
      </c>
    </row>
    <row r="39" spans="2:21" ht="16.5" customHeight="1">
      <c r="B39" s="125"/>
      <c r="C39" s="125"/>
      <c r="D39" s="125"/>
      <c r="E39" s="125"/>
      <c r="H39" s="125"/>
      <c r="I39" s="125"/>
      <c r="J39" s="15"/>
      <c r="Q39" s="48"/>
      <c r="R39" s="61">
        <f t="shared" si="4"/>
        <v>0.47499999999999998</v>
      </c>
      <c r="S39" s="62">
        <f t="shared" si="4"/>
        <v>2.4695055787710762</v>
      </c>
      <c r="T39" s="48"/>
      <c r="U39" s="48"/>
    </row>
    <row r="40" spans="2:21" ht="16.5" customHeight="1">
      <c r="B40" s="290" t="s">
        <v>326</v>
      </c>
      <c r="C40" s="291" cm="1">
        <f t="array" ref="C40">IFERROR(INDEX(_xlfn._xlws.FILTER(B69:B78,F68:F77&gt; 0), 1),"&gt;10 years")</f>
        <v>8</v>
      </c>
      <c r="D40" s="125"/>
      <c r="E40" s="125"/>
      <c r="H40" s="125"/>
      <c r="I40" s="125"/>
      <c r="Q40" s="48"/>
      <c r="R40" s="61">
        <f t="shared" si="4"/>
        <v>0.5</v>
      </c>
      <c r="S40" s="62">
        <f t="shared" si="4"/>
        <v>2.3579579319347954</v>
      </c>
      <c r="T40" s="48"/>
      <c r="U40" s="48"/>
    </row>
    <row r="41" spans="2:21" ht="16.5" customHeight="1">
      <c r="B41" s="159" t="s">
        <v>331</v>
      </c>
      <c r="C41" s="288">
        <f>IFERROR(IRR(E68:E78),"High loss")</f>
        <v>0.12165522773585824</v>
      </c>
      <c r="D41" s="125"/>
      <c r="E41" s="125"/>
      <c r="H41" s="125"/>
      <c r="I41" s="125"/>
      <c r="Q41" s="48"/>
      <c r="R41" s="48"/>
      <c r="S41" s="48"/>
      <c r="T41" s="48"/>
      <c r="U41" s="48"/>
    </row>
    <row r="42" spans="2:21" ht="16.5" customHeight="1">
      <c r="B42" s="164" t="str">
        <f>"NPV at " &amp; 100*D34 &amp; " % in 10 years"</f>
        <v>NPV at 7.25 % in 10 years</v>
      </c>
      <c r="C42" s="289">
        <f>NPV(D34,E68:E78)</f>
        <v>120492.74485934919</v>
      </c>
      <c r="D42" s="125"/>
      <c r="E42" s="125"/>
      <c r="F42" s="125"/>
      <c r="G42" s="125"/>
      <c r="H42" s="125"/>
      <c r="I42" s="125"/>
      <c r="Q42" s="48"/>
      <c r="R42" s="48"/>
      <c r="S42" s="48"/>
      <c r="T42" s="48"/>
      <c r="U42" s="48"/>
    </row>
    <row r="43" spans="2:21" ht="17.25">
      <c r="B43" s="5"/>
      <c r="C43" s="5"/>
      <c r="D43" s="5"/>
      <c r="E43" s="5"/>
      <c r="F43" s="4" t="s">
        <v>36</v>
      </c>
      <c r="G43" s="4"/>
      <c r="H43" s="15"/>
      <c r="I43" s="15">
        <f>F8</f>
        <v>253125</v>
      </c>
      <c r="J43" s="18"/>
      <c r="Q43" s="48"/>
      <c r="R43" s="48"/>
      <c r="S43" s="48"/>
      <c r="T43" s="48"/>
      <c r="U43" s="48"/>
    </row>
    <row r="44" spans="2:21" ht="34.5">
      <c r="B44" s="300"/>
      <c r="C44" s="298" t="s">
        <v>393</v>
      </c>
      <c r="D44" s="298" t="s">
        <v>389</v>
      </c>
      <c r="E44" s="299" t="s">
        <v>391</v>
      </c>
      <c r="F44" s="4" t="s">
        <v>54</v>
      </c>
      <c r="G44" s="4"/>
      <c r="H44" s="15">
        <f>H37/M16</f>
        <v>16.514895019716814</v>
      </c>
      <c r="I44" s="5"/>
      <c r="J44" s="18"/>
      <c r="Q44" s="48"/>
      <c r="R44" s="48"/>
      <c r="S44" s="48"/>
      <c r="T44" s="48"/>
      <c r="U44" s="48"/>
    </row>
    <row r="45" spans="2:21" ht="17.25">
      <c r="B45" s="34"/>
      <c r="C45" s="301" t="s">
        <v>388</v>
      </c>
      <c r="D45" s="301" t="s">
        <v>390</v>
      </c>
      <c r="E45" s="301" t="s">
        <v>392</v>
      </c>
      <c r="F45" s="4" t="s">
        <v>55</v>
      </c>
      <c r="G45" s="4"/>
      <c r="H45" s="15">
        <f>F35</f>
        <v>33611.537948942183</v>
      </c>
      <c r="I45" s="5"/>
      <c r="J45" s="18"/>
      <c r="Q45" s="48"/>
      <c r="R45" s="48"/>
      <c r="S45" s="48"/>
      <c r="T45" s="48"/>
      <c r="U45" s="48"/>
    </row>
    <row r="46" spans="2:21" ht="17.25">
      <c r="B46" s="34" t="s">
        <v>52</v>
      </c>
      <c r="C46" s="646">
        <f>H29</f>
        <v>1.402515146794332</v>
      </c>
      <c r="D46" s="30">
        <f>F29/H8</f>
        <v>100981.0905691919</v>
      </c>
      <c r="E46" s="35">
        <f>D46*M6/M11</f>
        <v>1346414.5409225586</v>
      </c>
      <c r="F46" s="13"/>
      <c r="G46" s="13"/>
      <c r="H46" s="13"/>
      <c r="I46" s="5"/>
      <c r="J46" s="18"/>
      <c r="Q46" s="48"/>
      <c r="R46" s="48"/>
      <c r="S46" s="48"/>
      <c r="T46" s="48"/>
      <c r="U46" s="48"/>
    </row>
    <row r="47" spans="2:21" ht="17.25">
      <c r="B47" s="36" t="s">
        <v>53</v>
      </c>
      <c r="C47" s="647">
        <f>H37</f>
        <v>1.6514895019716815</v>
      </c>
      <c r="D47" s="86">
        <f>F37/H8</f>
        <v>118907.24414196107</v>
      </c>
      <c r="E47" s="87">
        <f>D47*M6/M11</f>
        <v>1585429.9218928143</v>
      </c>
      <c r="F47" s="13"/>
      <c r="G47" s="13"/>
      <c r="H47" s="13"/>
      <c r="I47" s="23"/>
      <c r="J47" s="18"/>
      <c r="Q47" s="48"/>
      <c r="R47" s="48"/>
      <c r="S47" s="48"/>
    </row>
    <row r="48" spans="2:21" ht="17.25" hidden="1">
      <c r="B48" s="34"/>
      <c r="C48" s="29"/>
      <c r="D48" s="30"/>
      <c r="E48" s="35"/>
      <c r="F48" s="13"/>
      <c r="G48" s="13"/>
      <c r="H48" s="13"/>
      <c r="I48" s="23"/>
      <c r="M48" s="26"/>
    </row>
    <row r="49" spans="2:4" ht="17.25" hidden="1">
      <c r="B49" s="34"/>
    </row>
    <row r="50" spans="2:4" ht="17.25" hidden="1">
      <c r="B50" s="34"/>
    </row>
    <row r="51" spans="2:4" ht="17.25" hidden="1">
      <c r="B51" s="34"/>
      <c r="C51" s="29"/>
      <c r="D51" s="30"/>
    </row>
    <row r="52" spans="2:4" ht="17.25" hidden="1">
      <c r="B52" s="34"/>
      <c r="C52" s="29"/>
      <c r="D52" s="30"/>
    </row>
    <row r="53" spans="2:4" ht="17.25" hidden="1">
      <c r="B53" s="34"/>
      <c r="C53" s="29"/>
      <c r="D53" s="30"/>
    </row>
    <row r="54" spans="2:4" ht="17.25" hidden="1"/>
    <row r="55" spans="2:4" ht="17.25" hidden="1"/>
    <row r="56" spans="2:4" ht="17.25" hidden="1"/>
    <row r="57" spans="2:4" ht="17.25" hidden="1"/>
    <row r="58" spans="2:4" ht="17.25" hidden="1"/>
    <row r="59" spans="2:4" ht="17.25" hidden="1">
      <c r="C59" s="69"/>
    </row>
    <row r="60" spans="2:4" ht="17.25" hidden="1">
      <c r="B60" s="48" t="s">
        <v>103</v>
      </c>
    </row>
    <row r="61" spans="2:4" ht="17.25" hidden="1">
      <c r="B61" s="48" t="s">
        <v>100</v>
      </c>
      <c r="C61" s="70">
        <v>1068.5999999999999</v>
      </c>
      <c r="D61" s="48" t="s">
        <v>101</v>
      </c>
    </row>
    <row r="62" spans="2:4" ht="17.25" hidden="1">
      <c r="B62" s="48" t="s">
        <v>104</v>
      </c>
      <c r="C62" s="70">
        <v>325.85000000000002</v>
      </c>
      <c r="D62" s="48" t="s">
        <v>101</v>
      </c>
    </row>
    <row r="63" spans="2:4" ht="17.25" hidden="1">
      <c r="B63" s="48" t="s">
        <v>105</v>
      </c>
      <c r="C63" s="48">
        <v>3.28084</v>
      </c>
      <c r="D63" s="48" t="s">
        <v>102</v>
      </c>
    </row>
    <row r="64" spans="2:4" ht="17.25" hidden="1">
      <c r="B64" s="63" t="s">
        <v>96</v>
      </c>
      <c r="C64" s="64">
        <v>2.2046199999999998</v>
      </c>
      <c r="D64" s="48" t="s">
        <v>40</v>
      </c>
    </row>
    <row r="65" spans="2:6" ht="17.25" hidden="1">
      <c r="F65" s="4"/>
    </row>
    <row r="66" spans="2:6" ht="17.25" hidden="1">
      <c r="F66" s="71" t="s">
        <v>322</v>
      </c>
    </row>
    <row r="67" spans="2:6" ht="17.25" hidden="1">
      <c r="B67" s="71" t="s">
        <v>317</v>
      </c>
      <c r="C67" s="71" t="s">
        <v>319</v>
      </c>
      <c r="D67" s="72" t="s">
        <v>320</v>
      </c>
      <c r="E67" s="72" t="s">
        <v>321</v>
      </c>
      <c r="F67" s="74">
        <f>E68</f>
        <v>-423964</v>
      </c>
    </row>
    <row r="68" spans="2:6" ht="17.25" hidden="1">
      <c r="B68" s="73">
        <v>0</v>
      </c>
      <c r="C68" s="65">
        <f>'Capital Inputs'!F43</f>
        <v>423964</v>
      </c>
      <c r="D68" s="65">
        <v>0</v>
      </c>
      <c r="E68" s="65">
        <f>D68-C68</f>
        <v>-423964</v>
      </c>
      <c r="F68" s="74">
        <f t="shared" ref="F68:F77" si="5">F67+E69</f>
        <v>-363843.43678598484</v>
      </c>
    </row>
    <row r="69" spans="2:6" ht="17.25" hidden="1">
      <c r="B69" s="73">
        <v>1</v>
      </c>
      <c r="C69" s="65">
        <f>'Cash flow for investments-  Sto'!C2</f>
        <v>0</v>
      </c>
      <c r="D69" s="65">
        <f>F8-F29-F32-F33</f>
        <v>60120.563214015172</v>
      </c>
      <c r="E69" s="65">
        <f t="shared" ref="E69:E77" si="6">D69-C69</f>
        <v>60120.563214015172</v>
      </c>
      <c r="F69" s="74">
        <f t="shared" si="5"/>
        <v>-303722.87357196969</v>
      </c>
    </row>
    <row r="70" spans="2:6" ht="17.25" hidden="1">
      <c r="B70" s="73">
        <v>2</v>
      </c>
      <c r="C70" s="65">
        <f>'Cash flow for investments-  Sto'!C3</f>
        <v>0</v>
      </c>
      <c r="D70" s="65">
        <f t="shared" ref="D70:D78" si="7">D69</f>
        <v>60120.563214015172</v>
      </c>
      <c r="E70" s="65">
        <f t="shared" si="6"/>
        <v>60120.563214015172</v>
      </c>
      <c r="F70" s="74">
        <f t="shared" si="5"/>
        <v>-243602.31035795453</v>
      </c>
    </row>
    <row r="71" spans="2:6" ht="17.25" hidden="1">
      <c r="B71" s="73">
        <v>3</v>
      </c>
      <c r="C71" s="65">
        <f>'Cash flow for investments-  Sto'!C4</f>
        <v>0</v>
      </c>
      <c r="D71" s="65">
        <f t="shared" si="7"/>
        <v>60120.563214015172</v>
      </c>
      <c r="E71" s="65">
        <f t="shared" si="6"/>
        <v>60120.563214015172</v>
      </c>
      <c r="F71" s="74">
        <f t="shared" si="5"/>
        <v>-183481.74714393937</v>
      </c>
    </row>
    <row r="72" spans="2:6" ht="17.25" hidden="1">
      <c r="B72" s="73">
        <v>4</v>
      </c>
      <c r="C72" s="65">
        <f>'Cash flow for investments-  Sto'!C5</f>
        <v>0</v>
      </c>
      <c r="D72" s="65">
        <f t="shared" si="7"/>
        <v>60120.563214015172</v>
      </c>
      <c r="E72" s="65">
        <f t="shared" si="6"/>
        <v>60120.563214015172</v>
      </c>
      <c r="F72" s="74">
        <f t="shared" si="5"/>
        <v>-123361.1839299242</v>
      </c>
    </row>
    <row r="73" spans="2:6" ht="17.25" hidden="1">
      <c r="B73" s="73">
        <v>5</v>
      </c>
      <c r="C73" s="65">
        <f>'Cash flow for investments-  Sto'!C6</f>
        <v>0</v>
      </c>
      <c r="D73" s="65">
        <f t="shared" si="7"/>
        <v>60120.563214015172</v>
      </c>
      <c r="E73" s="65">
        <f t="shared" si="6"/>
        <v>60120.563214015172</v>
      </c>
      <c r="F73" s="74">
        <f t="shared" si="5"/>
        <v>-63240.620715909026</v>
      </c>
    </row>
    <row r="74" spans="2:6" ht="17.25" hidden="1">
      <c r="B74" s="73">
        <v>6</v>
      </c>
      <c r="C74" s="65">
        <f>'Cash flow for investments-  Sto'!C7</f>
        <v>0</v>
      </c>
      <c r="D74" s="65">
        <f t="shared" si="7"/>
        <v>60120.563214015172</v>
      </c>
      <c r="E74" s="65">
        <f t="shared" si="6"/>
        <v>60120.563214015172</v>
      </c>
      <c r="F74" s="74">
        <f t="shared" si="5"/>
        <v>-5120.0575018938544</v>
      </c>
    </row>
    <row r="75" spans="2:6" ht="17.25" hidden="1">
      <c r="B75" s="73">
        <v>7</v>
      </c>
      <c r="C75" s="65">
        <f>'Cash flow for investments-  Sto'!C8</f>
        <v>2000</v>
      </c>
      <c r="D75" s="65">
        <f t="shared" si="7"/>
        <v>60120.563214015172</v>
      </c>
      <c r="E75" s="65">
        <f t="shared" si="6"/>
        <v>58120.563214015172</v>
      </c>
      <c r="F75" s="74">
        <f t="shared" si="5"/>
        <v>53250.505712121318</v>
      </c>
    </row>
    <row r="76" spans="2:6" ht="17.25" hidden="1">
      <c r="B76" s="73">
        <v>8</v>
      </c>
      <c r="C76" s="65">
        <f>'Cash flow for investments-  Sto'!C9</f>
        <v>1750</v>
      </c>
      <c r="D76" s="65">
        <f t="shared" si="7"/>
        <v>60120.563214015172</v>
      </c>
      <c r="E76" s="65">
        <f t="shared" si="6"/>
        <v>58370.563214015172</v>
      </c>
      <c r="F76" s="74">
        <f t="shared" si="5"/>
        <v>113371.06892613649</v>
      </c>
    </row>
    <row r="77" spans="2:6" ht="17.25" hidden="1">
      <c r="B77" s="73">
        <v>9</v>
      </c>
      <c r="C77" s="65">
        <f>'Cash flow for investments-  Sto'!C10</f>
        <v>0</v>
      </c>
      <c r="D77" s="65">
        <f t="shared" si="7"/>
        <v>60120.563214015172</v>
      </c>
      <c r="E77" s="65">
        <f t="shared" si="6"/>
        <v>60120.563214015172</v>
      </c>
      <c r="F77" s="74">
        <f t="shared" si="5"/>
        <v>451353.54761634214</v>
      </c>
    </row>
    <row r="78" spans="2:6" ht="17.25" hidden="1">
      <c r="B78" s="73">
        <v>10</v>
      </c>
      <c r="C78" s="65">
        <f>'Cash flow for investments-  Sto'!C11</f>
        <v>57503.075000000004</v>
      </c>
      <c r="D78" s="65">
        <f t="shared" si="7"/>
        <v>60120.563214015172</v>
      </c>
      <c r="E78" s="65">
        <f>D78-C78+D79</f>
        <v>337982.47869020567</v>
      </c>
      <c r="F78" s="74"/>
    </row>
    <row r="79" spans="2:6" ht="17.25" hidden="1">
      <c r="B79" s="73" t="s">
        <v>323</v>
      </c>
      <c r="C79" s="65"/>
      <c r="D79" s="65">
        <f>'Cash flow for investments- Food'!C12</f>
        <v>335364.99047619052</v>
      </c>
      <c r="E79" s="65"/>
      <c r="F79" s="4"/>
    </row>
    <row r="80" spans="2:6" ht="17.25" hidden="1">
      <c r="F80" s="4"/>
    </row>
    <row r="81" ht="17.25" hidden="1"/>
    <row r="82" ht="17.25" hidden="1"/>
    <row r="83" ht="17.25" hidden="1"/>
    <row r="84" ht="17.25" hidden="1"/>
    <row r="85" ht="17.25" hidden="1"/>
    <row r="86" ht="17.25" hidden="1"/>
    <row r="87" ht="17.25" hidden="1"/>
    <row r="88" ht="17.25" hidden="1"/>
    <row r="89" ht="17.25" hidden="1"/>
    <row r="90" ht="17.25" hidden="1"/>
    <row r="91" ht="17.25" hidden="1"/>
    <row r="92" ht="17.25" hidden="1"/>
    <row r="93" ht="17.25" hidden="1"/>
    <row r="95" ht="17.25" hidden="1"/>
    <row r="96" ht="17.25" hidden="1"/>
    <row r="99" spans="2:4" ht="0" hidden="1" customHeight="1">
      <c r="B99" s="63" t="s">
        <v>97</v>
      </c>
      <c r="C99" s="64">
        <v>2.47105</v>
      </c>
      <c r="D99" s="48" t="s">
        <v>29</v>
      </c>
    </row>
    <row r="101" spans="2:4" ht="0" hidden="1" customHeight="1">
      <c r="B101" s="66"/>
      <c r="C101" s="67"/>
      <c r="D101" s="68"/>
    </row>
    <row r="102" spans="2:4" ht="0" hidden="1" customHeight="1">
      <c r="B102" s="66"/>
      <c r="C102" s="67"/>
      <c r="D102" s="68"/>
    </row>
    <row r="103" spans="2:4" ht="0" hidden="1" customHeight="1">
      <c r="B103" s="66"/>
      <c r="C103" s="67"/>
      <c r="D103" s="68"/>
    </row>
  </sheetData>
  <sheetProtection sheet="1" objects="1" scenarios="1"/>
  <mergeCells count="1">
    <mergeCell ref="B2:I2"/>
  </mergeCells>
  <conditionalFormatting sqref="V95:W412 V43:W93">
    <cfRule type="duplicateValues" dxfId="7" priority="17"/>
  </conditionalFormatting>
  <hyperlinks>
    <hyperlink ref="N13" r:id="rId1" display="http://www.osagecatfisheries.com/pond-stocking.asp" xr:uid="{FB8E1CB2-3C6D-4C43-8D2A-51A9A3A70CBF}"/>
    <hyperlink ref="N15" r:id="rId2" display="http://www.osagecatfisheries.com/pond-stocking.asp" xr:uid="{2745D530-C43C-4AFB-92C9-D62D60438AFB}"/>
    <hyperlink ref="N14" r:id="rId3" display="https://extension.missouri.edu/media/wysiwyg/Extensiondata/Pub/pdf/agguides/wildlife/g09473.pdf" xr:uid="{EF0761F5-3633-455B-BF8C-151A01C3C049}"/>
    <hyperlink ref="N16" r:id="rId4" display="https://extension.missouri.edu/media/wysiwyg/Extensiondata/Pub/pdf/agguides/wildlife/g09473.pdf" xr:uid="{098005DE-937D-4199-B138-AA0803CA29FF}"/>
    <hyperlink ref="N4" r:id="rId5" display="https://extension.missouri.edu/media/wysiwyg/Extensiondata/Pub/pdf/agguides/wildlife/g09473.pdf" xr:uid="{7B33DE59-0FB7-4FAE-A922-3CEE9DF6A6DB}"/>
  </hyperlinks>
  <pageMargins left="0.7" right="0.7" top="0.75" bottom="0.75" header="0.3" footer="0.3"/>
  <pageSetup orientation="portrait" r:id="rId6"/>
  <ignoredErrors>
    <ignoredError sqref="C40"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89941-7026-45BE-A98B-93DBC868CEEB}">
  <sheetPr codeName="Sheet10"/>
  <dimension ref="A1:AO95"/>
  <sheetViews>
    <sheetView showGridLines="0" zoomScaleNormal="100" workbookViewId="0">
      <selection activeCell="L40" sqref="L40"/>
    </sheetView>
  </sheetViews>
  <sheetFormatPr defaultColWidth="0" defaultRowHeight="0" customHeight="1" zeroHeight="1"/>
  <cols>
    <col min="1" max="1" width="2.33203125" style="5" customWidth="1"/>
    <col min="2" max="2" width="36.77734375" style="48" customWidth="1"/>
    <col min="3" max="3" width="10.77734375" style="48" customWidth="1"/>
    <col min="4" max="4" width="11.77734375" style="48" customWidth="1"/>
    <col min="5" max="5" width="13.77734375" style="48" customWidth="1"/>
    <col min="6" max="8" width="10.77734375" style="48" customWidth="1"/>
    <col min="9" max="9" width="10.77734375" style="5" customWidth="1"/>
    <col min="10" max="11" width="3.33203125" style="5" customWidth="1"/>
    <col min="12" max="12" width="37.109375" style="5" customWidth="1"/>
    <col min="13" max="13" width="11.77734375" style="5" customWidth="1"/>
    <col min="14" max="14" width="3.33203125" style="5" customWidth="1"/>
    <col min="15" max="15" width="7.77734375" style="5" customWidth="1"/>
    <col min="16" max="16" width="10.77734375" style="5" customWidth="1"/>
    <col min="17" max="17" width="3.33203125" style="5" customWidth="1"/>
    <col min="18" max="18" width="7.77734375" style="5" customWidth="1"/>
    <col min="19" max="19" width="14.33203125" style="5" customWidth="1"/>
    <col min="20" max="20" width="3.33203125" style="5" customWidth="1"/>
    <col min="21" max="21" width="36" style="5" bestFit="1" customWidth="1"/>
    <col min="22" max="22" width="14.77734375" style="5" bestFit="1" customWidth="1"/>
    <col min="23" max="23" width="10" style="5" bestFit="1" customWidth="1"/>
    <col min="24" max="24" width="22.88671875" style="5" customWidth="1"/>
    <col min="25" max="25" width="11.77734375" style="5" customWidth="1"/>
    <col min="26" max="41" width="0" style="5" hidden="1" customWidth="1"/>
    <col min="42" max="16384" width="8.88671875" style="5" hidden="1"/>
  </cols>
  <sheetData>
    <row r="1" spans="2:20" ht="16.5" customHeight="1">
      <c r="B1" s="5"/>
      <c r="C1" s="5"/>
      <c r="D1" s="5"/>
      <c r="E1" s="5"/>
      <c r="F1" s="5"/>
      <c r="G1" s="5"/>
      <c r="H1" s="5"/>
    </row>
    <row r="2" spans="2:20" ht="21">
      <c r="B2" s="707" t="s">
        <v>295</v>
      </c>
      <c r="C2" s="707"/>
      <c r="D2" s="707"/>
      <c r="E2" s="707"/>
      <c r="F2" s="707"/>
      <c r="G2" s="707"/>
      <c r="H2" s="707"/>
      <c r="I2" s="707"/>
      <c r="J2" s="456"/>
      <c r="L2" s="125" t="s">
        <v>398</v>
      </c>
      <c r="M2" s="127"/>
      <c r="N2" s="127"/>
      <c r="O2" s="457" t="s">
        <v>397</v>
      </c>
      <c r="P2" s="198" t="s">
        <v>396</v>
      </c>
      <c r="Q2" s="648"/>
      <c r="R2" s="457" t="s">
        <v>120</v>
      </c>
      <c r="S2" s="649" t="s">
        <v>393</v>
      </c>
      <c r="T2" s="1"/>
    </row>
    <row r="3" spans="2:20" ht="16.5" customHeight="1">
      <c r="B3" s="296"/>
      <c r="C3" s="296"/>
      <c r="D3" s="296"/>
      <c r="E3" s="296"/>
      <c r="F3" s="296"/>
      <c r="G3" s="296"/>
      <c r="H3" s="296"/>
      <c r="I3" s="296"/>
      <c r="L3" s="195" t="s">
        <v>31</v>
      </c>
      <c r="M3" s="196" t="s">
        <v>34</v>
      </c>
      <c r="N3" s="175"/>
      <c r="O3" s="131" t="s">
        <v>388</v>
      </c>
      <c r="P3" s="131" t="s">
        <v>394</v>
      </c>
      <c r="Q3" s="648"/>
      <c r="R3" s="131" t="s">
        <v>383</v>
      </c>
      <c r="S3" s="131" t="s">
        <v>395</v>
      </c>
      <c r="T3" s="3"/>
    </row>
    <row r="4" spans="2:20" ht="16.5" customHeight="1">
      <c r="B4" s="462" t="s">
        <v>88</v>
      </c>
      <c r="C4" s="406" t="s">
        <v>2</v>
      </c>
      <c r="D4" s="463" t="s">
        <v>387</v>
      </c>
      <c r="E4" s="463" t="s">
        <v>32</v>
      </c>
      <c r="F4" s="463" t="s">
        <v>33</v>
      </c>
      <c r="G4" s="463" t="s">
        <v>233</v>
      </c>
      <c r="H4" s="463" t="s">
        <v>144</v>
      </c>
      <c r="I4" s="463" t="s">
        <v>214</v>
      </c>
      <c r="K4" s="460"/>
      <c r="L4" s="193" t="s">
        <v>268</v>
      </c>
      <c r="M4" s="547">
        <v>15000</v>
      </c>
      <c r="N4" s="471"/>
      <c r="O4" s="125"/>
      <c r="P4" s="166">
        <f>G37</f>
        <v>8523.1000305786583</v>
      </c>
      <c r="Q4" s="125"/>
      <c r="R4" s="125"/>
      <c r="S4" s="166">
        <f>H36</f>
        <v>1.8507761875639372</v>
      </c>
      <c r="T4" s="20"/>
    </row>
    <row r="5" spans="2:20" ht="16.5" customHeight="1">
      <c r="B5" s="467" t="s">
        <v>94</v>
      </c>
      <c r="C5" s="480" t="s">
        <v>144</v>
      </c>
      <c r="D5" s="166">
        <f>M15</f>
        <v>3</v>
      </c>
      <c r="E5" s="573">
        <f>E11*M11</f>
        <v>125999.99999999999</v>
      </c>
      <c r="F5" s="506">
        <f>D5*E5</f>
        <v>377999.99999999994</v>
      </c>
      <c r="G5" s="506">
        <f>F5/'Capital Inputs'!$D$7</f>
        <v>31499.999999999996</v>
      </c>
      <c r="H5" s="491">
        <f>D5</f>
        <v>3</v>
      </c>
      <c r="I5" s="470">
        <f>F5/$F$5</f>
        <v>1</v>
      </c>
      <c r="K5" s="460"/>
      <c r="L5" s="193" t="s">
        <v>87</v>
      </c>
      <c r="M5" s="548">
        <v>8</v>
      </c>
      <c r="N5" s="471"/>
      <c r="O5" s="472">
        <v>1.5</v>
      </c>
      <c r="P5" s="166">
        <f t="dataTable" ref="P5:P35" dt2D="0" dtr="0" r1="D5"/>
        <v>-6111.0780944213402</v>
      </c>
      <c r="Q5" s="125"/>
      <c r="R5" s="470">
        <v>0.1</v>
      </c>
      <c r="S5" s="166">
        <f t="dataTable" ref="S5:S37" dt2D="0" dtr="0" r1="M11" ca="1"/>
        <v>10.733272682847833</v>
      </c>
      <c r="T5" s="20"/>
    </row>
    <row r="6" spans="2:20" ht="16.5" customHeight="1">
      <c r="B6" s="467" t="s">
        <v>35</v>
      </c>
      <c r="C6" s="480" t="s">
        <v>16</v>
      </c>
      <c r="D6" s="166">
        <f>'Operating Inputs'!D25</f>
        <v>1.5</v>
      </c>
      <c r="E6" s="573">
        <f>E5*M16/M17*M18*D6</f>
        <v>28349.999999999993</v>
      </c>
      <c r="F6" s="507">
        <f>D6*E6</f>
        <v>42524.999999999985</v>
      </c>
      <c r="G6" s="507">
        <f>F6/'Capital Inputs'!$D$7</f>
        <v>3543.7499999999986</v>
      </c>
      <c r="H6" s="498">
        <f>F6/$E$5</f>
        <v>0.33749999999999991</v>
      </c>
      <c r="I6" s="477">
        <f>F6/$F$5</f>
        <v>0.11249999999999998</v>
      </c>
      <c r="K6" s="466"/>
      <c r="L6" s="125" t="s">
        <v>401</v>
      </c>
      <c r="M6" s="548">
        <v>688</v>
      </c>
      <c r="N6" s="471" t="s">
        <v>260</v>
      </c>
      <c r="O6" s="472">
        <v>1.65</v>
      </c>
      <c r="P6" s="166">
        <v>-4647.6602819213422</v>
      </c>
      <c r="Q6" s="125"/>
      <c r="R6" s="470">
        <v>0.125</v>
      </c>
      <c r="S6" s="166">
        <v>8.6606901672815901</v>
      </c>
      <c r="T6" s="42"/>
    </row>
    <row r="7" spans="2:20" ht="16.5" customHeight="1">
      <c r="B7" s="479" t="s">
        <v>89</v>
      </c>
      <c r="C7" s="650"/>
      <c r="D7" s="125"/>
      <c r="E7" s="573"/>
      <c r="F7" s="651">
        <f>F5-F6</f>
        <v>335474.99999999994</v>
      </c>
      <c r="G7" s="651">
        <f>G5-G6</f>
        <v>27956.249999999996</v>
      </c>
      <c r="H7" s="502">
        <f>F7/$E$5</f>
        <v>2.6624999999999996</v>
      </c>
      <c r="I7" s="483">
        <f>F7/$F$5</f>
        <v>0.88749999999999996</v>
      </c>
      <c r="K7" s="466"/>
      <c r="L7" s="193" t="s">
        <v>98</v>
      </c>
      <c r="M7" s="548">
        <v>2.5</v>
      </c>
      <c r="N7" s="471"/>
      <c r="O7" s="472">
        <v>1.8</v>
      </c>
      <c r="P7" s="166">
        <v>-3184.2424694213423</v>
      </c>
      <c r="Q7" s="125"/>
      <c r="R7" s="470">
        <v>0.15</v>
      </c>
      <c r="S7" s="166">
        <v>7.2789684902374301</v>
      </c>
      <c r="T7" s="3"/>
    </row>
    <row r="8" spans="2:20" ht="16.5" customHeight="1">
      <c r="B8" s="479"/>
      <c r="C8" s="650"/>
      <c r="D8" s="125"/>
      <c r="E8" s="573"/>
      <c r="F8" s="486"/>
      <c r="G8" s="486"/>
      <c r="H8" s="487"/>
      <c r="I8" s="488"/>
      <c r="K8" s="474"/>
      <c r="L8" s="193" t="s">
        <v>119</v>
      </c>
      <c r="M8" s="548">
        <v>0</v>
      </c>
      <c r="N8" s="489"/>
      <c r="O8" s="472">
        <v>1.95</v>
      </c>
      <c r="P8" s="166">
        <v>-1720.8246569213443</v>
      </c>
      <c r="Q8" s="125"/>
      <c r="R8" s="470">
        <v>0.17499999999999999</v>
      </c>
      <c r="S8" s="166">
        <v>6.2920244352058869</v>
      </c>
      <c r="T8" s="3"/>
    </row>
    <row r="9" spans="2:20" ht="16.5" customHeight="1">
      <c r="B9" s="490" t="s">
        <v>37</v>
      </c>
      <c r="C9" s="406" t="s">
        <v>2</v>
      </c>
      <c r="D9" s="463" t="s">
        <v>387</v>
      </c>
      <c r="E9" s="463" t="s">
        <v>32</v>
      </c>
      <c r="F9" s="463" t="s">
        <v>33</v>
      </c>
      <c r="G9" s="463" t="s">
        <v>233</v>
      </c>
      <c r="H9" s="463" t="s">
        <v>144</v>
      </c>
      <c r="I9" s="463" t="s">
        <v>214</v>
      </c>
      <c r="K9" s="466"/>
      <c r="L9" s="193" t="s">
        <v>137</v>
      </c>
      <c r="M9" s="548">
        <v>1000</v>
      </c>
      <c r="N9" s="471"/>
      <c r="O9" s="472">
        <v>2.1</v>
      </c>
      <c r="P9" s="166">
        <v>-257.40684442134079</v>
      </c>
      <c r="Q9" s="125"/>
      <c r="R9" s="470">
        <v>0.2</v>
      </c>
      <c r="S9" s="166">
        <v>5.5518163939322278</v>
      </c>
      <c r="T9" s="3"/>
    </row>
    <row r="10" spans="2:20" ht="16.5" customHeight="1">
      <c r="B10" s="467" t="s">
        <v>38</v>
      </c>
      <c r="C10" s="126" t="s">
        <v>39</v>
      </c>
      <c r="D10" s="166">
        <f>M6</f>
        <v>688</v>
      </c>
      <c r="E10" s="573">
        <f>(M16-M14)*AVERAGE(E5,E11)*M7/2206</f>
        <v>69.356300997280144</v>
      </c>
      <c r="F10" s="468">
        <f>E10*D10</f>
        <v>47717.135086128736</v>
      </c>
      <c r="G10" s="468">
        <f>F10/'Capital Inputs'!$D$7</f>
        <v>3976.4279238440613</v>
      </c>
      <c r="H10" s="491">
        <f>F10/$E$5</f>
        <v>0.37870742131848206</v>
      </c>
      <c r="I10" s="470">
        <f>F10/$F$5</f>
        <v>0.1262358071061607</v>
      </c>
      <c r="K10" s="466"/>
      <c r="L10" s="193" t="s">
        <v>170</v>
      </c>
      <c r="M10" s="548">
        <v>700</v>
      </c>
      <c r="N10" s="471"/>
      <c r="O10" s="472">
        <v>2.25</v>
      </c>
      <c r="P10" s="166">
        <v>1206.0109680786554</v>
      </c>
      <c r="Q10" s="125"/>
      <c r="R10" s="470">
        <v>0.22500000000000001</v>
      </c>
      <c r="S10" s="166">
        <v>4.9760990284971598</v>
      </c>
      <c r="T10" s="3"/>
    </row>
    <row r="11" spans="2:20" ht="16.5" customHeight="1">
      <c r="B11" s="467" t="s">
        <v>107</v>
      </c>
      <c r="C11" s="126" t="s">
        <v>41</v>
      </c>
      <c r="D11" s="166"/>
      <c r="E11" s="573">
        <f>M4*'Capital Inputs'!D7</f>
        <v>180000</v>
      </c>
      <c r="F11" s="468">
        <f>E11*M13</f>
        <v>90000</v>
      </c>
      <c r="G11" s="468">
        <f>F11/'Capital Inputs'!$D$7</f>
        <v>7500</v>
      </c>
      <c r="H11" s="491">
        <f>F11/$E$5</f>
        <v>0.71428571428571441</v>
      </c>
      <c r="I11" s="470">
        <f>F11/$F$5</f>
        <v>0.23809523809523814</v>
      </c>
      <c r="K11" s="466"/>
      <c r="L11" s="193" t="s">
        <v>99</v>
      </c>
      <c r="M11" s="549">
        <v>0.7</v>
      </c>
      <c r="N11" s="492"/>
      <c r="O11" s="472">
        <v>2.4</v>
      </c>
      <c r="P11" s="166">
        <v>2669.4287805786553</v>
      </c>
      <c r="Q11" s="125"/>
      <c r="R11" s="470">
        <v>0.25</v>
      </c>
      <c r="S11" s="166">
        <v>4.5155251361491064</v>
      </c>
      <c r="T11" s="3"/>
    </row>
    <row r="12" spans="2:20" ht="16.5" customHeight="1">
      <c r="B12" s="467" t="s">
        <v>6</v>
      </c>
      <c r="C12" s="480"/>
      <c r="D12" s="166"/>
      <c r="E12" s="573"/>
      <c r="F12" s="468">
        <f>'Operating Inputs'!D7*ROUND(M5/12,0)*'Capital Inputs'!D7</f>
        <v>1800</v>
      </c>
      <c r="G12" s="468">
        <f>F12/'Capital Inputs'!$D$7</f>
        <v>150</v>
      </c>
      <c r="H12" s="491">
        <f>F12/$E$5</f>
        <v>1.4285714285714287E-2</v>
      </c>
      <c r="I12" s="470">
        <f>F12/$F$5</f>
        <v>4.7619047619047623E-3</v>
      </c>
      <c r="K12" s="466"/>
      <c r="L12" s="194" t="s">
        <v>164</v>
      </c>
      <c r="M12" s="550">
        <v>8</v>
      </c>
      <c r="N12" s="471"/>
      <c r="O12" s="472">
        <v>2.5499999999999998</v>
      </c>
      <c r="P12" s="166">
        <v>4132.8465930786551</v>
      </c>
      <c r="Q12" s="125"/>
      <c r="R12" s="470">
        <v>0.27500000000000002</v>
      </c>
      <c r="S12" s="166">
        <v>4.1386919515006975</v>
      </c>
      <c r="T12" s="42"/>
    </row>
    <row r="13" spans="2:20" ht="16.5" customHeight="1">
      <c r="B13" s="467" t="s">
        <v>186</v>
      </c>
      <c r="C13" s="126" t="s">
        <v>40</v>
      </c>
      <c r="D13" s="166">
        <f>'Operating Inputs'!D14</f>
        <v>0.4</v>
      </c>
      <c r="E13" s="573">
        <f>M8*'Capital Inputs'!D7</f>
        <v>0</v>
      </c>
      <c r="F13" s="468">
        <f>D13*E13</f>
        <v>0</v>
      </c>
      <c r="G13" s="468">
        <f>F13/'Capital Inputs'!$D$7</f>
        <v>0</v>
      </c>
      <c r="H13" s="166"/>
      <c r="I13" s="396"/>
      <c r="K13" s="466"/>
      <c r="L13" s="193" t="s">
        <v>286</v>
      </c>
      <c r="M13" s="551">
        <v>0.5</v>
      </c>
      <c r="N13" s="471" t="s">
        <v>276</v>
      </c>
      <c r="O13" s="472">
        <v>2.7</v>
      </c>
      <c r="P13" s="166">
        <v>5596.2644055786623</v>
      </c>
      <c r="Q13" s="125"/>
      <c r="R13" s="470">
        <v>0.3</v>
      </c>
      <c r="S13" s="166">
        <v>3.8246642976270255</v>
      </c>
      <c r="T13" s="20"/>
    </row>
    <row r="14" spans="2:20" ht="16.5" customHeight="1">
      <c r="B14" s="467" t="s">
        <v>42</v>
      </c>
      <c r="C14" s="480"/>
      <c r="D14" s="166"/>
      <c r="E14" s="573"/>
      <c r="F14" s="468">
        <f>'Operating Inputs'!D9*F5</f>
        <v>7559.9999999999991</v>
      </c>
      <c r="G14" s="468">
        <f>F14/'Capital Inputs'!$D$7</f>
        <v>629.99999999999989</v>
      </c>
      <c r="H14" s="491">
        <f t="shared" ref="H14:H28" si="0">F14/$E$5</f>
        <v>0.06</v>
      </c>
      <c r="I14" s="470">
        <f>F14/$F$5</f>
        <v>0.02</v>
      </c>
      <c r="K14" s="466"/>
      <c r="L14" s="193" t="s">
        <v>236</v>
      </c>
      <c r="M14" s="548">
        <v>0.1</v>
      </c>
      <c r="N14" s="471" t="s">
        <v>254</v>
      </c>
      <c r="O14" s="472">
        <v>2.85</v>
      </c>
      <c r="P14" s="166">
        <v>7059.6822180786585</v>
      </c>
      <c r="Q14" s="125"/>
      <c r="R14" s="470">
        <v>0.32500000000000001</v>
      </c>
      <c r="S14" s="166">
        <v>3.5589485905031477</v>
      </c>
      <c r="T14" s="3"/>
    </row>
    <row r="15" spans="2:20" ht="16.5" customHeight="1">
      <c r="B15" s="467" t="s">
        <v>11</v>
      </c>
      <c r="C15" s="480"/>
      <c r="D15" s="166"/>
      <c r="E15" s="573"/>
      <c r="F15" s="468">
        <f>('Operating Inputs'!D15*'Operating Inputs'!C42/2000+'Operating Inputs'!C43*'Operating Inputs'!D16+'Operating Inputs'!C44)*'Capital Inputs'!D7</f>
        <v>1153.5</v>
      </c>
      <c r="G15" s="468">
        <f>F15/'Capital Inputs'!$D$7</f>
        <v>96.125</v>
      </c>
      <c r="H15" s="491">
        <f t="shared" si="0"/>
        <v>9.1547619047619051E-3</v>
      </c>
      <c r="I15" s="470">
        <f>F15/$F$5</f>
        <v>3.0515873015873021E-3</v>
      </c>
      <c r="K15" s="466"/>
      <c r="L15" s="193" t="s">
        <v>238</v>
      </c>
      <c r="M15" s="548">
        <v>3</v>
      </c>
      <c r="N15" s="471" t="s">
        <v>253</v>
      </c>
      <c r="O15" s="472">
        <v>3</v>
      </c>
      <c r="P15" s="166">
        <v>8523.1000305786583</v>
      </c>
      <c r="Q15" s="125"/>
      <c r="R15" s="470">
        <v>0.35</v>
      </c>
      <c r="S15" s="166">
        <v>3.3311922701112535</v>
      </c>
    </row>
    <row r="16" spans="2:20" ht="16.5" customHeight="1">
      <c r="B16" s="467" t="s">
        <v>43</v>
      </c>
      <c r="C16" s="480"/>
      <c r="D16" s="166"/>
      <c r="E16" s="573"/>
      <c r="F16" s="468">
        <f>('Operating Inputs'!D10*('Capital Inputs'!D6+'Capital Inputs'!D5)/'Capital Inputs'!D7+'Capital Inputs'!G40)*ROUND(M5/12,0)</f>
        <v>7401.0389999999998</v>
      </c>
      <c r="G16" s="468">
        <f>F16/'Capital Inputs'!$D$7</f>
        <v>616.75324999999998</v>
      </c>
      <c r="H16" s="491">
        <f t="shared" si="0"/>
        <v>5.8738404761904769E-2</v>
      </c>
      <c r="I16" s="470">
        <f>F16/$F$5</f>
        <v>1.9579468253968255E-2</v>
      </c>
      <c r="K16" s="466"/>
      <c r="L16" s="193" t="s">
        <v>237</v>
      </c>
      <c r="M16" s="551">
        <v>0.5</v>
      </c>
      <c r="N16" s="471" t="s">
        <v>254</v>
      </c>
      <c r="O16" s="472">
        <v>3.15</v>
      </c>
      <c r="P16" s="166">
        <v>9986.5178430786546</v>
      </c>
      <c r="Q16" s="125"/>
      <c r="R16" s="470">
        <v>0.375</v>
      </c>
      <c r="S16" s="166">
        <v>3.1338034591049446</v>
      </c>
    </row>
    <row r="17" spans="2:21" ht="16.5" customHeight="1">
      <c r="B17" s="467" t="s">
        <v>44</v>
      </c>
      <c r="C17" s="480"/>
      <c r="D17" s="166"/>
      <c r="E17" s="573"/>
      <c r="F17" s="468">
        <f>SUM(F18:F21)</f>
        <v>12288.380000000001</v>
      </c>
      <c r="G17" s="468">
        <f>F17/'Capital Inputs'!$D$7</f>
        <v>1024.0316666666668</v>
      </c>
      <c r="H17" s="491">
        <f t="shared" si="0"/>
        <v>9.7526825396825417E-2</v>
      </c>
      <c r="I17" s="470">
        <f>F17/$F$5</f>
        <v>3.2508941798941808E-2</v>
      </c>
      <c r="K17" s="466"/>
      <c r="L17" s="193" t="s">
        <v>217</v>
      </c>
      <c r="M17" s="551">
        <v>500</v>
      </c>
      <c r="N17" s="492"/>
      <c r="O17" s="472">
        <v>3.3</v>
      </c>
      <c r="P17" s="166">
        <v>11449.935655578654</v>
      </c>
      <c r="Q17" s="125"/>
      <c r="R17" s="470">
        <v>0.4</v>
      </c>
      <c r="S17" s="166">
        <v>2.9610882494744244</v>
      </c>
    </row>
    <row r="18" spans="2:21" ht="16.5" customHeight="1">
      <c r="B18" s="157" t="s">
        <v>171</v>
      </c>
      <c r="C18" s="126" t="s">
        <v>73</v>
      </c>
      <c r="D18" s="166">
        <f>'Operating Inputs'!D22</f>
        <v>0.15</v>
      </c>
      <c r="E18" s="573">
        <f>'Capital Inputs'!D7*'Operating Inputs'!D19*0.7457*M9</f>
        <v>26845.200000000001</v>
      </c>
      <c r="F18" s="133">
        <f>E18*'Operating Inputs'!D22</f>
        <v>4026.7799999999997</v>
      </c>
      <c r="G18" s="133">
        <f>F18/'Capital Inputs'!$D$7</f>
        <v>335.565</v>
      </c>
      <c r="H18" s="491">
        <f t="shared" si="0"/>
        <v>3.1958571428571433E-2</v>
      </c>
      <c r="I18" s="396"/>
      <c r="K18" s="466"/>
      <c r="L18" s="193" t="s">
        <v>218</v>
      </c>
      <c r="M18" s="551">
        <v>150</v>
      </c>
      <c r="N18" s="181"/>
      <c r="O18" s="472">
        <v>3.45</v>
      </c>
      <c r="P18" s="166">
        <v>12913.353468078662</v>
      </c>
      <c r="Q18" s="125"/>
      <c r="R18" s="470">
        <v>0.42499999999999999</v>
      </c>
      <c r="S18" s="166">
        <v>2.8086924762710241</v>
      </c>
    </row>
    <row r="19" spans="2:21" ht="16.5" customHeight="1">
      <c r="B19" s="157" t="s">
        <v>184</v>
      </c>
      <c r="C19" s="126" t="s">
        <v>73</v>
      </c>
      <c r="D19" s="166">
        <f>'Operating Inputs'!D22</f>
        <v>0.15</v>
      </c>
      <c r="E19" s="573">
        <f>'Capital Inputs'!D7*M12*'Operating Inputs'!D28*'Operating Inputs'!D29</f>
        <v>26304.000000000004</v>
      </c>
      <c r="F19" s="133">
        <f>E19*D19</f>
        <v>3945.6000000000004</v>
      </c>
      <c r="G19" s="133">
        <f>F19/'Capital Inputs'!$D$7</f>
        <v>328.8</v>
      </c>
      <c r="H19" s="491">
        <f t="shared" si="0"/>
        <v>3.1314285714285718E-2</v>
      </c>
      <c r="I19" s="396"/>
      <c r="K19" s="466"/>
      <c r="L19" s="125" t="s">
        <v>167</v>
      </c>
      <c r="M19" s="548">
        <v>3</v>
      </c>
      <c r="N19" s="652"/>
      <c r="O19" s="472">
        <v>3.6</v>
      </c>
      <c r="P19" s="166">
        <v>14376.771280578654</v>
      </c>
      <c r="Q19" s="125"/>
      <c r="R19" s="470">
        <v>0.45</v>
      </c>
      <c r="S19" s="166">
        <v>2.6732295667568908</v>
      </c>
      <c r="T19" s="48"/>
      <c r="U19" s="48"/>
    </row>
    <row r="20" spans="2:21" ht="16.5" customHeight="1">
      <c r="B20" s="157" t="s">
        <v>162</v>
      </c>
      <c r="C20" s="126" t="s">
        <v>226</v>
      </c>
      <c r="D20" s="166">
        <v>3.5</v>
      </c>
      <c r="E20" s="573">
        <f>'Operating Inputs'!D26*ROUND(M5/12,0)*12</f>
        <v>600</v>
      </c>
      <c r="F20" s="133">
        <f>D20*E20</f>
        <v>2100</v>
      </c>
      <c r="G20" s="133">
        <f>F20/'Capital Inputs'!$D$7</f>
        <v>175</v>
      </c>
      <c r="H20" s="491">
        <f t="shared" si="0"/>
        <v>1.666666666666667E-2</v>
      </c>
      <c r="I20" s="396"/>
      <c r="K20" s="466"/>
      <c r="L20" s="129" t="s">
        <v>215</v>
      </c>
      <c r="M20" s="552">
        <v>0.05</v>
      </c>
      <c r="N20" s="125"/>
      <c r="O20" s="472">
        <v>3.75</v>
      </c>
      <c r="P20" s="166">
        <v>15840.189093078654</v>
      </c>
      <c r="Q20" s="125"/>
      <c r="R20" s="470">
        <v>0.47499999999999998</v>
      </c>
      <c r="S20" s="166">
        <v>2.5520259108758236</v>
      </c>
      <c r="T20" s="48"/>
      <c r="U20" s="48"/>
    </row>
    <row r="21" spans="2:21" ht="16.5" customHeight="1">
      <c r="B21" s="157" t="s">
        <v>204</v>
      </c>
      <c r="C21" s="126"/>
      <c r="D21" s="166"/>
      <c r="E21" s="573"/>
      <c r="F21" s="133">
        <f>('Operating Inputs'!D24*'Operating Inputs'!D22*ROUND(M5/12,0)*12 + 'Operating Inputs'!D21)</f>
        <v>2216</v>
      </c>
      <c r="G21" s="133">
        <f>F21/'Capital Inputs'!$D$7</f>
        <v>184.66666666666666</v>
      </c>
      <c r="H21" s="491">
        <f t="shared" si="0"/>
        <v>1.7587301587301589E-2</v>
      </c>
      <c r="I21" s="396"/>
      <c r="K21" s="466"/>
      <c r="L21" s="125"/>
      <c r="M21" s="125"/>
      <c r="N21" s="125"/>
      <c r="O21" s="472">
        <v>3.9</v>
      </c>
      <c r="P21" s="166">
        <v>17303.606905578654</v>
      </c>
      <c r="Q21" s="125"/>
      <c r="R21" s="470">
        <v>0.5</v>
      </c>
      <c r="S21" s="166">
        <v>2.4429426205828637</v>
      </c>
      <c r="T21" s="48"/>
      <c r="U21" s="48"/>
    </row>
    <row r="22" spans="2:21" ht="16.5" customHeight="1">
      <c r="B22" s="467" t="s">
        <v>112</v>
      </c>
      <c r="C22" s="126"/>
      <c r="D22" s="166">
        <f>'Operating Inputs'!D27</f>
        <v>50</v>
      </c>
      <c r="E22" s="573">
        <f>M19</f>
        <v>3</v>
      </c>
      <c r="F22" s="133">
        <f>D22*E22</f>
        <v>150</v>
      </c>
      <c r="G22" s="133">
        <f>F22/'Capital Inputs'!$D$7</f>
        <v>12.5</v>
      </c>
      <c r="H22" s="491">
        <f t="shared" si="0"/>
        <v>1.1904761904761906E-3</v>
      </c>
      <c r="I22" s="396"/>
      <c r="L22" s="125"/>
      <c r="M22" s="125"/>
      <c r="N22" s="125"/>
      <c r="O22" s="472">
        <v>4.05</v>
      </c>
      <c r="P22" s="166">
        <v>18767.024718078654</v>
      </c>
      <c r="Q22" s="125"/>
      <c r="R22" s="470">
        <v>0.52500000000000002</v>
      </c>
      <c r="S22" s="166">
        <v>2.3442482150797095</v>
      </c>
      <c r="T22" s="60" t="str">
        <f>R2</f>
        <v>Survival</v>
      </c>
      <c r="U22" s="60" t="str">
        <f>S2</f>
        <v xml:space="preserve">Breakeven price </v>
      </c>
    </row>
    <row r="23" spans="2:21" ht="16.5" customHeight="1">
      <c r="B23" s="467" t="s">
        <v>90</v>
      </c>
      <c r="C23" s="480"/>
      <c r="D23" s="166"/>
      <c r="E23" s="573"/>
      <c r="F23" s="468">
        <f>'Operating Inputs'!D5*M10*M5/12</f>
        <v>8633.3333333333339</v>
      </c>
      <c r="G23" s="468">
        <f>F23/'Capital Inputs'!$D$7</f>
        <v>719.44444444444446</v>
      </c>
      <c r="H23" s="491">
        <f t="shared" si="0"/>
        <v>6.8518518518518534E-2</v>
      </c>
      <c r="I23" s="470">
        <f t="shared" ref="I23:I28" si="1">F23/$F$5</f>
        <v>2.2839506172839513E-2</v>
      </c>
      <c r="L23" s="125"/>
      <c r="M23" s="125"/>
      <c r="N23" s="125"/>
      <c r="O23" s="472">
        <v>4.2</v>
      </c>
      <c r="P23" s="166">
        <v>20230.442530578661</v>
      </c>
      <c r="Q23" s="125"/>
      <c r="R23" s="470">
        <v>0.55000000000000004</v>
      </c>
      <c r="S23" s="166">
        <v>2.2545260282586597</v>
      </c>
      <c r="T23" s="61">
        <f t="shared" ref="T23:T38" si="2">R22</f>
        <v>0.52500000000000002</v>
      </c>
      <c r="U23" s="62">
        <f t="shared" ref="U23:U38" si="3">S22</f>
        <v>2.3442482150797095</v>
      </c>
    </row>
    <row r="24" spans="2:21" ht="16.5" customHeight="1">
      <c r="B24" s="467" t="s">
        <v>74</v>
      </c>
      <c r="C24" s="480"/>
      <c r="D24" s="125"/>
      <c r="E24" s="573"/>
      <c r="F24" s="468">
        <f>'Operating Inputs'!D11*M5/12</f>
        <v>1600</v>
      </c>
      <c r="G24" s="468">
        <f>F24/'Capital Inputs'!$D$7</f>
        <v>133.33333333333334</v>
      </c>
      <c r="H24" s="491">
        <f t="shared" si="0"/>
        <v>1.26984126984127E-2</v>
      </c>
      <c r="I24" s="470">
        <f t="shared" si="1"/>
        <v>4.2328042328042331E-3</v>
      </c>
      <c r="L24" s="125"/>
      <c r="M24" s="125"/>
      <c r="N24" s="125"/>
      <c r="O24" s="472">
        <v>4.3499999999999996</v>
      </c>
      <c r="P24" s="166">
        <v>21693.860343078653</v>
      </c>
      <c r="Q24" s="125"/>
      <c r="R24" s="470">
        <v>0.57499999999999996</v>
      </c>
      <c r="S24" s="166">
        <v>2.1726057707263977</v>
      </c>
      <c r="T24" s="61">
        <f t="shared" si="2"/>
        <v>0.55000000000000004</v>
      </c>
      <c r="U24" s="62">
        <f t="shared" si="3"/>
        <v>2.2545260282586597</v>
      </c>
    </row>
    <row r="25" spans="2:21" ht="16.5" customHeight="1">
      <c r="B25" s="467" t="s">
        <v>8</v>
      </c>
      <c r="C25" s="480" t="s">
        <v>214</v>
      </c>
      <c r="D25" s="143">
        <f>M20</f>
        <v>0.05</v>
      </c>
      <c r="E25" s="573">
        <f>F5</f>
        <v>377999.99999999994</v>
      </c>
      <c r="F25" s="468">
        <f>D25*E25</f>
        <v>18899.999999999996</v>
      </c>
      <c r="G25" s="468">
        <f>F25/'Capital Inputs'!$D$7</f>
        <v>1574.9999999999998</v>
      </c>
      <c r="H25" s="491">
        <f t="shared" si="0"/>
        <v>0.15</v>
      </c>
      <c r="I25" s="470">
        <f t="shared" si="1"/>
        <v>4.9999999999999996E-2</v>
      </c>
      <c r="L25" s="125"/>
      <c r="M25" s="125"/>
      <c r="N25" s="125"/>
      <c r="O25" s="472">
        <v>4.5</v>
      </c>
      <c r="P25" s="166">
        <v>23157.278155578653</v>
      </c>
      <c r="Q25" s="125"/>
      <c r="R25" s="470">
        <v>0.6</v>
      </c>
      <c r="S25" s="166">
        <v>2.0975122013218233</v>
      </c>
      <c r="T25" s="61">
        <f t="shared" si="2"/>
        <v>0.57499999999999996</v>
      </c>
      <c r="U25" s="62">
        <f t="shared" si="3"/>
        <v>2.1726057707263977</v>
      </c>
    </row>
    <row r="26" spans="2:21" ht="16.5" customHeight="1">
      <c r="B26" s="467" t="s">
        <v>45</v>
      </c>
      <c r="C26" s="480"/>
      <c r="D26" s="125"/>
      <c r="E26" s="125"/>
      <c r="F26" s="546">
        <v>0</v>
      </c>
      <c r="G26" s="468">
        <f>F26/'Capital Inputs'!$D$7</f>
        <v>0</v>
      </c>
      <c r="H26" s="491">
        <f t="shared" si="0"/>
        <v>0</v>
      </c>
      <c r="I26" s="470">
        <f t="shared" si="1"/>
        <v>0</v>
      </c>
      <c r="L26" s="125"/>
      <c r="M26" s="125"/>
      <c r="N26" s="125"/>
      <c r="O26" s="472">
        <v>4.6500000000000004</v>
      </c>
      <c r="P26" s="166">
        <v>24620.69596807866</v>
      </c>
      <c r="Q26" s="125"/>
      <c r="R26" s="470">
        <v>0.625</v>
      </c>
      <c r="S26" s="166">
        <v>2.0284261174696154</v>
      </c>
      <c r="T26" s="61">
        <f t="shared" si="2"/>
        <v>0.6</v>
      </c>
      <c r="U26" s="62">
        <f t="shared" si="3"/>
        <v>2.0975122013218233</v>
      </c>
    </row>
    <row r="27" spans="2:21" ht="16.5" customHeight="1">
      <c r="B27" s="467" t="s">
        <v>46</v>
      </c>
      <c r="C27" s="480" t="s">
        <v>14</v>
      </c>
      <c r="D27" s="497">
        <f>'Operating Inputs'!D12</f>
        <v>7.2499999999999995E-2</v>
      </c>
      <c r="E27" s="125"/>
      <c r="F27" s="475">
        <f>SUM(F10:F17,F22:F26)/2*(1-'Operating Inputs'!D13)*D27*M5/12</f>
        <v>2382.8742646518331</v>
      </c>
      <c r="G27" s="475">
        <f>F27/'Capital Inputs'!$D$7</f>
        <v>198.57285538765277</v>
      </c>
      <c r="H27" s="498">
        <f t="shared" si="0"/>
        <v>1.8911700513109787E-2</v>
      </c>
      <c r="I27" s="477">
        <f t="shared" si="1"/>
        <v>6.3039001710365966E-3</v>
      </c>
      <c r="L27" s="125"/>
      <c r="M27" s="125"/>
      <c r="N27" s="125"/>
      <c r="O27" s="472">
        <v>4.8</v>
      </c>
      <c r="P27" s="166">
        <v>26084.113780578653</v>
      </c>
      <c r="Q27" s="125"/>
      <c r="R27" s="470">
        <v>0.65</v>
      </c>
      <c r="S27" s="166">
        <v>1.9646543477598848</v>
      </c>
      <c r="T27" s="61">
        <f t="shared" si="2"/>
        <v>0.625</v>
      </c>
      <c r="U27" s="62">
        <f t="shared" si="3"/>
        <v>2.0284261174696154</v>
      </c>
    </row>
    <row r="28" spans="2:21" ht="16.5" customHeight="1">
      <c r="B28" s="499" t="s">
        <v>47</v>
      </c>
      <c r="C28" s="618"/>
      <c r="D28" s="125"/>
      <c r="E28" s="125"/>
      <c r="F28" s="501">
        <f>SUM(F10:F27)-F17</f>
        <v>199586.26168411388</v>
      </c>
      <c r="G28" s="501">
        <f>F28/'Capital Inputs'!$D$7</f>
        <v>16632.188473676157</v>
      </c>
      <c r="H28" s="502">
        <f t="shared" si="0"/>
        <v>1.58401794987392</v>
      </c>
      <c r="I28" s="483">
        <f t="shared" si="1"/>
        <v>0.52800598329130666</v>
      </c>
      <c r="L28" s="125"/>
      <c r="M28" s="125"/>
      <c r="N28" s="125"/>
      <c r="O28" s="472">
        <v>4.95</v>
      </c>
      <c r="P28" s="166">
        <v>27547.53159307866</v>
      </c>
      <c r="Q28" s="125"/>
      <c r="R28" s="470">
        <v>0.67500000000000004</v>
      </c>
      <c r="S28" s="166">
        <v>1.9056064128434671</v>
      </c>
      <c r="T28" s="61">
        <f t="shared" si="2"/>
        <v>0.65</v>
      </c>
      <c r="U28" s="62">
        <f t="shared" si="3"/>
        <v>1.9646543477598848</v>
      </c>
    </row>
    <row r="29" spans="2:21" ht="16.5" customHeight="1">
      <c r="B29" s="499"/>
      <c r="C29" s="618"/>
      <c r="D29" s="125"/>
      <c r="E29" s="125"/>
      <c r="F29" s="501"/>
      <c r="G29" s="501"/>
      <c r="H29" s="502"/>
      <c r="I29" s="488"/>
      <c r="L29" s="125"/>
      <c r="M29" s="125"/>
      <c r="N29" s="125"/>
      <c r="O29" s="472">
        <v>5.0999999999999996</v>
      </c>
      <c r="P29" s="166">
        <v>29010.949405578653</v>
      </c>
      <c r="Q29" s="182"/>
      <c r="R29" s="470">
        <v>0.7</v>
      </c>
      <c r="S29" s="166">
        <v>1.8507761875639372</v>
      </c>
      <c r="T29" s="61">
        <f t="shared" si="2"/>
        <v>0.67500000000000004</v>
      </c>
      <c r="U29" s="62">
        <f t="shared" si="3"/>
        <v>1.9056064128434671</v>
      </c>
    </row>
    <row r="30" spans="2:21" ht="16.5" customHeight="1">
      <c r="B30" s="490" t="s">
        <v>48</v>
      </c>
      <c r="C30" s="406" t="s">
        <v>2</v>
      </c>
      <c r="D30" s="463" t="s">
        <v>387</v>
      </c>
      <c r="E30" s="463" t="s">
        <v>32</v>
      </c>
      <c r="F30" s="463" t="s">
        <v>33</v>
      </c>
      <c r="G30" s="463" t="s">
        <v>233</v>
      </c>
      <c r="H30" s="463" t="s">
        <v>144</v>
      </c>
      <c r="I30" s="463" t="s">
        <v>214</v>
      </c>
      <c r="L30" s="125"/>
      <c r="M30" s="125"/>
      <c r="N30" s="125"/>
      <c r="O30" s="472">
        <v>5.25</v>
      </c>
      <c r="P30" s="166">
        <v>30474.367218078653</v>
      </c>
      <c r="Q30" s="183"/>
      <c r="R30" s="470">
        <v>0.72499999999999998</v>
      </c>
      <c r="S30" s="166">
        <v>1.7997273571312713</v>
      </c>
      <c r="T30" s="61">
        <f t="shared" si="2"/>
        <v>0.7</v>
      </c>
      <c r="U30" s="62">
        <f t="shared" si="3"/>
        <v>1.8507761875639372</v>
      </c>
    </row>
    <row r="31" spans="2:21" ht="16.5" customHeight="1">
      <c r="B31" s="467" t="s">
        <v>25</v>
      </c>
      <c r="C31" s="480" t="s">
        <v>81</v>
      </c>
      <c r="D31" s="505"/>
      <c r="E31" s="125"/>
      <c r="F31" s="468">
        <f>'Operating Inputs'!D31*'Capital Inputs'!K40</f>
        <v>2164.8919687500002</v>
      </c>
      <c r="G31" s="468">
        <f>F31/'Capital Inputs'!$D$7</f>
        <v>180.4076640625</v>
      </c>
      <c r="H31" s="491">
        <f>F31/$E$5</f>
        <v>1.718168229166667E-2</v>
      </c>
      <c r="I31" s="470">
        <f>F31/$F$5</f>
        <v>5.727227430555557E-3</v>
      </c>
      <c r="L31" s="125"/>
      <c r="M31" s="125"/>
      <c r="N31" s="125"/>
      <c r="O31" s="472">
        <v>5.4</v>
      </c>
      <c r="P31" s="166">
        <v>31937.785030578663</v>
      </c>
      <c r="Q31" s="183"/>
      <c r="R31" s="470">
        <v>0.75</v>
      </c>
      <c r="S31" s="166">
        <v>1.7520817820607828</v>
      </c>
      <c r="T31" s="61">
        <f t="shared" si="2"/>
        <v>0.72499999999999998</v>
      </c>
      <c r="U31" s="62">
        <f t="shared" si="3"/>
        <v>1.7997273571312713</v>
      </c>
    </row>
    <row r="32" spans="2:21" ht="16.5" customHeight="1">
      <c r="B32" s="467" t="s">
        <v>49</v>
      </c>
      <c r="C32" s="480" t="s">
        <v>81</v>
      </c>
      <c r="D32" s="505"/>
      <c r="E32" s="125"/>
      <c r="F32" s="468">
        <f>'Operating Inputs'!D32</f>
        <v>1500</v>
      </c>
      <c r="G32" s="468">
        <f>F32/'Capital Inputs'!$D$7</f>
        <v>125</v>
      </c>
      <c r="H32" s="491">
        <f>F32/$E$5</f>
        <v>1.1904761904761906E-2</v>
      </c>
      <c r="I32" s="470">
        <f>F32/$F$5</f>
        <v>3.9682539682539689E-3</v>
      </c>
      <c r="L32" s="125"/>
      <c r="M32" s="125"/>
      <c r="N32" s="125"/>
      <c r="O32" s="472">
        <v>5.55</v>
      </c>
      <c r="P32" s="166">
        <v>33401.202843078652</v>
      </c>
      <c r="Q32" s="184"/>
      <c r="R32" s="470">
        <v>0.77500000000000002</v>
      </c>
      <c r="S32" s="166">
        <v>1.7075101150593583</v>
      </c>
      <c r="T32" s="61">
        <f t="shared" si="2"/>
        <v>0.75</v>
      </c>
      <c r="U32" s="62">
        <f t="shared" si="3"/>
        <v>1.7520817820607828</v>
      </c>
    </row>
    <row r="33" spans="2:21" ht="16.5" customHeight="1">
      <c r="B33" s="467" t="s">
        <v>108</v>
      </c>
      <c r="C33" s="650"/>
      <c r="D33" s="497">
        <f>'Operating Inputs'!D34</f>
        <v>7.2499999999999995E-2</v>
      </c>
      <c r="E33" s="125"/>
      <c r="F33" s="475">
        <f>'Capital Inputs'!L40*ROUND(M5/12,0)</f>
        <v>29946.645980192185</v>
      </c>
      <c r="G33" s="475">
        <f>F33/'Capital Inputs'!$D$7</f>
        <v>2495.5538316826819</v>
      </c>
      <c r="H33" s="498">
        <f>F33/$E$5</f>
        <v>0.2376717934935888</v>
      </c>
      <c r="I33" s="477">
        <f>F33/$F$5</f>
        <v>7.9223931164529596E-2</v>
      </c>
      <c r="L33" s="125"/>
      <c r="M33" s="125"/>
      <c r="N33" s="125"/>
      <c r="O33" s="472">
        <v>5.7</v>
      </c>
      <c r="P33" s="166">
        <v>34864.620655578656</v>
      </c>
      <c r="Q33" s="184"/>
      <c r="R33" s="470">
        <v>0.8</v>
      </c>
      <c r="S33" s="166">
        <v>1.6657241772455229</v>
      </c>
      <c r="T33" s="61">
        <f t="shared" si="2"/>
        <v>0.77500000000000002</v>
      </c>
      <c r="U33" s="62">
        <f t="shared" si="3"/>
        <v>1.7075101150593583</v>
      </c>
    </row>
    <row r="34" spans="2:21" ht="16.5" customHeight="1">
      <c r="B34" s="499" t="s">
        <v>50</v>
      </c>
      <c r="C34" s="618"/>
      <c r="D34" s="125"/>
      <c r="E34" s="125"/>
      <c r="F34" s="501">
        <f>SUM(F31:F33)</f>
        <v>33611.537948942183</v>
      </c>
      <c r="G34" s="501">
        <f>SUM(G31:G33)</f>
        <v>2800.9614957451818</v>
      </c>
      <c r="H34" s="502">
        <f>F34/$E$5</f>
        <v>0.26675823769001733</v>
      </c>
      <c r="I34" s="483">
        <f>F34/$F$5</f>
        <v>8.8919412563339129E-2</v>
      </c>
      <c r="L34" s="125"/>
      <c r="M34" s="125"/>
      <c r="N34" s="125"/>
      <c r="O34" s="472">
        <v>5.85</v>
      </c>
      <c r="P34" s="166">
        <v>36328.038468078652</v>
      </c>
      <c r="Q34" s="184"/>
      <c r="R34" s="470">
        <v>0.82499999999999996</v>
      </c>
      <c r="S34" s="166">
        <v>1.6264707205113138</v>
      </c>
      <c r="T34" s="61">
        <f t="shared" si="2"/>
        <v>0.8</v>
      </c>
      <c r="U34" s="62">
        <f t="shared" si="3"/>
        <v>1.6657241772455229</v>
      </c>
    </row>
    <row r="35" spans="2:21" ht="16.5" customHeight="1">
      <c r="B35" s="499"/>
      <c r="C35" s="618"/>
      <c r="D35" s="125"/>
      <c r="E35" s="125"/>
      <c r="F35" s="501"/>
      <c r="G35" s="501"/>
      <c r="H35" s="491"/>
      <c r="I35" s="483"/>
      <c r="L35" s="125"/>
      <c r="M35" s="125"/>
      <c r="N35" s="125"/>
      <c r="O35" s="513">
        <v>6</v>
      </c>
      <c r="P35" s="192">
        <v>37791.456280578655</v>
      </c>
      <c r="Q35" s="184"/>
      <c r="R35" s="470">
        <v>0.85</v>
      </c>
      <c r="S35" s="166">
        <v>1.5895262906438228</v>
      </c>
      <c r="T35" s="61">
        <f t="shared" si="2"/>
        <v>0.82499999999999996</v>
      </c>
      <c r="U35" s="62">
        <f t="shared" si="3"/>
        <v>1.6264707205113138</v>
      </c>
    </row>
    <row r="36" spans="2:21" ht="16.5" customHeight="1">
      <c r="B36" s="653" t="s">
        <v>51</v>
      </c>
      <c r="C36" s="653"/>
      <c r="D36" s="134"/>
      <c r="E36" s="134"/>
      <c r="F36" s="600">
        <f>SUM(F34,F28)</f>
        <v>233197.79963305607</v>
      </c>
      <c r="G36" s="600">
        <f>SUM(G34,G28)</f>
        <v>19433.149969421338</v>
      </c>
      <c r="H36" s="601">
        <f>F36/$E$5</f>
        <v>1.8507761875639372</v>
      </c>
      <c r="I36" s="654">
        <f>F36/$F$5</f>
        <v>0.61692539585464579</v>
      </c>
      <c r="L36" s="125"/>
      <c r="M36" s="125"/>
      <c r="N36" s="125"/>
      <c r="O36" s="470"/>
      <c r="P36" s="186"/>
      <c r="Q36" s="184"/>
      <c r="R36" s="470">
        <v>0.875</v>
      </c>
      <c r="S36" s="166">
        <v>1.5546929710544739</v>
      </c>
      <c r="T36" s="61">
        <f t="shared" si="2"/>
        <v>0.85</v>
      </c>
      <c r="U36" s="62">
        <f t="shared" si="3"/>
        <v>1.5895262906438228</v>
      </c>
    </row>
    <row r="37" spans="2:21" ht="16.5" customHeight="1">
      <c r="B37" s="516" t="s">
        <v>121</v>
      </c>
      <c r="C37" s="516"/>
      <c r="D37" s="129"/>
      <c r="E37" s="129"/>
      <c r="F37" s="611">
        <f>F7-F36</f>
        <v>102277.20036694387</v>
      </c>
      <c r="G37" s="611">
        <f>G7-G36</f>
        <v>8523.1000305786583</v>
      </c>
      <c r="H37" s="612">
        <f>F37/$E$5</f>
        <v>0.81172381243606251</v>
      </c>
      <c r="I37" s="512">
        <f>F37/$F$5</f>
        <v>0.27057460414535422</v>
      </c>
      <c r="L37" s="125"/>
      <c r="M37" s="125"/>
      <c r="N37" s="125"/>
      <c r="O37" s="470"/>
      <c r="P37" s="187"/>
      <c r="Q37" s="184"/>
      <c r="R37" s="477">
        <v>0.9</v>
      </c>
      <c r="S37" s="192">
        <v>1.5217948358867561</v>
      </c>
      <c r="T37" s="61">
        <f t="shared" si="2"/>
        <v>0.875</v>
      </c>
      <c r="U37" s="62">
        <f t="shared" si="3"/>
        <v>1.5546929710544739</v>
      </c>
    </row>
    <row r="38" spans="2:21" ht="16.5" customHeight="1">
      <c r="B38" s="125"/>
      <c r="C38" s="125"/>
      <c r="D38" s="125"/>
      <c r="E38" s="125"/>
      <c r="H38" s="125"/>
      <c r="I38" s="396"/>
      <c r="J38" s="521"/>
      <c r="L38" s="125"/>
      <c r="M38" s="125"/>
      <c r="N38" s="125"/>
      <c r="O38" s="125"/>
      <c r="P38" s="125"/>
      <c r="Q38" s="181"/>
      <c r="R38" s="208">
        <f>R20</f>
        <v>0.47499999999999998</v>
      </c>
      <c r="S38" s="209">
        <f>S20</f>
        <v>2.5520259108758236</v>
      </c>
      <c r="T38" s="61">
        <f t="shared" si="2"/>
        <v>0.9</v>
      </c>
      <c r="U38" s="62">
        <f t="shared" si="3"/>
        <v>1.5217948358867561</v>
      </c>
    </row>
    <row r="39" spans="2:21" ht="16.5" customHeight="1">
      <c r="B39" s="655" t="s">
        <v>326</v>
      </c>
      <c r="C39" s="656" cm="1">
        <f t="array" ref="C39">IFERROR(INDEX(_xlfn._xlws.FILTER(B68:B77,F67:F76&gt; 0), 1),"&gt;25 years")</f>
        <v>4</v>
      </c>
      <c r="D39" s="125"/>
      <c r="E39" s="125"/>
      <c r="H39" s="125"/>
      <c r="I39" s="125"/>
      <c r="J39" s="523"/>
      <c r="L39" s="125"/>
      <c r="M39" s="125"/>
      <c r="N39" s="125"/>
      <c r="O39" s="125"/>
      <c r="P39" s="125"/>
      <c r="Q39" s="181"/>
      <c r="R39" s="208">
        <f>R21</f>
        <v>0.5</v>
      </c>
      <c r="S39" s="209">
        <f>S21</f>
        <v>2.4429426205828637</v>
      </c>
      <c r="T39" s="48"/>
      <c r="U39" s="48"/>
    </row>
    <row r="40" spans="2:21" ht="16.5" customHeight="1">
      <c r="B40" s="524" t="s">
        <v>331</v>
      </c>
      <c r="C40" s="525">
        <f>IFERROR(IRR(E67:E77),"High loss")</f>
        <v>0.30352705070622044</v>
      </c>
      <c r="D40" s="125"/>
      <c r="E40" s="125"/>
      <c r="H40" s="125"/>
      <c r="I40" s="125"/>
      <c r="L40" s="125"/>
      <c r="M40" s="125"/>
      <c r="N40" s="125"/>
      <c r="O40" s="125"/>
      <c r="P40" s="125"/>
      <c r="Q40" s="181"/>
      <c r="R40" s="181"/>
      <c r="S40" s="181"/>
      <c r="T40" s="48"/>
      <c r="U40" s="48"/>
    </row>
    <row r="41" spans="2:21" ht="16.5" customHeight="1">
      <c r="B41" s="526" t="str">
        <f>"NPV at " &amp; 100*D33 &amp; " % in 10 years"</f>
        <v>NPV at 7.25 % in 10 years</v>
      </c>
      <c r="C41" s="527">
        <f>NPV(D33,E67:E77)</f>
        <v>587273.49839658255</v>
      </c>
      <c r="D41" s="125"/>
      <c r="E41" s="125"/>
      <c r="F41" s="125"/>
      <c r="G41" s="125"/>
      <c r="H41" s="125"/>
      <c r="I41" s="125"/>
      <c r="L41" s="125"/>
      <c r="M41" s="125"/>
      <c r="N41" s="125"/>
      <c r="O41" s="125"/>
      <c r="P41" s="125"/>
      <c r="Q41" s="181"/>
      <c r="R41" s="181"/>
      <c r="S41" s="181"/>
      <c r="T41" s="48"/>
      <c r="U41" s="48"/>
    </row>
    <row r="42" spans="2:21" ht="16.5" customHeight="1">
      <c r="B42" s="125"/>
      <c r="C42" s="125"/>
      <c r="D42" s="125"/>
      <c r="E42" s="125"/>
      <c r="F42" s="260" t="s">
        <v>36</v>
      </c>
      <c r="G42" s="260"/>
      <c r="H42" s="626"/>
      <c r="I42" s="626">
        <f>F7</f>
        <v>335474.99999999994</v>
      </c>
      <c r="L42" s="125"/>
      <c r="M42" s="125"/>
      <c r="N42" s="125"/>
      <c r="O42" s="125"/>
      <c r="P42" s="125"/>
      <c r="Q42" s="181"/>
      <c r="R42" s="181"/>
      <c r="S42" s="181"/>
      <c r="T42" s="48"/>
      <c r="U42" s="48"/>
    </row>
    <row r="43" spans="2:21" ht="34.5" customHeight="1">
      <c r="B43" s="657"/>
      <c r="C43" s="529" t="s">
        <v>393</v>
      </c>
      <c r="D43" s="529" t="s">
        <v>389</v>
      </c>
      <c r="E43" s="530" t="s">
        <v>391</v>
      </c>
      <c r="F43" s="260" t="s">
        <v>54</v>
      </c>
      <c r="G43" s="260"/>
      <c r="H43" s="626"/>
      <c r="I43" s="125"/>
      <c r="J43" s="532"/>
      <c r="L43" s="125"/>
      <c r="M43" s="125"/>
      <c r="N43" s="125"/>
      <c r="O43" s="125"/>
      <c r="P43" s="125"/>
      <c r="Q43" s="181"/>
      <c r="R43" s="181"/>
      <c r="S43" s="181"/>
      <c r="T43" s="48"/>
      <c r="U43" s="48"/>
    </row>
    <row r="44" spans="2:21" ht="17.25">
      <c r="B44" s="650"/>
      <c r="C44" s="534" t="s">
        <v>388</v>
      </c>
      <c r="D44" s="534" t="s">
        <v>415</v>
      </c>
      <c r="E44" s="534" t="s">
        <v>392</v>
      </c>
      <c r="F44" s="260" t="s">
        <v>55</v>
      </c>
      <c r="G44" s="260"/>
      <c r="H44" s="626">
        <f>F34</f>
        <v>33611.537948942183</v>
      </c>
      <c r="I44" s="125"/>
      <c r="J44" s="532"/>
      <c r="Q44" s="48"/>
      <c r="R44" s="48"/>
      <c r="S44" s="48"/>
      <c r="T44" s="48"/>
      <c r="U44" s="48"/>
    </row>
    <row r="45" spans="2:21" ht="17.25">
      <c r="B45" s="650" t="s">
        <v>52</v>
      </c>
      <c r="C45" s="663">
        <f>H28</f>
        <v>1.58401794987392</v>
      </c>
      <c r="D45" s="659">
        <f>F28/H7</f>
        <v>74961.976219385499</v>
      </c>
      <c r="E45" s="217">
        <f>D45/M11</f>
        <v>107088.53745626501</v>
      </c>
      <c r="F45" s="261"/>
      <c r="G45" s="261"/>
      <c r="H45" s="261"/>
      <c r="I45" s="125"/>
      <c r="J45" s="532"/>
      <c r="Q45" s="48"/>
      <c r="R45" s="48"/>
      <c r="S45" s="48"/>
      <c r="T45" s="48"/>
      <c r="U45" s="48"/>
    </row>
    <row r="46" spans="2:21" ht="17.25">
      <c r="B46" s="660" t="s">
        <v>53</v>
      </c>
      <c r="C46" s="664">
        <f>H36</f>
        <v>1.8507761875639372</v>
      </c>
      <c r="D46" s="661">
        <f>F36/H7</f>
        <v>87586.028031194786</v>
      </c>
      <c r="E46" s="278">
        <f>D46/M12</f>
        <v>10948.253503899348</v>
      </c>
      <c r="F46" s="261"/>
      <c r="G46" s="261"/>
      <c r="H46" s="261"/>
      <c r="I46" s="662"/>
      <c r="J46" s="532"/>
      <c r="Q46" s="48"/>
      <c r="R46" s="48"/>
      <c r="S46" s="48"/>
      <c r="T46" s="48"/>
      <c r="U46" s="48"/>
    </row>
    <row r="47" spans="2:21" ht="17.25" hidden="1">
      <c r="B47" s="135"/>
      <c r="C47" s="215"/>
      <c r="D47" s="216"/>
      <c r="E47" s="217"/>
      <c r="F47" s="261"/>
      <c r="G47" s="261"/>
      <c r="H47" s="261"/>
      <c r="I47" s="264"/>
      <c r="J47" s="18"/>
      <c r="Q47" s="48"/>
      <c r="R47" s="48"/>
      <c r="S47" s="48"/>
      <c r="T47" s="48"/>
      <c r="U47" s="48"/>
    </row>
    <row r="48" spans="2:21" ht="34.5" hidden="1" customHeight="1">
      <c r="B48" s="34"/>
      <c r="C48" s="292"/>
      <c r="D48" s="292"/>
      <c r="E48" s="293"/>
      <c r="F48" s="261"/>
      <c r="G48" s="261"/>
      <c r="H48" s="261"/>
      <c r="I48" s="264"/>
    </row>
    <row r="49" spans="2:4" ht="17.25" hidden="1">
      <c r="B49" s="34"/>
      <c r="C49" s="294"/>
      <c r="D49" s="294"/>
    </row>
    <row r="50" spans="2:4" ht="17.25" hidden="1">
      <c r="B50" s="135"/>
      <c r="C50" s="215"/>
      <c r="D50" s="216"/>
    </row>
    <row r="51" spans="2:4" ht="17.25" hidden="1">
      <c r="B51" s="135"/>
      <c r="C51" s="215"/>
      <c r="D51" s="216"/>
    </row>
    <row r="52" spans="2:4" ht="17.25" hidden="1">
      <c r="B52" s="34"/>
      <c r="C52" s="29"/>
      <c r="D52" s="30"/>
    </row>
    <row r="53" spans="2:4" ht="17.25" hidden="1">
      <c r="B53" s="5"/>
      <c r="C53" s="5"/>
      <c r="D53" s="5"/>
    </row>
    <row r="54" spans="2:4" ht="17.25" hidden="1">
      <c r="B54" s="5"/>
      <c r="C54" s="5"/>
      <c r="D54" s="5"/>
    </row>
    <row r="55" spans="2:4" ht="17.25" hidden="1">
      <c r="B55" s="5"/>
      <c r="C55" s="5"/>
      <c r="D55" s="5"/>
    </row>
    <row r="56" spans="2:4" ht="17.25" hidden="1"/>
    <row r="57" spans="2:4" ht="17.25" hidden="1"/>
    <row r="58" spans="2:4" ht="17.25" hidden="1">
      <c r="C58" s="69"/>
    </row>
    <row r="59" spans="2:4" ht="17.25" hidden="1">
      <c r="B59" s="48" t="s">
        <v>103</v>
      </c>
    </row>
    <row r="60" spans="2:4" ht="17.25" hidden="1">
      <c r="B60" s="48" t="s">
        <v>100</v>
      </c>
      <c r="C60" s="70">
        <v>1068.5999999999999</v>
      </c>
      <c r="D60" s="48" t="s">
        <v>101</v>
      </c>
    </row>
    <row r="61" spans="2:4" ht="17.25" hidden="1">
      <c r="B61" s="48" t="s">
        <v>104</v>
      </c>
      <c r="C61" s="70">
        <v>325.85000000000002</v>
      </c>
      <c r="D61" s="48" t="s">
        <v>101</v>
      </c>
    </row>
    <row r="62" spans="2:4" ht="17.25" hidden="1">
      <c r="B62" s="48" t="s">
        <v>105</v>
      </c>
      <c r="C62" s="48">
        <v>3.28084</v>
      </c>
      <c r="D62" s="48" t="s">
        <v>102</v>
      </c>
    </row>
    <row r="63" spans="2:4" ht="17.25" hidden="1">
      <c r="B63" s="63" t="s">
        <v>96</v>
      </c>
      <c r="C63" s="64">
        <v>2.2046199999999998</v>
      </c>
      <c r="D63" s="48" t="s">
        <v>40</v>
      </c>
    </row>
    <row r="64" spans="2:4" ht="17.25" hidden="1"/>
    <row r="65" spans="2:6" ht="17.25" hidden="1">
      <c r="F65" s="71" t="s">
        <v>322</v>
      </c>
    </row>
    <row r="66" spans="2:6" ht="17.25" hidden="1">
      <c r="B66" s="71" t="s">
        <v>317</v>
      </c>
      <c r="C66" s="71" t="s">
        <v>319</v>
      </c>
      <c r="D66" s="72" t="s">
        <v>320</v>
      </c>
      <c r="E66" s="72" t="s">
        <v>321</v>
      </c>
      <c r="F66" s="74">
        <f>E67</f>
        <v>-423964</v>
      </c>
    </row>
    <row r="67" spans="2:6" ht="17.25" hidden="1">
      <c r="B67" s="73">
        <v>0</v>
      </c>
      <c r="C67" s="65">
        <f>'Capital Inputs'!F43</f>
        <v>423964</v>
      </c>
      <c r="D67" s="65">
        <v>0</v>
      </c>
      <c r="E67" s="65">
        <f>D67-C67</f>
        <v>-423964</v>
      </c>
      <c r="F67" s="74">
        <f t="shared" ref="F67:F76" si="4">F66+E68</f>
        <v>-291740.15365286393</v>
      </c>
    </row>
    <row r="68" spans="2:6" ht="17.25" hidden="1">
      <c r="B68" s="73">
        <v>1</v>
      </c>
      <c r="C68" s="65">
        <f>'Cash flow for investments-  Sto'!C2</f>
        <v>0</v>
      </c>
      <c r="D68" s="65">
        <f>F7-F28-F31-F32</f>
        <v>132223.84634713607</v>
      </c>
      <c r="E68" s="65">
        <f t="shared" ref="E68:E76" si="5">D68-C68</f>
        <v>132223.84634713607</v>
      </c>
      <c r="F68" s="74">
        <f t="shared" si="4"/>
        <v>-159516.30730572785</v>
      </c>
    </row>
    <row r="69" spans="2:6" ht="17.25" hidden="1">
      <c r="B69" s="73">
        <v>2</v>
      </c>
      <c r="C69" s="65">
        <f>'Cash flow for investments-  Sto'!C3</f>
        <v>0</v>
      </c>
      <c r="D69" s="65">
        <f t="shared" ref="D69:D77" si="6">D68</f>
        <v>132223.84634713607</v>
      </c>
      <c r="E69" s="65">
        <f t="shared" si="5"/>
        <v>132223.84634713607</v>
      </c>
      <c r="F69" s="74">
        <f t="shared" si="4"/>
        <v>-27292.460958591779</v>
      </c>
    </row>
    <row r="70" spans="2:6" ht="17.25" hidden="1">
      <c r="B70" s="73">
        <v>3</v>
      </c>
      <c r="C70" s="65">
        <f>'Cash flow for investments-  Sto'!C4</f>
        <v>0</v>
      </c>
      <c r="D70" s="65">
        <f t="shared" si="6"/>
        <v>132223.84634713607</v>
      </c>
      <c r="E70" s="65">
        <f t="shared" si="5"/>
        <v>132223.84634713607</v>
      </c>
      <c r="F70" s="74">
        <f t="shared" si="4"/>
        <v>104931.38538854429</v>
      </c>
    </row>
    <row r="71" spans="2:6" ht="17.25" hidden="1">
      <c r="B71" s="73">
        <v>4</v>
      </c>
      <c r="C71" s="65">
        <f>'Cash flow for investments-  Sto'!C5</f>
        <v>0</v>
      </c>
      <c r="D71" s="65">
        <f t="shared" si="6"/>
        <v>132223.84634713607</v>
      </c>
      <c r="E71" s="65">
        <f t="shared" si="5"/>
        <v>132223.84634713607</v>
      </c>
      <c r="F71" s="74">
        <f t="shared" si="4"/>
        <v>237155.23173568037</v>
      </c>
    </row>
    <row r="72" spans="2:6" ht="17.25" hidden="1">
      <c r="B72" s="73">
        <v>5</v>
      </c>
      <c r="C72" s="65">
        <f>'Cash flow for investments-  Sto'!C6</f>
        <v>0</v>
      </c>
      <c r="D72" s="65">
        <f t="shared" si="6"/>
        <v>132223.84634713607</v>
      </c>
      <c r="E72" s="65">
        <f t="shared" si="5"/>
        <v>132223.84634713607</v>
      </c>
      <c r="F72" s="74">
        <f t="shared" si="4"/>
        <v>369379.07808281644</v>
      </c>
    </row>
    <row r="73" spans="2:6" ht="17.25" hidden="1">
      <c r="B73" s="73">
        <v>6</v>
      </c>
      <c r="C73" s="65">
        <f>'Cash flow for investments-  Sto'!C7</f>
        <v>0</v>
      </c>
      <c r="D73" s="65">
        <f t="shared" si="6"/>
        <v>132223.84634713607</v>
      </c>
      <c r="E73" s="65">
        <f t="shared" si="5"/>
        <v>132223.84634713607</v>
      </c>
      <c r="F73" s="74">
        <f t="shared" si="4"/>
        <v>499602.92442995252</v>
      </c>
    </row>
    <row r="74" spans="2:6" ht="17.25" hidden="1">
      <c r="B74" s="73">
        <v>7</v>
      </c>
      <c r="C74" s="65">
        <f>'Cash flow for investments-  Sto'!C8</f>
        <v>2000</v>
      </c>
      <c r="D74" s="65">
        <f t="shared" si="6"/>
        <v>132223.84634713607</v>
      </c>
      <c r="E74" s="65">
        <f t="shared" si="5"/>
        <v>130223.84634713607</v>
      </c>
      <c r="F74" s="74">
        <f t="shared" si="4"/>
        <v>630076.77077708859</v>
      </c>
    </row>
    <row r="75" spans="2:6" ht="17.25" hidden="1">
      <c r="B75" s="73">
        <v>8</v>
      </c>
      <c r="C75" s="65">
        <f>'Cash flow for investments-  Sto'!C9</f>
        <v>1750</v>
      </c>
      <c r="D75" s="65">
        <f t="shared" si="6"/>
        <v>132223.84634713607</v>
      </c>
      <c r="E75" s="65">
        <f t="shared" si="5"/>
        <v>130473.84634713607</v>
      </c>
      <c r="F75" s="74">
        <f t="shared" si="4"/>
        <v>762300.61712422466</v>
      </c>
    </row>
    <row r="76" spans="2:6" ht="17.25" hidden="1">
      <c r="B76" s="73">
        <v>9</v>
      </c>
      <c r="C76" s="65">
        <f>'Cash flow for investments-  Sto'!C10</f>
        <v>0</v>
      </c>
      <c r="D76" s="65">
        <f t="shared" si="6"/>
        <v>132223.84634713607</v>
      </c>
      <c r="E76" s="65">
        <f t="shared" si="5"/>
        <v>132223.84634713607</v>
      </c>
      <c r="F76" s="74">
        <f t="shared" si="4"/>
        <v>1172386.3789475514</v>
      </c>
    </row>
    <row r="77" spans="2:6" ht="17.25" hidden="1">
      <c r="B77" s="73">
        <v>10</v>
      </c>
      <c r="C77" s="65">
        <f>'Cash flow for investments-  Sto'!C11</f>
        <v>57503.075000000004</v>
      </c>
      <c r="D77" s="65">
        <f t="shared" si="6"/>
        <v>132223.84634713607</v>
      </c>
      <c r="E77" s="65">
        <f>D77-C77+D78</f>
        <v>410085.76182332658</v>
      </c>
      <c r="F77" s="74"/>
    </row>
    <row r="78" spans="2:6" ht="17.25" hidden="1">
      <c r="B78" s="73" t="s">
        <v>323</v>
      </c>
      <c r="C78" s="65"/>
      <c r="D78" s="65">
        <f>'Cash flow for investments- Food'!C12</f>
        <v>335364.99047619052</v>
      </c>
      <c r="E78" s="65"/>
      <c r="F78" s="4"/>
    </row>
    <row r="79" spans="2:6" ht="17.25" hidden="1">
      <c r="F79" s="4"/>
    </row>
    <row r="80" spans="2:6" ht="17.25" hidden="1">
      <c r="F80" s="4"/>
    </row>
    <row r="81" spans="2:4" ht="17.25" hidden="1"/>
    <row r="82" spans="2:4" ht="17.25" hidden="1"/>
    <row r="83" spans="2:4" ht="17.25" hidden="1"/>
    <row r="84" spans="2:4" ht="17.25" hidden="1"/>
    <row r="85" spans="2:4" ht="17.25" hidden="1"/>
    <row r="86" spans="2:4" ht="17.25" hidden="1"/>
    <row r="87" spans="2:4" ht="17.25" hidden="1"/>
    <row r="88" spans="2:4" ht="17.25" hidden="1"/>
    <row r="89" spans="2:4" ht="17.25" hidden="1"/>
    <row r="90" spans="2:4" ht="17.25" hidden="1"/>
    <row r="92" spans="2:4" ht="17.25" hidden="1"/>
    <row r="93" spans="2:4" ht="17.25" hidden="1"/>
    <row r="95" spans="2:4" ht="0" hidden="1" customHeight="1">
      <c r="B95" s="63" t="s">
        <v>97</v>
      </c>
      <c r="C95" s="64">
        <v>2.47105</v>
      </c>
      <c r="D95" s="48" t="s">
        <v>29</v>
      </c>
    </row>
  </sheetData>
  <sheetProtection sheet="1" objects="1" scenarios="1"/>
  <mergeCells count="1">
    <mergeCell ref="B2:I2"/>
  </mergeCells>
  <conditionalFormatting sqref="V92:W409 V43:W90">
    <cfRule type="duplicateValues" dxfId="6" priority="18"/>
  </conditionalFormatting>
  <hyperlinks>
    <hyperlink ref="N13" r:id="rId1" display="https://www.owenandwilliams.com/pricing/" xr:uid="{E781B83B-F107-4691-8884-A138C60D3C1C}"/>
  </hyperlinks>
  <pageMargins left="0.7" right="0.7" top="0.75" bottom="0.75" header="0.3" footer="0.3"/>
  <pageSetup orientation="portrait" r:id="rId2"/>
  <ignoredErrors>
    <ignoredError sqref="C39"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9</vt:i4>
      </vt:variant>
    </vt:vector>
  </HeadingPairs>
  <TitlesOfParts>
    <vt:vector size="25" baseType="lpstr">
      <vt:lpstr>Introduction</vt:lpstr>
      <vt:lpstr>Summary</vt:lpstr>
      <vt:lpstr>Operating Inputs</vt:lpstr>
      <vt:lpstr>Capital Inputs</vt:lpstr>
      <vt:lpstr>1- Food - Catfish</vt:lpstr>
      <vt:lpstr>2- Food - Hybrid striped bass</vt:lpstr>
      <vt:lpstr>3- Food - Yellow perch</vt:lpstr>
      <vt:lpstr>4-Stocking - Bluegill</vt:lpstr>
      <vt:lpstr>5- Stocking - Catfish</vt:lpstr>
      <vt:lpstr>6- Stocking- Golden shiner bait</vt:lpstr>
      <vt:lpstr>7- Stocking - Grass carp</vt:lpstr>
      <vt:lpstr>8-Stocking- Hybrid striped bass</vt:lpstr>
      <vt:lpstr>9- Stocking- Large mouth bass</vt:lpstr>
      <vt:lpstr>10- Stocking - Yellow perch</vt:lpstr>
      <vt:lpstr>Cash flow for investments- Food</vt:lpstr>
      <vt:lpstr>Cash flow for investments-  Sto</vt:lpstr>
      <vt:lpstr>'1- Food - Catfish'!AZ</vt:lpstr>
      <vt:lpstr>'10- Stocking - Yellow perch'!AZ</vt:lpstr>
      <vt:lpstr>'2- Food - Hybrid striped bass'!AZ</vt:lpstr>
      <vt:lpstr>'3- Food - Yellow perch'!AZ</vt:lpstr>
      <vt:lpstr>'4-Stocking - Bluegill'!AZ</vt:lpstr>
      <vt:lpstr>'5- Stocking - Catfish'!AZ</vt:lpstr>
      <vt:lpstr>'6- Stocking- Golden shiner bait'!AZ</vt:lpstr>
      <vt:lpstr>'8-Stocking- Hybrid striped bass'!AZ</vt:lpstr>
      <vt:lpstr>'9- Stocking- Large mouth bass'!AZ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Aquaculture Budgets</dc:title>
  <dc:subject/>
  <dc:creator>Horner, Joe L.</dc:creator>
  <cp:keywords/>
  <dc:description/>
  <cp:lastModifiedBy>Stokes, Victoria</cp:lastModifiedBy>
  <cp:revision/>
  <cp:lastPrinted>2025-07-22T17:51:15Z</cp:lastPrinted>
  <dcterms:created xsi:type="dcterms:W3CDTF">1999-09-03T12:55:45Z</dcterms:created>
  <dcterms:modified xsi:type="dcterms:W3CDTF">2025-08-06T03:54:40Z</dcterms:modified>
  <cp:category/>
  <cp:contentStatus/>
</cp:coreProperties>
</file>