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https://mailmissouri.sharepoint.com/sites/MissouriAgFoodandForestryInnovationCenterTeam-Ogrp/Shared Documents/FSA Urban and Innovative Ag/Specialty Crop Budgets and Resources/Pecans/Spreadsheet drafts/"/>
    </mc:Choice>
  </mc:AlternateContent>
  <xr:revisionPtr revIDLastSave="0" documentId="8_{7F58E6EB-8DCA-4CD1-B361-CC83E926DB6A}" xr6:coauthVersionLast="47" xr6:coauthVersionMax="47" xr10:uidLastSave="{00000000-0000-0000-0000-000000000000}"/>
  <bookViews>
    <workbookView xWindow="-120" yWindow="-120" windowWidth="29040" windowHeight="15720" xr2:uid="{C79DB348-1C3E-4E26-B5A2-3FA1538B6E72}"/>
  </bookViews>
  <sheets>
    <sheet name="Introduction" sheetId="22" r:id="rId1"/>
    <sheet name="Inputs" sheetId="25" r:id="rId2"/>
    <sheet name="Investment" sheetId="37" r:id="rId3"/>
    <sheet name="Labor" sheetId="36" r:id="rId4"/>
    <sheet name="Establishment" sheetId="30" r:id="rId5"/>
    <sheet name="Pecan budget" sheetId="32" r:id="rId6"/>
    <sheet name="Long-term Model Summary" sheetId="34" r:id="rId7"/>
  </sheets>
  <definedNames>
    <definedName name="BudgetActivities" localSheetId="4">Establishment!$U$8:$Y$42</definedName>
    <definedName name="BudgetActivities" localSheetId="5">'Pecan budget'!$Q$5:$U$37</definedName>
    <definedName name="BudgetActivities">#REF!</definedName>
    <definedName name="CustomActivities">#REF!</definedName>
    <definedName name="CustomImps" localSheetId="4">#REF!</definedName>
    <definedName name="CustomImps" localSheetId="5">#REF!</definedName>
    <definedName name="CustomImps">#REF!</definedName>
    <definedName name="Implements" localSheetId="4">#REF!</definedName>
    <definedName name="Implements" localSheetId="5">#REF!</definedName>
    <definedName name="Implements">#REF!</definedName>
    <definedName name="ss">#REF!</definedName>
    <definedName name="w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36" l="1"/>
  <c r="E6" i="36"/>
  <c r="N31" i="37"/>
  <c r="N55" i="37"/>
  <c r="N54" i="37"/>
  <c r="N30" i="37"/>
  <c r="X14" i="25" l="1"/>
  <c r="X15" i="25"/>
  <c r="N56" i="37"/>
  <c r="D51" i="37" s="1"/>
  <c r="N32" i="37"/>
  <c r="E51" i="37" s="1"/>
  <c r="B30" i="36"/>
  <c r="C30" i="36"/>
  <c r="D30" i="36"/>
  <c r="E30" i="36"/>
  <c r="F30" i="36"/>
  <c r="G30" i="36"/>
  <c r="H30" i="36"/>
  <c r="F56" i="36"/>
  <c r="F57" i="36"/>
  <c r="J9" i="36"/>
  <c r="J7" i="36"/>
  <c r="J8" i="36"/>
  <c r="J6" i="36"/>
  <c r="D48" i="36"/>
  <c r="C48" i="36"/>
  <c r="B48" i="36"/>
  <c r="E28" i="30"/>
  <c r="O22" i="30"/>
  <c r="D4" i="30" s="1"/>
  <c r="E6" i="32"/>
  <c r="D50" i="37" l="1"/>
  <c r="E50" i="37"/>
  <c r="F51" i="36"/>
  <c r="E51" i="36"/>
  <c r="F4" i="30"/>
  <c r="X17" i="25"/>
  <c r="B57" i="37"/>
  <c r="C11" i="37"/>
  <c r="X16" i="25" s="1"/>
  <c r="Z9" i="25"/>
  <c r="AA9" i="25" s="1"/>
  <c r="Z8" i="25"/>
  <c r="AA8" i="25" s="1"/>
  <c r="Z6" i="25"/>
  <c r="AA6" i="25" s="1"/>
  <c r="Z5" i="25"/>
  <c r="AA5" i="25" s="1"/>
  <c r="Z4" i="25"/>
  <c r="AA4" i="25" s="1"/>
  <c r="T53" i="37"/>
  <c r="T52" i="37"/>
  <c r="T51" i="37"/>
  <c r="T50" i="37"/>
  <c r="R53" i="37"/>
  <c r="Q53" i="37"/>
  <c r="R52" i="37"/>
  <c r="Q52" i="37"/>
  <c r="R51" i="37"/>
  <c r="Q51" i="37"/>
  <c r="R50" i="37"/>
  <c r="Q50" i="37"/>
  <c r="T29" i="37"/>
  <c r="T28" i="37"/>
  <c r="T27" i="37"/>
  <c r="R29" i="37"/>
  <c r="Q29" i="37"/>
  <c r="R28" i="37"/>
  <c r="Q28" i="37"/>
  <c r="R27" i="37"/>
  <c r="Q27" i="37"/>
  <c r="Q26" i="37"/>
  <c r="R26" i="37"/>
  <c r="T26" i="37"/>
  <c r="B58" i="37" l="1"/>
  <c r="B59" i="37" s="1"/>
  <c r="I30" i="36"/>
  <c r="J30" i="36"/>
  <c r="K30" i="36"/>
  <c r="L30" i="36"/>
  <c r="M30" i="36"/>
  <c r="N30" i="36"/>
  <c r="O30" i="36"/>
  <c r="P30" i="36"/>
  <c r="Q30" i="36"/>
  <c r="R30" i="36"/>
  <c r="S30" i="36"/>
  <c r="T30" i="36"/>
  <c r="U30" i="36"/>
  <c r="V30" i="36"/>
  <c r="W30" i="36"/>
  <c r="X30" i="36"/>
  <c r="Y30" i="36"/>
  <c r="Z30" i="36"/>
  <c r="AA30" i="36"/>
  <c r="AB30" i="36"/>
  <c r="AC30" i="36"/>
  <c r="AD30" i="36"/>
  <c r="AE30" i="36"/>
  <c r="AF30" i="36"/>
  <c r="AG30" i="36"/>
  <c r="AH30" i="36"/>
  <c r="AI30" i="36"/>
  <c r="AJ30" i="36"/>
  <c r="AK30" i="36"/>
  <c r="AL30" i="36"/>
  <c r="AM30" i="36"/>
  <c r="AN30" i="36"/>
  <c r="AO30" i="36"/>
  <c r="AP30" i="36"/>
  <c r="AQ30" i="36"/>
  <c r="AR30" i="36"/>
  <c r="AS30" i="36"/>
  <c r="AT30" i="36"/>
  <c r="AU30" i="36"/>
  <c r="AV30" i="36"/>
  <c r="AW30" i="36"/>
  <c r="AX30" i="36"/>
  <c r="AY30" i="36"/>
  <c r="AZ30" i="36"/>
  <c r="BA30" i="36"/>
  <c r="BB30" i="36"/>
  <c r="BC30" i="36"/>
  <c r="BD30" i="36"/>
  <c r="BE30" i="36"/>
  <c r="BF30" i="36"/>
  <c r="BG30" i="36"/>
  <c r="BH30" i="36"/>
  <c r="BI30" i="36"/>
  <c r="BJ30" i="36"/>
  <c r="BK30" i="36"/>
  <c r="BL30" i="36"/>
  <c r="BM30" i="36"/>
  <c r="BN30" i="36"/>
  <c r="BO30" i="36"/>
  <c r="BP30" i="36"/>
  <c r="BQ30" i="36"/>
  <c r="BR30" i="36"/>
  <c r="BS30" i="36"/>
  <c r="BT30" i="36"/>
  <c r="BU30" i="36"/>
  <c r="BV30" i="36"/>
  <c r="BW30" i="36"/>
  <c r="BX30" i="36"/>
  <c r="BY30" i="36"/>
  <c r="R43" i="37"/>
  <c r="Q43" i="37"/>
  <c r="R42" i="37"/>
  <c r="Q42" i="37"/>
  <c r="R41" i="37"/>
  <c r="Q41" i="37"/>
  <c r="R40" i="37"/>
  <c r="Q40" i="37"/>
  <c r="R49" i="37"/>
  <c r="Q49" i="37"/>
  <c r="R48" i="37"/>
  <c r="Q48" i="37"/>
  <c r="R47" i="37"/>
  <c r="Q47" i="37"/>
  <c r="R46" i="37"/>
  <c r="Q46" i="37"/>
  <c r="R39" i="37"/>
  <c r="Q39" i="37"/>
  <c r="R38" i="37"/>
  <c r="Q38" i="37"/>
  <c r="R37" i="37"/>
  <c r="Q37" i="37"/>
  <c r="R45" i="37"/>
  <c r="Q45" i="37"/>
  <c r="R36" i="37"/>
  <c r="Q36" i="37"/>
  <c r="R44" i="37"/>
  <c r="Q44" i="37"/>
  <c r="R35" i="37"/>
  <c r="Q35" i="37"/>
  <c r="R20" i="37"/>
  <c r="R12" i="37"/>
  <c r="R21" i="37"/>
  <c r="R13" i="37"/>
  <c r="R14" i="37"/>
  <c r="R15" i="37"/>
  <c r="R22" i="37"/>
  <c r="R23" i="37"/>
  <c r="R24" i="37"/>
  <c r="R25" i="37"/>
  <c r="R16" i="37"/>
  <c r="R17" i="37"/>
  <c r="R18" i="37"/>
  <c r="R19" i="37"/>
  <c r="R11" i="37"/>
  <c r="Q20" i="37"/>
  <c r="Q12" i="37"/>
  <c r="Q21" i="37"/>
  <c r="Q13" i="37"/>
  <c r="Q14" i="37"/>
  <c r="Q15" i="37"/>
  <c r="Q22" i="37"/>
  <c r="Q23" i="37"/>
  <c r="Q24" i="37"/>
  <c r="Q25" i="37"/>
  <c r="Q16" i="37"/>
  <c r="Q17" i="37"/>
  <c r="Q18" i="37"/>
  <c r="Q19" i="37"/>
  <c r="Q11" i="37"/>
  <c r="T41" i="37"/>
  <c r="T42" i="37"/>
  <c r="T43" i="37"/>
  <c r="T44" i="37"/>
  <c r="T36" i="37"/>
  <c r="T45" i="37"/>
  <c r="T37" i="37"/>
  <c r="T38" i="37"/>
  <c r="T39" i="37"/>
  <c r="T46" i="37"/>
  <c r="T47" i="37"/>
  <c r="T48" i="37"/>
  <c r="T49" i="37"/>
  <c r="T40" i="37"/>
  <c r="T35" i="37"/>
  <c r="T20" i="37"/>
  <c r="T12" i="37"/>
  <c r="T21" i="37"/>
  <c r="T13" i="37"/>
  <c r="T14" i="37"/>
  <c r="T15" i="37"/>
  <c r="T22" i="37"/>
  <c r="T23" i="37"/>
  <c r="T24" i="37"/>
  <c r="T25" i="37"/>
  <c r="T16" i="37"/>
  <c r="T17" i="37"/>
  <c r="T18" i="37"/>
  <c r="T19" i="37"/>
  <c r="T11" i="37"/>
  <c r="Q31" i="37" l="1"/>
  <c r="R31" i="37"/>
  <c r="R54" i="37"/>
  <c r="Q54" i="37"/>
  <c r="AA14" i="25" s="1"/>
  <c r="T31" i="37"/>
  <c r="T55" i="37"/>
  <c r="Q55" i="37"/>
  <c r="AA15" i="25" s="1"/>
  <c r="T54" i="37"/>
  <c r="I24" i="30" s="1"/>
  <c r="R55" i="37"/>
  <c r="AB15" i="25" s="1"/>
  <c r="T30" i="37"/>
  <c r="Q30" i="37"/>
  <c r="R30" i="37"/>
  <c r="E58" i="37"/>
  <c r="Q32" i="37" l="1"/>
  <c r="R56" i="37"/>
  <c r="AB14" i="25"/>
  <c r="R32" i="37"/>
  <c r="T32" i="37"/>
  <c r="Q56" i="37"/>
  <c r="T56" i="37"/>
  <c r="F24" i="30"/>
  <c r="F25" i="32"/>
  <c r="C6" i="36"/>
  <c r="H4" i="36"/>
  <c r="J4" i="36" s="1"/>
  <c r="H5" i="36"/>
  <c r="J5" i="36" s="1"/>
  <c r="H3" i="36"/>
  <c r="J3" i="36" s="1"/>
  <c r="B28" i="36"/>
  <c r="E3" i="36"/>
  <c r="B14" i="36"/>
  <c r="A16" i="36"/>
  <c r="A15" i="36"/>
  <c r="A14" i="36"/>
  <c r="C10" i="36"/>
  <c r="B13" i="36" s="1"/>
  <c r="C13" i="36" s="1"/>
  <c r="D13" i="36" s="1"/>
  <c r="E13" i="36" s="1"/>
  <c r="F13" i="36" s="1"/>
  <c r="G13" i="36" s="1"/>
  <c r="H13" i="36" s="1"/>
  <c r="I13" i="36" s="1"/>
  <c r="J13" i="36" s="1"/>
  <c r="K13" i="36" s="1"/>
  <c r="L13" i="36" s="1"/>
  <c r="M13" i="36" s="1"/>
  <c r="N13" i="36" s="1"/>
  <c r="O13" i="36" s="1"/>
  <c r="P13" i="36" s="1"/>
  <c r="Q13" i="36" s="1"/>
  <c r="R13" i="36" s="1"/>
  <c r="S13" i="36" s="1"/>
  <c r="T13" i="36" s="1"/>
  <c r="U13" i="36" s="1"/>
  <c r="V13" i="36" s="1"/>
  <c r="W13" i="36" s="1"/>
  <c r="X13" i="36" s="1"/>
  <c r="Y13" i="36" s="1"/>
  <c r="Z13" i="36" s="1"/>
  <c r="AA13" i="36" s="1"/>
  <c r="AB13" i="36" s="1"/>
  <c r="AC13" i="36" s="1"/>
  <c r="AD13" i="36" s="1"/>
  <c r="AE13" i="36" s="1"/>
  <c r="AF13" i="36" s="1"/>
  <c r="AG13" i="36" s="1"/>
  <c r="AH13" i="36" s="1"/>
  <c r="AI13" i="36" s="1"/>
  <c r="AJ13" i="36" s="1"/>
  <c r="AK13" i="36" s="1"/>
  <c r="AL13" i="36" s="1"/>
  <c r="AM13" i="36" s="1"/>
  <c r="AN13" i="36" s="1"/>
  <c r="AO13" i="36" s="1"/>
  <c r="AP13" i="36" s="1"/>
  <c r="AQ13" i="36" s="1"/>
  <c r="AR13" i="36" s="1"/>
  <c r="AS13" i="36" s="1"/>
  <c r="AT13" i="36" s="1"/>
  <c r="AU13" i="36" s="1"/>
  <c r="AV13" i="36" s="1"/>
  <c r="AW13" i="36" s="1"/>
  <c r="AX13" i="36" s="1"/>
  <c r="AY13" i="36" s="1"/>
  <c r="AZ13" i="36" s="1"/>
  <c r="BA13" i="36" s="1"/>
  <c r="BB13" i="36" s="1"/>
  <c r="BC13" i="36" s="1"/>
  <c r="BD13" i="36" s="1"/>
  <c r="BE13" i="36" s="1"/>
  <c r="BF13" i="36" s="1"/>
  <c r="BG13" i="36" s="1"/>
  <c r="BH13" i="36" s="1"/>
  <c r="BI13" i="36" s="1"/>
  <c r="BJ13" i="36" s="1"/>
  <c r="BK13" i="36" s="1"/>
  <c r="BL13" i="36" s="1"/>
  <c r="BM13" i="36" s="1"/>
  <c r="BN13" i="36" s="1"/>
  <c r="BO13" i="36" s="1"/>
  <c r="BP13" i="36" s="1"/>
  <c r="BQ13" i="36" s="1"/>
  <c r="BR13" i="36" s="1"/>
  <c r="BS13" i="36" s="1"/>
  <c r="BT13" i="36" s="1"/>
  <c r="BU13" i="36" s="1"/>
  <c r="BV13" i="36" s="1"/>
  <c r="BW13" i="36" s="1"/>
  <c r="BX13" i="36" s="1"/>
  <c r="BY13" i="36" s="1"/>
  <c r="Z7" i="25" l="1"/>
  <c r="AA7" i="25" s="1"/>
  <c r="D6" i="36" s="1"/>
  <c r="F48" i="36"/>
  <c r="AX28" i="36"/>
  <c r="AX29" i="36" s="1"/>
  <c r="BV28" i="36"/>
  <c r="BV29" i="36" s="1"/>
  <c r="BJ28" i="36"/>
  <c r="BJ29" i="36" s="1"/>
  <c r="AL28" i="36"/>
  <c r="AL29" i="36" s="1"/>
  <c r="Z28" i="36"/>
  <c r="Z29" i="36" s="1"/>
  <c r="N28" i="36"/>
  <c r="N29" i="36" s="1"/>
  <c r="BM28" i="36"/>
  <c r="BM29" i="36" s="1"/>
  <c r="AO28" i="36"/>
  <c r="AO29" i="36" s="1"/>
  <c r="Q28" i="36"/>
  <c r="Q29" i="36" s="1"/>
  <c r="BK28" i="36"/>
  <c r="BK29" i="36" s="1"/>
  <c r="AM28" i="36"/>
  <c r="AM29" i="36" s="1"/>
  <c r="O28" i="36"/>
  <c r="O29" i="36" s="1"/>
  <c r="BF28" i="36"/>
  <c r="BF29" i="36" s="1"/>
  <c r="AH28" i="36"/>
  <c r="AH29" i="36" s="1"/>
  <c r="J28" i="36"/>
  <c r="J29" i="36" s="1"/>
  <c r="BC28" i="36"/>
  <c r="BC29" i="36" s="1"/>
  <c r="AE28" i="36"/>
  <c r="AE29" i="36" s="1"/>
  <c r="G28" i="36"/>
  <c r="G29" i="36" s="1"/>
  <c r="BB28" i="36"/>
  <c r="BB29" i="36" s="1"/>
  <c r="AD28" i="36"/>
  <c r="AD29" i="36" s="1"/>
  <c r="F28" i="36"/>
  <c r="F29" i="36" s="1"/>
  <c r="BY28" i="36"/>
  <c r="BY29" i="36" s="1"/>
  <c r="BA28" i="36"/>
  <c r="BA29" i="36" s="1"/>
  <c r="AC28" i="36"/>
  <c r="AC29" i="36" s="1"/>
  <c r="E28" i="36"/>
  <c r="E29" i="36" s="1"/>
  <c r="BW28" i="36"/>
  <c r="BW29" i="36" s="1"/>
  <c r="AY28" i="36"/>
  <c r="AY29" i="36" s="1"/>
  <c r="AA28" i="36"/>
  <c r="AA29" i="36" s="1"/>
  <c r="C28" i="36"/>
  <c r="BR28" i="36"/>
  <c r="BR29" i="36" s="1"/>
  <c r="AT28" i="36"/>
  <c r="AT29" i="36" s="1"/>
  <c r="V28" i="36"/>
  <c r="V29" i="36" s="1"/>
  <c r="BO28" i="36"/>
  <c r="BO29" i="36" s="1"/>
  <c r="AQ28" i="36"/>
  <c r="AQ29" i="36" s="1"/>
  <c r="S28" i="36"/>
  <c r="S29" i="36" s="1"/>
  <c r="BN28" i="36"/>
  <c r="BN29" i="36" s="1"/>
  <c r="AP28" i="36"/>
  <c r="AP29" i="36" s="1"/>
  <c r="R28" i="36"/>
  <c r="R29" i="36" s="1"/>
  <c r="BU28" i="36"/>
  <c r="BU29" i="36" s="1"/>
  <c r="BI28" i="36"/>
  <c r="BI29" i="36" s="1"/>
  <c r="AW28" i="36"/>
  <c r="AW29" i="36" s="1"/>
  <c r="AK28" i="36"/>
  <c r="AK29" i="36" s="1"/>
  <c r="Y28" i="36"/>
  <c r="Y29" i="36" s="1"/>
  <c r="M28" i="36"/>
  <c r="M29" i="36" s="1"/>
  <c r="BT28" i="36"/>
  <c r="BT29" i="36" s="1"/>
  <c r="BH28" i="36"/>
  <c r="BH29" i="36" s="1"/>
  <c r="AV28" i="36"/>
  <c r="AV29" i="36" s="1"/>
  <c r="AJ28" i="36"/>
  <c r="AJ29" i="36" s="1"/>
  <c r="X28" i="36"/>
  <c r="X29" i="36" s="1"/>
  <c r="L28" i="36"/>
  <c r="L29" i="36" s="1"/>
  <c r="BS28" i="36"/>
  <c r="BS29" i="36" s="1"/>
  <c r="BG28" i="36"/>
  <c r="BG29" i="36" s="1"/>
  <c r="AU28" i="36"/>
  <c r="AU29" i="36" s="1"/>
  <c r="AI28" i="36"/>
  <c r="AI29" i="36" s="1"/>
  <c r="W28" i="36"/>
  <c r="W29" i="36" s="1"/>
  <c r="K28" i="36"/>
  <c r="K29" i="36" s="1"/>
  <c r="BQ28" i="36"/>
  <c r="BQ29" i="36" s="1"/>
  <c r="BE28" i="36"/>
  <c r="BE29" i="36" s="1"/>
  <c r="AS28" i="36"/>
  <c r="AS29" i="36" s="1"/>
  <c r="AG28" i="36"/>
  <c r="AG29" i="36" s="1"/>
  <c r="U28" i="36"/>
  <c r="U29" i="36" s="1"/>
  <c r="I28" i="36"/>
  <c r="I29" i="36" s="1"/>
  <c r="BP28" i="36"/>
  <c r="BP29" i="36" s="1"/>
  <c r="BD28" i="36"/>
  <c r="BD29" i="36" s="1"/>
  <c r="AR28" i="36"/>
  <c r="AR29" i="36" s="1"/>
  <c r="AF28" i="36"/>
  <c r="T28" i="36"/>
  <c r="T29" i="36" s="1"/>
  <c r="H28" i="36"/>
  <c r="H29" i="36" s="1"/>
  <c r="B29" i="36"/>
  <c r="BX28" i="36"/>
  <c r="BX29" i="36" s="1"/>
  <c r="BL28" i="36"/>
  <c r="BL29" i="36" s="1"/>
  <c r="AZ28" i="36"/>
  <c r="AZ29" i="36" s="1"/>
  <c r="AN28" i="36"/>
  <c r="AN29" i="36" s="1"/>
  <c r="AB28" i="36"/>
  <c r="AB29" i="36" s="1"/>
  <c r="P28" i="36"/>
  <c r="P29" i="36" s="1"/>
  <c r="D28" i="36"/>
  <c r="D29" i="36" s="1"/>
  <c r="G31" i="36"/>
  <c r="C5" i="25"/>
  <c r="B60" i="37" l="1"/>
  <c r="C19" i="37" s="1"/>
  <c r="C20" i="37" s="1"/>
  <c r="J34" i="30"/>
  <c r="J33" i="30"/>
  <c r="AG31" i="36"/>
  <c r="S31" i="36"/>
  <c r="Y31" i="36"/>
  <c r="AH31" i="36"/>
  <c r="BM31" i="36"/>
  <c r="Z31" i="36"/>
  <c r="O31" i="36"/>
  <c r="D31" i="36"/>
  <c r="BU31" i="36"/>
  <c r="B31" i="36"/>
  <c r="BP31" i="36"/>
  <c r="BO31" i="36"/>
  <c r="AL31" i="36"/>
  <c r="AA31" i="36"/>
  <c r="F31" i="36"/>
  <c r="E31" i="36"/>
  <c r="T31" i="36"/>
  <c r="AC31" i="36"/>
  <c r="M31" i="36"/>
  <c r="AO31" i="36"/>
  <c r="AX31" i="36"/>
  <c r="AM31" i="36"/>
  <c r="AB31" i="36"/>
  <c r="AD31" i="36"/>
  <c r="AP31" i="36"/>
  <c r="BE31" i="36"/>
  <c r="R31" i="36"/>
  <c r="BN31" i="36"/>
  <c r="AY31" i="36"/>
  <c r="AN31" i="36"/>
  <c r="BB31" i="36"/>
  <c r="BY31" i="36"/>
  <c r="BA31" i="36"/>
  <c r="BF31" i="36"/>
  <c r="AF31" i="36"/>
  <c r="Q31" i="36"/>
  <c r="BV31" i="36"/>
  <c r="BK31" i="36"/>
  <c r="AZ31" i="36"/>
  <c r="V31" i="36"/>
  <c r="I31" i="36"/>
  <c r="U31" i="36"/>
  <c r="H31" i="36"/>
  <c r="AQ31" i="36"/>
  <c r="X31" i="36"/>
  <c r="AW31" i="36"/>
  <c r="BW31" i="36"/>
  <c r="BL31" i="36"/>
  <c r="AT31" i="36"/>
  <c r="AR31" i="36"/>
  <c r="BI31" i="36"/>
  <c r="AS31" i="36"/>
  <c r="AK31" i="36"/>
  <c r="BD31" i="36"/>
  <c r="BQ31" i="36"/>
  <c r="BX31" i="36"/>
  <c r="BR31" i="36"/>
  <c r="J31" i="36"/>
  <c r="N31" i="36"/>
  <c r="BJ31" i="36"/>
  <c r="BC31" i="36"/>
  <c r="L31" i="36"/>
  <c r="AE31" i="36"/>
  <c r="AV31" i="36"/>
  <c r="P31" i="36"/>
  <c r="BH31" i="36"/>
  <c r="BT31" i="36"/>
  <c r="AJ31" i="36"/>
  <c r="K31" i="36"/>
  <c r="AF29" i="36"/>
  <c r="W31" i="36"/>
  <c r="AI31" i="36"/>
  <c r="AU31" i="36"/>
  <c r="BG31" i="36"/>
  <c r="BS31" i="36"/>
  <c r="K16" i="34"/>
  <c r="E6" i="30"/>
  <c r="F6" i="30" s="1"/>
  <c r="C16" i="37" l="1"/>
  <c r="E60" i="37" s="1"/>
  <c r="B29" i="37" s="1"/>
  <c r="B28" i="37"/>
  <c r="B25" i="37"/>
  <c r="B15" i="36"/>
  <c r="E5" i="30"/>
  <c r="F5" i="30" l="1"/>
  <c r="G4" i="30"/>
  <c r="G6" i="30"/>
  <c r="C21" i="37"/>
  <c r="B30" i="37" s="1"/>
  <c r="B20" i="36"/>
  <c r="B18" i="36"/>
  <c r="H105" i="25"/>
  <c r="U5" i="32"/>
  <c r="D17" i="30"/>
  <c r="E18" i="32"/>
  <c r="D7" i="30"/>
  <c r="E21" i="32"/>
  <c r="D7" i="36"/>
  <c r="D8" i="36"/>
  <c r="C31" i="36" s="1"/>
  <c r="D4" i="36"/>
  <c r="D5" i="36"/>
  <c r="D3" i="36"/>
  <c r="E5" i="32"/>
  <c r="K9" i="34"/>
  <c r="K14" i="34"/>
  <c r="K10" i="34"/>
  <c r="C75" i="25"/>
  <c r="D74" i="25" s="1"/>
  <c r="S13" i="25"/>
  <c r="S14" i="25"/>
  <c r="S15" i="25"/>
  <c r="R16" i="25"/>
  <c r="R17" i="25"/>
  <c r="R18" i="25"/>
  <c r="R19" i="25"/>
  <c r="R20" i="25"/>
  <c r="S12" i="25"/>
  <c r="P28" i="25"/>
  <c r="P29" i="25"/>
  <c r="P30" i="25"/>
  <c r="P31" i="25"/>
  <c r="P32" i="25"/>
  <c r="S33" i="25"/>
  <c r="S34" i="25"/>
  <c r="S35" i="25"/>
  <c r="P27" i="25"/>
  <c r="Q36" i="25"/>
  <c r="R36" i="25"/>
  <c r="M21" i="25"/>
  <c r="M4" i="25"/>
  <c r="D36" i="32"/>
  <c r="D31" i="32"/>
  <c r="E23" i="32"/>
  <c r="F23" i="32" s="1"/>
  <c r="E22" i="32"/>
  <c r="F22" i="32" s="1"/>
  <c r="E20" i="32"/>
  <c r="B20" i="32"/>
  <c r="E19" i="32"/>
  <c r="B19" i="32"/>
  <c r="E16" i="32"/>
  <c r="E15" i="32"/>
  <c r="E14" i="32"/>
  <c r="E13" i="32"/>
  <c r="E12" i="32"/>
  <c r="E11" i="32"/>
  <c r="D16" i="30"/>
  <c r="D19" i="30"/>
  <c r="D18" i="30"/>
  <c r="E32" i="30"/>
  <c r="D22" i="30"/>
  <c r="D21" i="30"/>
  <c r="D20" i="30"/>
  <c r="B19" i="30"/>
  <c r="B18" i="30"/>
  <c r="B16" i="30"/>
  <c r="D14" i="30"/>
  <c r="D13" i="30"/>
  <c r="D12" i="30"/>
  <c r="D11" i="30"/>
  <c r="D10" i="30"/>
  <c r="D9" i="30"/>
  <c r="AB18" i="25"/>
  <c r="AA18" i="25"/>
  <c r="X19" i="25"/>
  <c r="E20" i="30" l="1"/>
  <c r="F20" i="30" s="1"/>
  <c r="G20" i="30" s="1"/>
  <c r="I13" i="30"/>
  <c r="F13" i="30"/>
  <c r="G13" i="30" s="1"/>
  <c r="F21" i="30"/>
  <c r="G21" i="30" s="1"/>
  <c r="I21" i="30"/>
  <c r="I10" i="30"/>
  <c r="F10" i="30"/>
  <c r="G10" i="30" s="1"/>
  <c r="I11" i="30"/>
  <c r="F11" i="30"/>
  <c r="G11" i="30" s="1"/>
  <c r="G5" i="30"/>
  <c r="F12" i="30"/>
  <c r="G12" i="30" s="1"/>
  <c r="I12" i="30"/>
  <c r="F16" i="30"/>
  <c r="G16" i="30" s="1"/>
  <c r="I16" i="30"/>
  <c r="F14" i="30"/>
  <c r="G14" i="30" s="1"/>
  <c r="I14" i="30"/>
  <c r="F17" i="30"/>
  <c r="G17" i="30" s="1"/>
  <c r="I17" i="30"/>
  <c r="F22" i="30"/>
  <c r="G22" i="30" s="1"/>
  <c r="I22" i="30"/>
  <c r="I9" i="30"/>
  <c r="F9" i="30"/>
  <c r="G9" i="30" s="1"/>
  <c r="F18" i="30"/>
  <c r="G18" i="30" s="1"/>
  <c r="I18" i="30"/>
  <c r="I19" i="30"/>
  <c r="F19" i="30"/>
  <c r="G19" i="30" s="1"/>
  <c r="B26" i="37"/>
  <c r="B27" i="37"/>
  <c r="F17" i="32"/>
  <c r="L9" i="34"/>
  <c r="M9" i="34" s="1"/>
  <c r="F10" i="32"/>
  <c r="E7" i="30"/>
  <c r="B19" i="36"/>
  <c r="B21" i="36"/>
  <c r="C29" i="36"/>
  <c r="N21" i="25"/>
  <c r="G33" i="30"/>
  <c r="K19" i="34"/>
  <c r="AB16" i="25"/>
  <c r="AA16" i="25"/>
  <c r="J19" i="30" l="1"/>
  <c r="J9" i="30"/>
  <c r="J14" i="30"/>
  <c r="B35" i="37"/>
  <c r="J22" i="30"/>
  <c r="J21" i="30"/>
  <c r="J18" i="30"/>
  <c r="J10" i="30"/>
  <c r="J13" i="30"/>
  <c r="J12" i="30"/>
  <c r="J11" i="30"/>
  <c r="J16" i="30"/>
  <c r="J17" i="30"/>
  <c r="F7" i="30"/>
  <c r="L19" i="34"/>
  <c r="L16" i="34"/>
  <c r="K13" i="34"/>
  <c r="K22" i="34" s="1"/>
  <c r="M19" i="34"/>
  <c r="G34" i="30"/>
  <c r="K11" i="34"/>
  <c r="K15" i="34"/>
  <c r="N9" i="34"/>
  <c r="F28" i="30" l="1"/>
  <c r="F29" i="30" s="1"/>
  <c r="G7" i="30"/>
  <c r="G29" i="30" s="1"/>
  <c r="M16" i="34"/>
  <c r="C15" i="36"/>
  <c r="C20" i="36" s="1"/>
  <c r="C21" i="36" s="1"/>
  <c r="L12" i="34"/>
  <c r="C14" i="36" s="1"/>
  <c r="O9" i="34"/>
  <c r="N19" i="34"/>
  <c r="M12" i="34" l="1"/>
  <c r="D14" i="36" s="1"/>
  <c r="N16" i="34"/>
  <c r="D15" i="36"/>
  <c r="D20" i="36" s="1"/>
  <c r="D21" i="36" s="1"/>
  <c r="L13" i="34"/>
  <c r="L22" i="34" s="1"/>
  <c r="P9" i="34"/>
  <c r="O19" i="34"/>
  <c r="L14" i="34"/>
  <c r="L10" i="34"/>
  <c r="L11" i="34" s="1"/>
  <c r="N12" i="34" l="1"/>
  <c r="E14" i="36" s="1"/>
  <c r="O16" i="34"/>
  <c r="B3" i="34" s="1"/>
  <c r="E15" i="36"/>
  <c r="E20" i="36" s="1"/>
  <c r="AA17" i="25"/>
  <c r="Q9" i="34"/>
  <c r="P19" i="34"/>
  <c r="L15" i="34"/>
  <c r="M14" i="34"/>
  <c r="M10" i="34"/>
  <c r="M11" i="34" s="1"/>
  <c r="M13" i="34"/>
  <c r="M22" i="34" s="1"/>
  <c r="E21" i="36" l="1"/>
  <c r="H20" i="30"/>
  <c r="AA19" i="25"/>
  <c r="F35" i="32"/>
  <c r="P16" i="34"/>
  <c r="F15" i="36"/>
  <c r="F20" i="36" s="1"/>
  <c r="F21" i="36" s="1"/>
  <c r="O12" i="34"/>
  <c r="AB17" i="25"/>
  <c r="R9" i="34"/>
  <c r="Q19" i="34"/>
  <c r="M15" i="34"/>
  <c r="N10" i="34"/>
  <c r="N11" i="34" s="1"/>
  <c r="N14" i="34"/>
  <c r="N13" i="34"/>
  <c r="N22" i="34" s="1"/>
  <c r="F36" i="32" l="1"/>
  <c r="M23" i="34" s="1"/>
  <c r="F31" i="30"/>
  <c r="G31" i="30" s="1"/>
  <c r="I31" i="30"/>
  <c r="I20" i="30"/>
  <c r="AB19" i="25"/>
  <c r="F14" i="36"/>
  <c r="P12" i="34"/>
  <c r="Q16" i="34"/>
  <c r="G15" i="36"/>
  <c r="G20" i="36" s="1"/>
  <c r="G21" i="36" s="1"/>
  <c r="S9" i="34"/>
  <c r="R19" i="34"/>
  <c r="O10" i="34"/>
  <c r="O11" i="34" s="1"/>
  <c r="O14" i="34"/>
  <c r="O13" i="34"/>
  <c r="O22" i="34" s="1"/>
  <c r="N15" i="34"/>
  <c r="I28" i="30" l="1"/>
  <c r="I29" i="30" s="1"/>
  <c r="J29" i="30" s="1"/>
  <c r="L23" i="34"/>
  <c r="N23" i="34"/>
  <c r="K23" i="34"/>
  <c r="O23" i="34"/>
  <c r="F32" i="30"/>
  <c r="G32" i="30" s="1"/>
  <c r="I32" i="30"/>
  <c r="J32" i="30" s="1"/>
  <c r="J31" i="30"/>
  <c r="J20" i="30"/>
  <c r="G14" i="36"/>
  <c r="Q12" i="34"/>
  <c r="R16" i="34"/>
  <c r="H15" i="36"/>
  <c r="H20" i="36" s="1"/>
  <c r="H21" i="36" s="1"/>
  <c r="T9" i="34"/>
  <c r="S19" i="34"/>
  <c r="O15" i="34"/>
  <c r="P10" i="34"/>
  <c r="P11" i="34" s="1"/>
  <c r="P14" i="34"/>
  <c r="P13" i="34"/>
  <c r="P22" i="34" s="1"/>
  <c r="P23" i="34" l="1"/>
  <c r="F35" i="30"/>
  <c r="F36" i="30" s="1"/>
  <c r="K25" i="34" s="1"/>
  <c r="I35" i="30"/>
  <c r="J35" i="30" s="1"/>
  <c r="J36" i="30" s="1"/>
  <c r="S16" i="34"/>
  <c r="I15" i="36"/>
  <c r="I20" i="36" s="1"/>
  <c r="I21" i="36" s="1"/>
  <c r="H14" i="36"/>
  <c r="R12" i="34"/>
  <c r="U9" i="34"/>
  <c r="T19" i="34"/>
  <c r="Q14" i="34"/>
  <c r="Q10" i="34"/>
  <c r="Q11" i="34" s="1"/>
  <c r="Q13" i="34"/>
  <c r="P15" i="34"/>
  <c r="Q22" i="34" l="1"/>
  <c r="Q23" i="34"/>
  <c r="G35" i="30"/>
  <c r="G36" i="30" s="1"/>
  <c r="I36" i="30"/>
  <c r="I14" i="36"/>
  <c r="S12" i="34"/>
  <c r="T16" i="34"/>
  <c r="B4" i="34" s="1"/>
  <c r="J15" i="36"/>
  <c r="J20" i="36" s="1"/>
  <c r="J21" i="36" s="1"/>
  <c r="V9" i="34"/>
  <c r="U19" i="34"/>
  <c r="Q15" i="34"/>
  <c r="R10" i="34"/>
  <c r="R11" i="34" s="1"/>
  <c r="R14" i="34"/>
  <c r="R13" i="34"/>
  <c r="R22" i="34" l="1"/>
  <c r="R23" i="34"/>
  <c r="J14" i="36"/>
  <c r="T12" i="34"/>
  <c r="U16" i="34"/>
  <c r="K15" i="36"/>
  <c r="K20" i="36" s="1"/>
  <c r="K21" i="36" s="1"/>
  <c r="W9" i="34"/>
  <c r="V19" i="34"/>
  <c r="S14" i="34"/>
  <c r="S10" i="34"/>
  <c r="S11" i="34" s="1"/>
  <c r="S13" i="34"/>
  <c r="R15" i="34"/>
  <c r="S22" i="34" l="1"/>
  <c r="S23" i="34"/>
  <c r="V16" i="34"/>
  <c r="L15" i="36"/>
  <c r="L20" i="36" s="1"/>
  <c r="L21" i="36" s="1"/>
  <c r="K14" i="36"/>
  <c r="U12" i="34"/>
  <c r="X9" i="34"/>
  <c r="W19" i="34"/>
  <c r="S15" i="34"/>
  <c r="T10" i="34"/>
  <c r="T11" i="34" s="1"/>
  <c r="T14" i="34"/>
  <c r="T13" i="34"/>
  <c r="T22" i="34" l="1"/>
  <c r="T23" i="34"/>
  <c r="W16" i="34"/>
  <c r="M15" i="36"/>
  <c r="M20" i="36" s="1"/>
  <c r="M21" i="36" s="1"/>
  <c r="L14" i="36"/>
  <c r="V12" i="34"/>
  <c r="Y9" i="34"/>
  <c r="X19" i="34"/>
  <c r="U10" i="34"/>
  <c r="U11" i="34" s="1"/>
  <c r="U14" i="34"/>
  <c r="U13" i="34"/>
  <c r="T15" i="34"/>
  <c r="U22" i="34" l="1"/>
  <c r="U23" i="34"/>
  <c r="X16" i="34"/>
  <c r="N15" i="36"/>
  <c r="N20" i="36" s="1"/>
  <c r="N21" i="36" s="1"/>
  <c r="M14" i="36"/>
  <c r="W12" i="34"/>
  <c r="Z9" i="34"/>
  <c r="Y19" i="34"/>
  <c r="U15" i="34"/>
  <c r="V14" i="34"/>
  <c r="V10" i="34"/>
  <c r="V11" i="34" s="1"/>
  <c r="V13" i="34"/>
  <c r="V22" i="34" l="1"/>
  <c r="V23" i="34"/>
  <c r="Y16" i="34"/>
  <c r="B5" i="34" s="1"/>
  <c r="O15" i="36"/>
  <c r="O20" i="36" s="1"/>
  <c r="O21" i="36" s="1"/>
  <c r="N14" i="36"/>
  <c r="X12" i="34"/>
  <c r="Z19" i="34"/>
  <c r="AA9" i="34"/>
  <c r="W10" i="34"/>
  <c r="W11" i="34" s="1"/>
  <c r="W14" i="34"/>
  <c r="W13" i="34"/>
  <c r="V15" i="34"/>
  <c r="W22" i="34" l="1"/>
  <c r="W23" i="34"/>
  <c r="O14" i="36"/>
  <c r="Y12" i="34"/>
  <c r="Z16" i="34"/>
  <c r="P15" i="36"/>
  <c r="P20" i="36" s="1"/>
  <c r="P21" i="36" s="1"/>
  <c r="AA19" i="34"/>
  <c r="AB9" i="34"/>
  <c r="W15" i="34"/>
  <c r="X14" i="34"/>
  <c r="X10" i="34"/>
  <c r="X11" i="34" s="1"/>
  <c r="X13" i="34"/>
  <c r="X22" i="34" l="1"/>
  <c r="X23" i="34"/>
  <c r="AA16" i="34"/>
  <c r="Q15" i="36"/>
  <c r="Q20" i="36" s="1"/>
  <c r="Q21" i="36" s="1"/>
  <c r="P14" i="36"/>
  <c r="Z12" i="34"/>
  <c r="AB19" i="34"/>
  <c r="AC9" i="34"/>
  <c r="X15" i="34"/>
  <c r="Y10" i="34"/>
  <c r="Y11" i="34" s="1"/>
  <c r="Y14" i="34"/>
  <c r="Y13" i="34"/>
  <c r="Y22" i="34" l="1"/>
  <c r="Y23" i="34"/>
  <c r="AB16" i="34"/>
  <c r="R15" i="36"/>
  <c r="R20" i="36" s="1"/>
  <c r="R21" i="36" s="1"/>
  <c r="Q14" i="36"/>
  <c r="AA12" i="34"/>
  <c r="AC19" i="34"/>
  <c r="AD9" i="34"/>
  <c r="Y15" i="34"/>
  <c r="Z13" i="34"/>
  <c r="Z14" i="34"/>
  <c r="Z10" i="34"/>
  <c r="Z11" i="34" s="1"/>
  <c r="Z22" i="34" l="1"/>
  <c r="Z23" i="34"/>
  <c r="R14" i="36"/>
  <c r="AB12" i="34"/>
  <c r="AC16" i="34"/>
  <c r="S15" i="36"/>
  <c r="S20" i="36" s="1"/>
  <c r="S21" i="36" s="1"/>
  <c r="AD19" i="34"/>
  <c r="AE9" i="34"/>
  <c r="AE16" i="34" s="1"/>
  <c r="V15" i="36" s="1"/>
  <c r="V20" i="36" s="1"/>
  <c r="V21" i="36" s="1"/>
  <c r="Z15" i="34"/>
  <c r="AA13" i="34"/>
  <c r="AA14" i="34"/>
  <c r="AA10" i="34"/>
  <c r="AA11" i="34" s="1"/>
  <c r="AA22" i="34" l="1"/>
  <c r="AA23" i="34"/>
  <c r="AD16" i="34"/>
  <c r="T15" i="36"/>
  <c r="T20" i="36" s="1"/>
  <c r="T21" i="36" s="1"/>
  <c r="S14" i="36"/>
  <c r="AC12" i="34"/>
  <c r="AE19" i="34"/>
  <c r="AF9" i="34"/>
  <c r="AF16" i="34" s="1"/>
  <c r="W15" i="36" s="1"/>
  <c r="W20" i="36" s="1"/>
  <c r="W21" i="36" s="1"/>
  <c r="AA15" i="34"/>
  <c r="AB13" i="34"/>
  <c r="AB14" i="34"/>
  <c r="AB10" i="34"/>
  <c r="AB11" i="34" s="1"/>
  <c r="AB22" i="34" l="1"/>
  <c r="AB23" i="34"/>
  <c r="U15" i="36"/>
  <c r="U20" i="36" s="1"/>
  <c r="U21" i="36" s="1"/>
  <c r="B6" i="34"/>
  <c r="T14" i="36"/>
  <c r="AD12" i="34"/>
  <c r="AF19" i="34"/>
  <c r="AG9" i="34"/>
  <c r="AG16" i="34" s="1"/>
  <c r="X15" i="36" s="1"/>
  <c r="X20" i="36" s="1"/>
  <c r="X21" i="36" s="1"/>
  <c r="AB15" i="34"/>
  <c r="AC13" i="34"/>
  <c r="AC14" i="34"/>
  <c r="AC10" i="34"/>
  <c r="AC11" i="34" s="1"/>
  <c r="AC22" i="34" l="1"/>
  <c r="AC23" i="34"/>
  <c r="U14" i="36"/>
  <c r="AE12" i="34"/>
  <c r="AG19" i="34"/>
  <c r="AH9" i="34"/>
  <c r="AH16" i="34" s="1"/>
  <c r="Y15" i="36" s="1"/>
  <c r="Y20" i="36" s="1"/>
  <c r="Y21" i="36" s="1"/>
  <c r="AC15" i="34"/>
  <c r="AD13" i="34"/>
  <c r="AD14" i="34"/>
  <c r="AD10" i="34"/>
  <c r="AD11" i="34" s="1"/>
  <c r="AD22" i="34" l="1"/>
  <c r="AD23" i="34"/>
  <c r="V14" i="36"/>
  <c r="AF12" i="34"/>
  <c r="AH19" i="34"/>
  <c r="AI9" i="34"/>
  <c r="AI16" i="34" s="1"/>
  <c r="AD15" i="34"/>
  <c r="Z15" i="36" l="1"/>
  <c r="Z20" i="36" s="1"/>
  <c r="Z21" i="36" s="1"/>
  <c r="B7" i="34"/>
  <c r="W14" i="36"/>
  <c r="AG12" i="34"/>
  <c r="AI19" i="34"/>
  <c r="AJ9" i="34"/>
  <c r="AJ16" i="34" s="1"/>
  <c r="AA15" i="36" s="1"/>
  <c r="AA20" i="36" s="1"/>
  <c r="AA21" i="36" s="1"/>
  <c r="X14" i="36" l="1"/>
  <c r="AH12" i="34"/>
  <c r="AK9" i="34"/>
  <c r="AK16" i="34" s="1"/>
  <c r="AB15" i="36" s="1"/>
  <c r="AB20" i="36" s="1"/>
  <c r="AB21" i="36" s="1"/>
  <c r="AJ19" i="34"/>
  <c r="AL9" i="34" l="1"/>
  <c r="AL16" i="34" s="1"/>
  <c r="AC15" i="36" s="1"/>
  <c r="AC20" i="36" s="1"/>
  <c r="AC21" i="36" s="1"/>
  <c r="Y14" i="36"/>
  <c r="AI12" i="34"/>
  <c r="AK19" i="34"/>
  <c r="AL19" i="34" l="1"/>
  <c r="Z14" i="36"/>
  <c r="AM9" i="34"/>
  <c r="AM16" i="34" s="1"/>
  <c r="AD15" i="36" s="1"/>
  <c r="AD20" i="36" s="1"/>
  <c r="AD21" i="36" s="1"/>
  <c r="AJ12" i="34"/>
  <c r="AA14" i="36" s="1"/>
  <c r="AN9" i="34" l="1"/>
  <c r="AN16" i="34" s="1"/>
  <c r="AE15" i="36" s="1"/>
  <c r="AE20" i="36" s="1"/>
  <c r="AE21" i="36" s="1"/>
  <c r="AM19" i="34"/>
  <c r="AK12" i="34"/>
  <c r="AL12" i="34" s="1"/>
  <c r="AC14" i="36" s="1"/>
  <c r="AN19" i="34" l="1"/>
  <c r="B8" i="34"/>
  <c r="AO9" i="34"/>
  <c r="AO16" i="34" s="1"/>
  <c r="AF15" i="36" s="1"/>
  <c r="AF20" i="36" s="1"/>
  <c r="AF21" i="36" s="1"/>
  <c r="AB14" i="36"/>
  <c r="AM12" i="34"/>
  <c r="AD14" i="36" s="1"/>
  <c r="AP9" i="34" l="1"/>
  <c r="AP16" i="34" s="1"/>
  <c r="AG15" i="36" s="1"/>
  <c r="AG20" i="36" s="1"/>
  <c r="AG21" i="36" s="1"/>
  <c r="AO19" i="34"/>
  <c r="AN12" i="34"/>
  <c r="F39" i="32"/>
  <c r="AP19" i="34"/>
  <c r="AQ9" i="34"/>
  <c r="AQ16" i="34" s="1"/>
  <c r="AH15" i="36" s="1"/>
  <c r="AH20" i="36" s="1"/>
  <c r="AH21" i="36" s="1"/>
  <c r="AE14" i="36" l="1"/>
  <c r="AO12" i="34"/>
  <c r="AF14" i="36" s="1"/>
  <c r="G39" i="32"/>
  <c r="AQ19" i="34"/>
  <c r="AR9" i="34"/>
  <c r="AR16" i="34" s="1"/>
  <c r="AI15" i="36" s="1"/>
  <c r="AI20" i="36" s="1"/>
  <c r="AI21" i="36" s="1"/>
  <c r="AP12" i="34" l="1"/>
  <c r="AG14" i="36" s="1"/>
  <c r="AR19" i="34"/>
  <c r="AS9" i="34"/>
  <c r="AS16" i="34" s="1"/>
  <c r="AJ15" i="36" s="1"/>
  <c r="AJ20" i="36" s="1"/>
  <c r="AJ21" i="36" s="1"/>
  <c r="AQ12" i="34" l="1"/>
  <c r="AH14" i="36" s="1"/>
  <c r="AS19" i="34"/>
  <c r="AT9" i="34"/>
  <c r="AT16" i="34" s="1"/>
  <c r="AK15" i="36" s="1"/>
  <c r="AK20" i="36" s="1"/>
  <c r="AK21" i="36" s="1"/>
  <c r="AR12" i="34" l="1"/>
  <c r="AI14" i="36" s="1"/>
  <c r="AT19" i="34"/>
  <c r="AU9" i="34"/>
  <c r="AU16" i="34" s="1"/>
  <c r="AL15" i="36" s="1"/>
  <c r="AL20" i="36" s="1"/>
  <c r="AL21" i="36" s="1"/>
  <c r="AS12" i="34" l="1"/>
  <c r="AJ14" i="36" s="1"/>
  <c r="AU19" i="34"/>
  <c r="AV9" i="34"/>
  <c r="AV16" i="34" s="1"/>
  <c r="AM15" i="36" s="1"/>
  <c r="AM20" i="36" s="1"/>
  <c r="AM21" i="36" s="1"/>
  <c r="AT12" i="34" l="1"/>
  <c r="AK14" i="36" s="1"/>
  <c r="AV19" i="34"/>
  <c r="AW9" i="34"/>
  <c r="AW16" i="34" s="1"/>
  <c r="AN15" i="36" s="1"/>
  <c r="AN20" i="36" s="1"/>
  <c r="AN21" i="36" s="1"/>
  <c r="AU12" i="34" l="1"/>
  <c r="AL14" i="36" s="1"/>
  <c r="AW19" i="34"/>
  <c r="AX9" i="34"/>
  <c r="AX16" i="34" s="1"/>
  <c r="AO15" i="36" l="1"/>
  <c r="AO20" i="36" s="1"/>
  <c r="AO21" i="36" s="1"/>
  <c r="B9" i="34"/>
  <c r="AV12" i="34"/>
  <c r="AM14" i="36" s="1"/>
  <c r="AX19" i="34"/>
  <c r="AY9" i="34"/>
  <c r="AY16" i="34" s="1"/>
  <c r="AP15" i="36" s="1"/>
  <c r="AP20" i="36" s="1"/>
  <c r="AP21" i="36" s="1"/>
  <c r="AW12" i="34" l="1"/>
  <c r="AN14" i="36" s="1"/>
  <c r="AY19" i="34"/>
  <c r="AZ9" i="34"/>
  <c r="AZ16" i="34" s="1"/>
  <c r="AQ15" i="36" s="1"/>
  <c r="AQ20" i="36" s="1"/>
  <c r="AQ21" i="36" s="1"/>
  <c r="AX12" i="34" l="1"/>
  <c r="AZ19" i="34"/>
  <c r="BA9" i="34"/>
  <c r="BA16" i="34" s="1"/>
  <c r="AR15" i="36" s="1"/>
  <c r="AR20" i="36" s="1"/>
  <c r="AR21" i="36" s="1"/>
  <c r="AO14" i="36" l="1"/>
  <c r="AY12" i="34"/>
  <c r="AP14" i="36" s="1"/>
  <c r="BA19" i="34"/>
  <c r="BB9" i="34"/>
  <c r="BB16" i="34" s="1"/>
  <c r="AS15" i="36" s="1"/>
  <c r="AS20" i="36" s="1"/>
  <c r="AS21" i="36" s="1"/>
  <c r="AZ12" i="34" l="1"/>
  <c r="AQ14" i="36" s="1"/>
  <c r="BB19" i="34"/>
  <c r="BC9" i="34"/>
  <c r="BC16" i="34" s="1"/>
  <c r="AT15" i="36" s="1"/>
  <c r="AT20" i="36" s="1"/>
  <c r="AT21" i="36" s="1"/>
  <c r="BA12" i="34" l="1"/>
  <c r="AR14" i="36" s="1"/>
  <c r="BC19" i="34"/>
  <c r="BD9" i="34"/>
  <c r="BD16" i="34" s="1"/>
  <c r="AU15" i="36" s="1"/>
  <c r="AU20" i="36" s="1"/>
  <c r="AU21" i="36" s="1"/>
  <c r="BB12" i="34" l="1"/>
  <c r="AS14" i="36" s="1"/>
  <c r="BD19" i="34"/>
  <c r="BE9" i="34"/>
  <c r="BE16" i="34" s="1"/>
  <c r="AV15" i="36" s="1"/>
  <c r="AV20" i="36" s="1"/>
  <c r="AV21" i="36" s="1"/>
  <c r="BC12" i="34" l="1"/>
  <c r="AT14" i="36" s="1"/>
  <c r="BE19" i="34"/>
  <c r="BF9" i="34"/>
  <c r="BF16" i="34" s="1"/>
  <c r="AW15" i="36" s="1"/>
  <c r="AW20" i="36" s="1"/>
  <c r="AW21" i="36" s="1"/>
  <c r="BD12" i="34" l="1"/>
  <c r="AU14" i="36" s="1"/>
  <c r="BF19" i="34"/>
  <c r="BG9" i="34"/>
  <c r="BG16" i="34" s="1"/>
  <c r="AX15" i="36" s="1"/>
  <c r="AX20" i="36" s="1"/>
  <c r="AX21" i="36" s="1"/>
  <c r="BE12" i="34" l="1"/>
  <c r="AV14" i="36" s="1"/>
  <c r="BG19" i="34"/>
  <c r="BH9" i="34"/>
  <c r="BH16" i="34" s="1"/>
  <c r="AY15" i="36" l="1"/>
  <c r="AY20" i="36" s="1"/>
  <c r="AY21" i="36" s="1"/>
  <c r="B10" i="34"/>
  <c r="BF12" i="34"/>
  <c r="AW14" i="36" s="1"/>
  <c r="BH19" i="34"/>
  <c r="BI9" i="34"/>
  <c r="BI16" i="34" s="1"/>
  <c r="AZ15" i="36" s="1"/>
  <c r="AZ20" i="36" s="1"/>
  <c r="AZ21" i="36" s="1"/>
  <c r="BG12" i="34" l="1"/>
  <c r="AX14" i="36" s="1"/>
  <c r="BI19" i="34"/>
  <c r="BJ9" i="34"/>
  <c r="BJ16" i="34" s="1"/>
  <c r="BA15" i="36" s="1"/>
  <c r="BA20" i="36" s="1"/>
  <c r="BA21" i="36" s="1"/>
  <c r="BH12" i="34" l="1"/>
  <c r="BJ19" i="34"/>
  <c r="BK9" i="34"/>
  <c r="BK16" i="34" s="1"/>
  <c r="BB15" i="36" s="1"/>
  <c r="BB20" i="36" s="1"/>
  <c r="BB21" i="36" s="1"/>
  <c r="AY14" i="36" l="1"/>
  <c r="BI12" i="34"/>
  <c r="AZ14" i="36" s="1"/>
  <c r="BK19" i="34"/>
  <c r="BL9" i="34"/>
  <c r="BL16" i="34" s="1"/>
  <c r="BC15" i="36" s="1"/>
  <c r="BC20" i="36" s="1"/>
  <c r="BC21" i="36" s="1"/>
  <c r="BJ12" i="34" l="1"/>
  <c r="BA14" i="36" s="1"/>
  <c r="BL19" i="34"/>
  <c r="BM9" i="34"/>
  <c r="BM16" i="34" s="1"/>
  <c r="BD15" i="36" s="1"/>
  <c r="BD20" i="36" s="1"/>
  <c r="BD21" i="36" s="1"/>
  <c r="BK12" i="34" l="1"/>
  <c r="BB14" i="36" s="1"/>
  <c r="BM19" i="34"/>
  <c r="BN9" i="34"/>
  <c r="BN16" i="34" s="1"/>
  <c r="BE15" i="36" s="1"/>
  <c r="BE20" i="36" s="1"/>
  <c r="BE21" i="36" s="1"/>
  <c r="BL12" i="34" l="1"/>
  <c r="BC14" i="36" s="1"/>
  <c r="BN19" i="34"/>
  <c r="BO9" i="34"/>
  <c r="BO16" i="34" s="1"/>
  <c r="BF15" i="36" s="1"/>
  <c r="BF20" i="36" s="1"/>
  <c r="BF21" i="36" s="1"/>
  <c r="BM12" i="34" l="1"/>
  <c r="BD14" i="36" s="1"/>
  <c r="BO19" i="34"/>
  <c r="BP9" i="34"/>
  <c r="BP16" i="34" s="1"/>
  <c r="BG15" i="36" s="1"/>
  <c r="BG20" i="36" s="1"/>
  <c r="BG21" i="36" s="1"/>
  <c r="BN12" i="34" l="1"/>
  <c r="BE14" i="36" s="1"/>
  <c r="BP19" i="34"/>
  <c r="BQ9" i="34"/>
  <c r="BQ16" i="34" s="1"/>
  <c r="BH15" i="36" s="1"/>
  <c r="BH20" i="36" s="1"/>
  <c r="BH21" i="36" s="1"/>
  <c r="BO12" i="34" l="1"/>
  <c r="BF14" i="36" s="1"/>
  <c r="BQ19" i="34"/>
  <c r="BR9" i="34"/>
  <c r="BR16" i="34" s="1"/>
  <c r="BP12" i="34" l="1"/>
  <c r="BG14" i="36" s="1"/>
  <c r="BI15" i="36"/>
  <c r="BI20" i="36" s="1"/>
  <c r="BI21" i="36" s="1"/>
  <c r="B11" i="34"/>
  <c r="BR19" i="34"/>
  <c r="BS9" i="34"/>
  <c r="BS16" i="34" s="1"/>
  <c r="BJ15" i="36" s="1"/>
  <c r="BJ20" i="36" s="1"/>
  <c r="BJ21" i="36" s="1"/>
  <c r="BQ12" i="34" l="1"/>
  <c r="BH14" i="36" s="1"/>
  <c r="BS19" i="34"/>
  <c r="BT9" i="34"/>
  <c r="BT16" i="34" s="1"/>
  <c r="BK15" i="36" s="1"/>
  <c r="BK20" i="36" s="1"/>
  <c r="BK21" i="36" s="1"/>
  <c r="BR12" i="34" l="1"/>
  <c r="BI14" i="36" s="1"/>
  <c r="BT19" i="34"/>
  <c r="BU9" i="34"/>
  <c r="BU16" i="34" s="1"/>
  <c r="BL15" i="36" s="1"/>
  <c r="BL20" i="36" s="1"/>
  <c r="BL21" i="36" s="1"/>
  <c r="BS12" i="34" l="1"/>
  <c r="BJ14" i="36" s="1"/>
  <c r="BU19" i="34"/>
  <c r="BV9" i="34"/>
  <c r="BV16" i="34" s="1"/>
  <c r="BM15" i="36" s="1"/>
  <c r="BM20" i="36" s="1"/>
  <c r="BM21" i="36" s="1"/>
  <c r="BT12" i="34" l="1"/>
  <c r="BK14" i="36" s="1"/>
  <c r="BV19" i="34"/>
  <c r="BW9" i="34"/>
  <c r="BW16" i="34" s="1"/>
  <c r="BN15" i="36" s="1"/>
  <c r="BN20" i="36" s="1"/>
  <c r="BN21" i="36" s="1"/>
  <c r="BU12" i="34" l="1"/>
  <c r="BL14" i="36" s="1"/>
  <c r="BW19" i="34"/>
  <c r="BX9" i="34"/>
  <c r="BX16" i="34" s="1"/>
  <c r="BO15" i="36" s="1"/>
  <c r="BO20" i="36" s="1"/>
  <c r="BO21" i="36" s="1"/>
  <c r="BV12" i="34" l="1"/>
  <c r="BM14" i="36" s="1"/>
  <c r="BX19" i="34"/>
  <c r="BY9" i="34"/>
  <c r="BY16" i="34" s="1"/>
  <c r="BP15" i="36" s="1"/>
  <c r="BP20" i="36" s="1"/>
  <c r="BP21" i="36" s="1"/>
  <c r="BW12" i="34" l="1"/>
  <c r="BN14" i="36" s="1"/>
  <c r="BY19" i="34"/>
  <c r="BZ9" i="34"/>
  <c r="BZ16" i="34" s="1"/>
  <c r="BQ15" i="36" s="1"/>
  <c r="BQ20" i="36" s="1"/>
  <c r="BQ21" i="36" s="1"/>
  <c r="BX12" i="34" l="1"/>
  <c r="BO14" i="36" s="1"/>
  <c r="BZ19" i="34"/>
  <c r="CA9" i="34"/>
  <c r="CA16" i="34" s="1"/>
  <c r="BR15" i="36" s="1"/>
  <c r="BR20" i="36" s="1"/>
  <c r="BR21" i="36" s="1"/>
  <c r="BY12" i="34" l="1"/>
  <c r="BP14" i="36" s="1"/>
  <c r="CA19" i="34"/>
  <c r="CB9" i="34"/>
  <c r="CB16" i="34" s="1"/>
  <c r="BZ12" i="34" l="1"/>
  <c r="CA12" i="34" s="1"/>
  <c r="BR14" i="36" s="1"/>
  <c r="BS15" i="36"/>
  <c r="BS20" i="36" s="1"/>
  <c r="BS21" i="36" s="1"/>
  <c r="B12" i="34"/>
  <c r="CB19" i="34"/>
  <c r="CC9" i="34"/>
  <c r="CC16" i="34" s="1"/>
  <c r="BT15" i="36" s="1"/>
  <c r="BT20" i="36" s="1"/>
  <c r="BT21" i="36" s="1"/>
  <c r="BQ14" i="36" l="1"/>
  <c r="CB12" i="34"/>
  <c r="CC19" i="34"/>
  <c r="CD9" i="34"/>
  <c r="BS14" i="36" l="1"/>
  <c r="CC12" i="34"/>
  <c r="BT14" i="36" s="1"/>
  <c r="CD19" i="34"/>
  <c r="CD16" i="34"/>
  <c r="BU15" i="36" s="1"/>
  <c r="BU20" i="36" s="1"/>
  <c r="BU21" i="36" s="1"/>
  <c r="CE9" i="34"/>
  <c r="CD12" i="34" l="1"/>
  <c r="BU14" i="36" s="1"/>
  <c r="CE19" i="34"/>
  <c r="CE16" i="34"/>
  <c r="BV15" i="36" s="1"/>
  <c r="BV20" i="36" s="1"/>
  <c r="BV21" i="36" s="1"/>
  <c r="CF9" i="34"/>
  <c r="CE12" i="34" l="1"/>
  <c r="BV14" i="36" s="1"/>
  <c r="CF19" i="34"/>
  <c r="CF16" i="34"/>
  <c r="BW15" i="36" s="1"/>
  <c r="BW20" i="36" s="1"/>
  <c r="BW21" i="36" s="1"/>
  <c r="CG9" i="34"/>
  <c r="CF12" i="34" l="1"/>
  <c r="BW14" i="36" s="1"/>
  <c r="CG19" i="34"/>
  <c r="CG16" i="34"/>
  <c r="BX15" i="36" s="1"/>
  <c r="BX20" i="36" s="1"/>
  <c r="BX21" i="36" s="1"/>
  <c r="CH9" i="34"/>
  <c r="CH16" i="34" s="1"/>
  <c r="G28" i="32" s="1"/>
  <c r="AJ10" i="34"/>
  <c r="AJ11" i="34" s="1"/>
  <c r="AV14" i="34"/>
  <c r="AV15" i="34" s="1"/>
  <c r="BB14" i="34"/>
  <c r="BB15" i="34" s="1"/>
  <c r="AZ14" i="34"/>
  <c r="AZ15" i="34" s="1"/>
  <c r="AX14" i="34"/>
  <c r="AX15" i="34" s="1"/>
  <c r="AM10" i="34"/>
  <c r="AM11" i="34" s="1"/>
  <c r="AG10" i="34"/>
  <c r="AG11" i="34" s="1"/>
  <c r="BA14" i="34"/>
  <c r="BA15" i="34" s="1"/>
  <c r="AR14" i="34"/>
  <c r="AR15" i="34" s="1"/>
  <c r="AW14" i="34"/>
  <c r="AW15" i="34" s="1"/>
  <c r="AE10" i="34"/>
  <c r="AE11" i="34" s="1"/>
  <c r="AQ10" i="34"/>
  <c r="AQ11" i="34" s="1"/>
  <c r="BE10" i="34"/>
  <c r="BE11" i="34" s="1"/>
  <c r="AZ10" i="34"/>
  <c r="AZ11" i="34" s="1"/>
  <c r="BC14" i="34"/>
  <c r="BC15" i="34" s="1"/>
  <c r="AN14" i="34"/>
  <c r="AN15" i="34" s="1"/>
  <c r="AT10" i="34"/>
  <c r="AT11" i="34" s="1"/>
  <c r="AH10" i="34"/>
  <c r="AH11" i="34" s="1"/>
  <c r="BE14" i="34"/>
  <c r="BE15" i="34" s="1"/>
  <c r="AI10" i="34"/>
  <c r="AI11" i="34" s="1"/>
  <c r="AH13" i="34"/>
  <c r="BF14" i="34"/>
  <c r="BF15" i="34" s="1"/>
  <c r="BF10" i="34"/>
  <c r="BF11" i="34" s="1"/>
  <c r="AL10" i="34"/>
  <c r="AL11" i="34" s="1"/>
  <c r="BC10" i="34"/>
  <c r="BC11" i="34" s="1"/>
  <c r="BD10" i="34"/>
  <c r="BD11" i="34" s="1"/>
  <c r="AR10" i="34"/>
  <c r="AR11" i="34" s="1"/>
  <c r="BG10" i="34"/>
  <c r="BG11" i="34" s="1"/>
  <c r="AR13" i="34"/>
  <c r="AT13" i="34"/>
  <c r="AY13" i="34"/>
  <c r="AI13" i="34"/>
  <c r="AK10" i="34"/>
  <c r="AK11" i="34" s="1"/>
  <c r="AT14" i="34"/>
  <c r="AT15" i="34" s="1"/>
  <c r="AN10" i="34"/>
  <c r="AN11" i="34" s="1"/>
  <c r="AP10" i="34"/>
  <c r="AP11" i="34" s="1"/>
  <c r="AU10" i="34"/>
  <c r="AU11" i="34" s="1"/>
  <c r="AH14" i="34"/>
  <c r="AH15" i="34" s="1"/>
  <c r="AL13" i="34"/>
  <c r="AN13" i="34"/>
  <c r="AP13" i="34"/>
  <c r="AV13" i="34"/>
  <c r="BB13" i="34"/>
  <c r="BE13" i="34"/>
  <c r="AY14" i="34"/>
  <c r="AY15" i="34" s="1"/>
  <c r="BB10" i="34"/>
  <c r="BB11" i="34" s="1"/>
  <c r="AX10" i="34"/>
  <c r="AX11" i="34" s="1"/>
  <c r="AS14" i="34"/>
  <c r="AS15" i="34" s="1"/>
  <c r="BA10" i="34"/>
  <c r="BA11" i="34" s="1"/>
  <c r="AP14" i="34"/>
  <c r="AP15" i="34" s="1"/>
  <c r="AU14" i="34"/>
  <c r="AU15" i="34" s="1"/>
  <c r="AI14" i="34"/>
  <c r="AI15" i="34" s="1"/>
  <c r="AJ14" i="34"/>
  <c r="AQ13" i="34"/>
  <c r="AS13" i="34"/>
  <c r="AX13" i="34"/>
  <c r="BA13" i="34"/>
  <c r="AO10" i="34"/>
  <c r="AO11" i="34" s="1"/>
  <c r="AY10" i="34"/>
  <c r="AY11" i="34" s="1"/>
  <c r="AL14" i="34"/>
  <c r="AL15" i="34" s="1"/>
  <c r="AK14" i="34"/>
  <c r="AK15" i="34" s="1"/>
  <c r="AE13" i="34"/>
  <c r="AF13" i="34"/>
  <c r="AM14" i="34"/>
  <c r="AM15" i="34" s="1"/>
  <c r="AW10" i="34"/>
  <c r="AW11" i="34" s="1"/>
  <c r="BD14" i="34"/>
  <c r="BD15" i="34" s="1"/>
  <c r="AV10" i="34"/>
  <c r="AV11" i="34" s="1"/>
  <c r="AF14" i="34"/>
  <c r="AF15" i="34" s="1"/>
  <c r="AK13" i="34"/>
  <c r="AM13" i="34"/>
  <c r="AO13" i="34"/>
  <c r="AU13" i="34"/>
  <c r="AW13" i="34"/>
  <c r="AZ13" i="34"/>
  <c r="BC13" i="34"/>
  <c r="BD13" i="34"/>
  <c r="BF13" i="34"/>
  <c r="BG13" i="34"/>
  <c r="BG14" i="34"/>
  <c r="BG15" i="34" s="1"/>
  <c r="AO14" i="34"/>
  <c r="AO15" i="34" s="1"/>
  <c r="AQ14" i="34"/>
  <c r="AQ15" i="34" s="1"/>
  <c r="AF10" i="34"/>
  <c r="AF11" i="34" s="1"/>
  <c r="AS10" i="34"/>
  <c r="AS11" i="34" s="1"/>
  <c r="AG14" i="34"/>
  <c r="AG15" i="34" s="1"/>
  <c r="AG13" i="34"/>
  <c r="AJ13" i="34"/>
  <c r="BH14" i="34"/>
  <c r="BH15" i="34" s="1"/>
  <c r="AE14" i="34"/>
  <c r="BE22" i="34" l="1"/>
  <c r="BE23" i="34"/>
  <c r="BC22" i="34"/>
  <c r="BC23" i="34"/>
  <c r="BB22" i="34"/>
  <c r="BB23" i="34"/>
  <c r="AV22" i="34"/>
  <c r="AV23" i="34"/>
  <c r="AN22" i="34"/>
  <c r="AN23" i="34"/>
  <c r="AY22" i="34"/>
  <c r="AY23" i="34"/>
  <c r="AZ22" i="34"/>
  <c r="AZ23" i="34"/>
  <c r="AP22" i="34"/>
  <c r="AP23" i="34"/>
  <c r="AI22" i="34"/>
  <c r="AI23" i="34"/>
  <c r="AO22" i="34"/>
  <c r="AO23" i="34"/>
  <c r="AL22" i="34"/>
  <c r="AL23" i="34"/>
  <c r="AJ22" i="34"/>
  <c r="AJ23" i="34"/>
  <c r="BG22" i="34"/>
  <c r="BG23" i="34"/>
  <c r="AM22" i="34"/>
  <c r="AM23" i="34"/>
  <c r="AE22" i="34"/>
  <c r="AE23" i="34"/>
  <c r="AQ22" i="34"/>
  <c r="AQ23" i="34"/>
  <c r="AT22" i="34"/>
  <c r="AT23" i="34"/>
  <c r="BD22" i="34"/>
  <c r="BD23" i="34"/>
  <c r="AW22" i="34"/>
  <c r="AW23" i="34"/>
  <c r="BA22" i="34"/>
  <c r="BA23" i="34"/>
  <c r="AU22" i="34"/>
  <c r="AU23" i="34"/>
  <c r="AX22" i="34"/>
  <c r="AX23" i="34"/>
  <c r="AF22" i="34"/>
  <c r="AF23" i="34"/>
  <c r="AS22" i="34"/>
  <c r="AS23" i="34"/>
  <c r="AG22" i="34"/>
  <c r="AG23" i="34"/>
  <c r="BF22" i="34"/>
  <c r="BF23" i="34"/>
  <c r="AK22" i="34"/>
  <c r="AK23" i="34"/>
  <c r="AR22" i="34"/>
  <c r="AR23" i="34"/>
  <c r="AH22" i="34"/>
  <c r="AH23" i="34"/>
  <c r="CG12" i="34"/>
  <c r="BX14" i="36" s="1"/>
  <c r="BY15" i="36"/>
  <c r="BY20" i="36" s="1"/>
  <c r="BY21" i="36" s="1"/>
  <c r="G17" i="32"/>
  <c r="G24" i="32"/>
  <c r="G10" i="32"/>
  <c r="G37" i="32"/>
  <c r="G23" i="32"/>
  <c r="G38" i="32"/>
  <c r="G29" i="32"/>
  <c r="G30" i="32"/>
  <c r="G25" i="32"/>
  <c r="G22" i="32"/>
  <c r="G35" i="32"/>
  <c r="G36" i="32"/>
  <c r="CH19" i="34"/>
  <c r="AE15" i="34"/>
  <c r="BH13" i="34"/>
  <c r="AJ15" i="34"/>
  <c r="BH10" i="34"/>
  <c r="BH11" i="34" s="1"/>
  <c r="BH22" i="34" l="1"/>
  <c r="BH23" i="34"/>
  <c r="CH12" i="34"/>
  <c r="BY14" i="36" s="1"/>
  <c r="BI10" i="34"/>
  <c r="BI11" i="34" s="1"/>
  <c r="BI13" i="34"/>
  <c r="BI14" i="34"/>
  <c r="BI15" i="34" s="1"/>
  <c r="BI22" i="34" l="1"/>
  <c r="BI23" i="34"/>
  <c r="BJ14" i="34"/>
  <c r="BJ15" i="34" s="1"/>
  <c r="BJ10" i="34"/>
  <c r="BJ11" i="34" s="1"/>
  <c r="BJ13" i="34"/>
  <c r="BJ22" i="34" l="1"/>
  <c r="BJ23" i="34"/>
  <c r="BK13" i="34"/>
  <c r="BK14" i="34"/>
  <c r="BK15" i="34" s="1"/>
  <c r="BK10" i="34"/>
  <c r="BK11" i="34" s="1"/>
  <c r="BK22" i="34" l="1"/>
  <c r="BK23" i="34"/>
  <c r="BL14" i="34"/>
  <c r="BL15" i="34" s="1"/>
  <c r="BL10" i="34"/>
  <c r="BL11" i="34" s="1"/>
  <c r="BL13" i="34"/>
  <c r="BL22" i="34" l="1"/>
  <c r="BL23" i="34"/>
  <c r="BM13" i="34"/>
  <c r="BM14" i="34"/>
  <c r="BM15" i="34" s="1"/>
  <c r="BM10" i="34"/>
  <c r="BM11" i="34" s="1"/>
  <c r="BM22" i="34" l="1"/>
  <c r="BM23" i="34"/>
  <c r="BN14" i="34"/>
  <c r="BN15" i="34" s="1"/>
  <c r="BN10" i="34"/>
  <c r="BN11" i="34" s="1"/>
  <c r="BN13" i="34"/>
  <c r="BN22" i="34" l="1"/>
  <c r="BN23" i="34"/>
  <c r="BO14" i="34"/>
  <c r="BO15" i="34" s="1"/>
  <c r="BO13" i="34"/>
  <c r="BO10" i="34"/>
  <c r="BO11" i="34" s="1"/>
  <c r="BO22" i="34" l="1"/>
  <c r="BO23" i="34"/>
  <c r="BP14" i="34"/>
  <c r="BP15" i="34" s="1"/>
  <c r="BP13" i="34"/>
  <c r="BP10" i="34"/>
  <c r="BP11" i="34" s="1"/>
  <c r="BP22" i="34" l="1"/>
  <c r="BP23" i="34"/>
  <c r="BQ10" i="34"/>
  <c r="BQ11" i="34" s="1"/>
  <c r="BQ13" i="34"/>
  <c r="BQ14" i="34"/>
  <c r="BQ15" i="34" s="1"/>
  <c r="BQ22" i="34" l="1"/>
  <c r="BQ23" i="34"/>
  <c r="BR10" i="34"/>
  <c r="BR11" i="34" s="1"/>
  <c r="BR13" i="34"/>
  <c r="BR14" i="34"/>
  <c r="BR15" i="34" s="1"/>
  <c r="BR22" i="34" l="1"/>
  <c r="BR23" i="34"/>
  <c r="BS14" i="34"/>
  <c r="BS15" i="34" s="1"/>
  <c r="BS10" i="34"/>
  <c r="BS11" i="34" s="1"/>
  <c r="BS13" i="34"/>
  <c r="BS22" i="34" l="1"/>
  <c r="BS23" i="34"/>
  <c r="BT10" i="34"/>
  <c r="BT11" i="34" s="1"/>
  <c r="BT14" i="34"/>
  <c r="BT15" i="34" s="1"/>
  <c r="BT13" i="34"/>
  <c r="BT22" i="34" l="1"/>
  <c r="BT23" i="34"/>
  <c r="BU10" i="34"/>
  <c r="BU11" i="34" s="1"/>
  <c r="BU13" i="34"/>
  <c r="BU14" i="34"/>
  <c r="BU15" i="34" s="1"/>
  <c r="BU22" i="34" l="1"/>
  <c r="BU23" i="34"/>
  <c r="BV10" i="34"/>
  <c r="BV11" i="34" s="1"/>
  <c r="BV14" i="34"/>
  <c r="BV15" i="34" s="1"/>
  <c r="BV13" i="34"/>
  <c r="BV22" i="34" l="1"/>
  <c r="BV23" i="34"/>
  <c r="BW14" i="34"/>
  <c r="BW15" i="34" s="1"/>
  <c r="BW13" i="34"/>
  <c r="BW10" i="34"/>
  <c r="BW11" i="34" s="1"/>
  <c r="BW22" i="34" l="1"/>
  <c r="BW23" i="34"/>
  <c r="BX13" i="34"/>
  <c r="BX14" i="34"/>
  <c r="BX15" i="34" s="1"/>
  <c r="BX10" i="34"/>
  <c r="BX11" i="34" s="1"/>
  <c r="BX22" i="34" l="1"/>
  <c r="BX23" i="34"/>
  <c r="BY14" i="34"/>
  <c r="BY15" i="34" s="1"/>
  <c r="BY10" i="34"/>
  <c r="BY11" i="34" s="1"/>
  <c r="BY13" i="34"/>
  <c r="BY22" i="34" l="1"/>
  <c r="BY23" i="34"/>
  <c r="BZ10" i="34"/>
  <c r="BZ11" i="34" s="1"/>
  <c r="BZ13" i="34"/>
  <c r="BZ14" i="34"/>
  <c r="BZ15" i="34" s="1"/>
  <c r="BZ22" i="34" l="1"/>
  <c r="BZ23" i="34"/>
  <c r="CA14" i="34"/>
  <c r="CA15" i="34" s="1"/>
  <c r="CA13" i="34"/>
  <c r="CA10" i="34"/>
  <c r="CA11" i="34" s="1"/>
  <c r="CA22" i="34" l="1"/>
  <c r="CA23" i="34"/>
  <c r="CB13" i="34"/>
  <c r="CB10" i="34"/>
  <c r="CB11" i="34" s="1"/>
  <c r="CB14" i="34"/>
  <c r="CB15" i="34" s="1"/>
  <c r="CB22" i="34" l="1"/>
  <c r="CB23" i="34"/>
  <c r="CC13" i="34"/>
  <c r="CC10" i="34"/>
  <c r="CC11" i="34" s="1"/>
  <c r="CC14" i="34"/>
  <c r="CC15" i="34" s="1"/>
  <c r="CC22" i="34" l="1"/>
  <c r="CC23" i="34"/>
  <c r="CD10" i="34"/>
  <c r="CD11" i="34" s="1"/>
  <c r="CD13" i="34"/>
  <c r="CD14" i="34"/>
  <c r="CD15" i="34" s="1"/>
  <c r="CD22" i="34" l="1"/>
  <c r="CD23" i="34"/>
  <c r="CE13" i="34"/>
  <c r="CE14" i="34"/>
  <c r="CE15" i="34" s="1"/>
  <c r="CE10" i="34"/>
  <c r="CE11" i="34" s="1"/>
  <c r="CE22" i="34" l="1"/>
  <c r="CE23" i="34"/>
  <c r="CF13" i="34"/>
  <c r="CF10" i="34"/>
  <c r="CF11" i="34" s="1"/>
  <c r="CF14" i="34"/>
  <c r="CF15" i="34" s="1"/>
  <c r="CF22" i="34" l="1"/>
  <c r="CF23" i="34"/>
  <c r="CG13" i="34"/>
  <c r="CG10" i="34"/>
  <c r="CG11" i="34" s="1"/>
  <c r="CG14" i="34"/>
  <c r="CG15" i="34" s="1"/>
  <c r="CG22" i="34" l="1"/>
  <c r="CG23" i="34"/>
  <c r="CH10" i="34"/>
  <c r="CH11" i="34" s="1"/>
  <c r="CH13" i="34"/>
  <c r="CH14" i="34"/>
  <c r="CH22" i="34" l="1"/>
  <c r="CH23" i="34"/>
  <c r="D5" i="32"/>
  <c r="F5" i="32" s="1"/>
  <c r="D6" i="32"/>
  <c r="F6" i="32" s="1"/>
  <c r="CH15" i="34"/>
  <c r="CH20" i="34" l="1"/>
  <c r="CH21" i="34" s="1"/>
  <c r="CH38" i="34" l="1"/>
  <c r="BY16" i="36"/>
  <c r="BY26" i="36" l="1"/>
  <c r="BY27" i="36" s="1"/>
  <c r="BY24" i="36"/>
  <c r="BY22" i="36"/>
  <c r="BY23" i="36" s="1"/>
  <c r="BY25" i="36" l="1"/>
  <c r="BY33" i="36" s="1"/>
  <c r="BY32" i="36"/>
  <c r="CG20" i="34" l="1"/>
  <c r="CG21" i="34" s="1"/>
  <c r="CH24" i="34"/>
  <c r="CG38" i="34" l="1"/>
  <c r="BX16" i="36"/>
  <c r="BX24" i="36" l="1"/>
  <c r="BX26" i="36"/>
  <c r="BX27" i="36" s="1"/>
  <c r="BX22" i="36"/>
  <c r="BX23" i="36" s="1"/>
  <c r="BX32" i="36" l="1"/>
  <c r="BX25" i="36"/>
  <c r="BX33" i="36" s="1"/>
  <c r="CF20" i="34" l="1"/>
  <c r="CF21" i="34" s="1"/>
  <c r="CG24" i="34"/>
  <c r="CF38" i="34" l="1"/>
  <c r="BW16" i="36"/>
  <c r="BW24" i="36" l="1"/>
  <c r="BW26" i="36"/>
  <c r="BW27" i="36" s="1"/>
  <c r="BW22" i="36"/>
  <c r="BW23" i="36" s="1"/>
  <c r="BW25" i="36" l="1"/>
  <c r="BW33" i="36" s="1"/>
  <c r="BW32" i="36"/>
  <c r="CE20" i="34" l="1"/>
  <c r="CE21" i="34" s="1"/>
  <c r="CF24" i="34"/>
  <c r="CE38" i="34" l="1"/>
  <c r="BV16" i="36"/>
  <c r="BV24" i="36" l="1"/>
  <c r="BV26" i="36"/>
  <c r="BV27" i="36" s="1"/>
  <c r="BV22" i="36"/>
  <c r="BV23" i="36" s="1"/>
  <c r="BV25" i="36" l="1"/>
  <c r="CE24" i="34" s="1"/>
  <c r="BV32" i="36"/>
  <c r="CD20" i="34" l="1"/>
  <c r="CD21" i="34" s="1"/>
  <c r="BV33" i="36"/>
  <c r="CD38" i="34" l="1"/>
  <c r="BU16" i="36"/>
  <c r="BU24" i="36" l="1"/>
  <c r="BU25" i="36" s="1"/>
  <c r="BU26" i="36"/>
  <c r="BU27" i="36" s="1"/>
  <c r="BU22" i="36"/>
  <c r="BU23" i="36" s="1"/>
  <c r="BU32" i="36" l="1"/>
  <c r="BU33" i="36"/>
  <c r="CD24" i="34"/>
  <c r="CC20" i="34" l="1"/>
  <c r="CC21" i="34" s="1"/>
  <c r="CC38" i="34" l="1"/>
  <c r="BT16" i="36"/>
  <c r="BT24" i="36" l="1"/>
  <c r="BT26" i="36"/>
  <c r="BT27" i="36" s="1"/>
  <c r="BT22" i="36"/>
  <c r="BT23" i="36" s="1"/>
  <c r="BT25" i="36" l="1"/>
  <c r="BT33" i="36" s="1"/>
  <c r="BT32" i="36"/>
  <c r="CC24" i="34" l="1"/>
  <c r="CB20" i="34" l="1"/>
  <c r="CB21" i="34" s="1"/>
  <c r="CB38" i="34" l="1"/>
  <c r="C12" i="34"/>
  <c r="D12" i="34" s="1"/>
  <c r="E12" i="34"/>
  <c r="BS16" i="36"/>
  <c r="BS24" i="36" l="1"/>
  <c r="BS26" i="36"/>
  <c r="BS27" i="36" s="1"/>
  <c r="BS22" i="36"/>
  <c r="BS23" i="36" s="1"/>
  <c r="BS25" i="36" l="1"/>
  <c r="BS33" i="36" s="1"/>
  <c r="BS32" i="36"/>
  <c r="CB24" i="34" l="1"/>
  <c r="CA20" i="34" l="1"/>
  <c r="CA21" i="34" s="1"/>
  <c r="CA38" i="34" l="1"/>
  <c r="BR16" i="36"/>
  <c r="BR24" i="36" l="1"/>
  <c r="BR26" i="36"/>
  <c r="BR27" i="36" s="1"/>
  <c r="BR22" i="36"/>
  <c r="BR23" i="36" s="1"/>
  <c r="BR25" i="36" l="1"/>
  <c r="BR33" i="36" s="1"/>
  <c r="BR32" i="36"/>
  <c r="CA24" i="34" l="1"/>
  <c r="BZ20" i="34" l="1"/>
  <c r="BZ21" i="34" s="1"/>
  <c r="BZ38" i="34" l="1"/>
  <c r="BQ16" i="36"/>
  <c r="BQ24" i="36" l="1"/>
  <c r="BQ26" i="36"/>
  <c r="BQ27" i="36" s="1"/>
  <c r="BQ22" i="36"/>
  <c r="BQ23" i="36" s="1"/>
  <c r="BQ25" i="36" l="1"/>
  <c r="BQ33" i="36" s="1"/>
  <c r="BQ32" i="36"/>
  <c r="BZ24" i="34" l="1"/>
  <c r="BY20" i="34" l="1"/>
  <c r="BY21" i="34" s="1"/>
  <c r="BY38" i="34" l="1"/>
  <c r="BP16" i="36"/>
  <c r="BP24" i="36" l="1"/>
  <c r="BP26" i="36"/>
  <c r="BP27" i="36" s="1"/>
  <c r="BP22" i="36"/>
  <c r="BP23" i="36" s="1"/>
  <c r="BP25" i="36" l="1"/>
  <c r="BP33" i="36" s="1"/>
  <c r="BP32" i="36"/>
  <c r="BY24" i="34" l="1"/>
  <c r="BX20" i="34" l="1"/>
  <c r="BX21" i="34" s="1"/>
  <c r="BX38" i="34" l="1"/>
  <c r="BO16" i="36"/>
  <c r="BO24" i="36" l="1"/>
  <c r="BO26" i="36"/>
  <c r="BO27" i="36" s="1"/>
  <c r="BO22" i="36"/>
  <c r="BO23" i="36" s="1"/>
  <c r="BO25" i="36" l="1"/>
  <c r="BO33" i="36" s="1"/>
  <c r="BO32" i="36"/>
  <c r="BX24" i="34" l="1"/>
  <c r="BW20" i="34" l="1"/>
  <c r="BW21" i="34" s="1"/>
  <c r="BW38" i="34" l="1"/>
  <c r="BN16" i="36"/>
  <c r="BN24" i="36" l="1"/>
  <c r="BN26" i="36"/>
  <c r="BN27" i="36" s="1"/>
  <c r="BN22" i="36"/>
  <c r="BN23" i="36" s="1"/>
  <c r="BN25" i="36" l="1"/>
  <c r="BN33" i="36" s="1"/>
  <c r="BN32" i="36"/>
  <c r="BW24" i="34" l="1"/>
  <c r="BV20" i="34" l="1"/>
  <c r="BV21" i="34" s="1"/>
  <c r="BV38" i="34" l="1"/>
  <c r="BM16" i="36"/>
  <c r="BM24" i="36" l="1"/>
  <c r="BM26" i="36"/>
  <c r="BM27" i="36" s="1"/>
  <c r="BM22" i="36"/>
  <c r="BM23" i="36" s="1"/>
  <c r="BM25" i="36" l="1"/>
  <c r="BM33" i="36" s="1"/>
  <c r="BM32" i="36"/>
  <c r="BV24" i="34" l="1"/>
  <c r="BU20" i="34" l="1"/>
  <c r="BU21" i="34" s="1"/>
  <c r="BU38" i="34" l="1"/>
  <c r="BL16" i="36"/>
  <c r="BL24" i="36" l="1"/>
  <c r="BL26" i="36"/>
  <c r="BL27" i="36" s="1"/>
  <c r="BL22" i="36"/>
  <c r="BL23" i="36" s="1"/>
  <c r="BL25" i="36" l="1"/>
  <c r="BL33" i="36" s="1"/>
  <c r="BL32" i="36"/>
  <c r="BU24" i="34" l="1"/>
  <c r="BT20" i="34" l="1"/>
  <c r="BT21" i="34" s="1"/>
  <c r="BT38" i="34" l="1"/>
  <c r="BK16" i="36"/>
  <c r="BK24" i="36" l="1"/>
  <c r="BK26" i="36"/>
  <c r="BK27" i="36" s="1"/>
  <c r="BK22" i="36"/>
  <c r="BK23" i="36" s="1"/>
  <c r="BK25" i="36" l="1"/>
  <c r="BK33" i="36" s="1"/>
  <c r="BK32" i="36"/>
  <c r="BS20" i="34" l="1"/>
  <c r="BS21" i="34" s="1"/>
  <c r="BT24" i="34"/>
  <c r="BS38" i="34" l="1"/>
  <c r="BJ16" i="36"/>
  <c r="BJ24" i="36" l="1"/>
  <c r="BJ26" i="36"/>
  <c r="BJ27" i="36" s="1"/>
  <c r="BJ22" i="36"/>
  <c r="BJ23" i="36" s="1"/>
  <c r="BJ25" i="36" l="1"/>
  <c r="BJ33" i="36" s="1"/>
  <c r="BJ32" i="36"/>
  <c r="BS24" i="34" l="1"/>
  <c r="BR20" i="34" l="1"/>
  <c r="BR21" i="34" s="1"/>
  <c r="BR38" i="34" l="1"/>
  <c r="C11" i="34"/>
  <c r="D11" i="34" s="1"/>
  <c r="E11" i="34"/>
  <c r="BI16" i="36"/>
  <c r="BI24" i="36" l="1"/>
  <c r="BI26" i="36"/>
  <c r="BI27" i="36" s="1"/>
  <c r="BI22" i="36"/>
  <c r="BI23" i="36" s="1"/>
  <c r="BI25" i="36" l="1"/>
  <c r="BI33" i="36" s="1"/>
  <c r="BI32" i="36"/>
  <c r="BR24" i="34" l="1"/>
  <c r="BQ20" i="34" l="1"/>
  <c r="BQ21" i="34" s="1"/>
  <c r="BQ38" i="34" l="1"/>
  <c r="BH16" i="36"/>
  <c r="BH24" i="36" l="1"/>
  <c r="BH26" i="36"/>
  <c r="BH27" i="36" s="1"/>
  <c r="BH22" i="36"/>
  <c r="BH23" i="36" s="1"/>
  <c r="BH25" i="36" l="1"/>
  <c r="BH33" i="36" s="1"/>
  <c r="BH32" i="36"/>
  <c r="BP20" i="34" l="1"/>
  <c r="BP21" i="34" s="1"/>
  <c r="BQ24" i="34"/>
  <c r="BP38" i="34" l="1"/>
  <c r="BG16" i="36"/>
  <c r="BG24" i="36" l="1"/>
  <c r="BG26" i="36"/>
  <c r="BG27" i="36" s="1"/>
  <c r="BG22" i="36"/>
  <c r="BG23" i="36" s="1"/>
  <c r="BG25" i="36" l="1"/>
  <c r="BG33" i="36" s="1"/>
  <c r="BG32" i="36"/>
  <c r="BO20" i="34" l="1"/>
  <c r="BO21" i="34" s="1"/>
  <c r="BP24" i="34"/>
  <c r="BO38" i="34" l="1"/>
  <c r="BF16" i="36"/>
  <c r="BF24" i="36" l="1"/>
  <c r="BF26" i="36"/>
  <c r="BF27" i="36" s="1"/>
  <c r="BF22" i="36"/>
  <c r="BF23" i="36" s="1"/>
  <c r="BF25" i="36" l="1"/>
  <c r="BF33" i="36" s="1"/>
  <c r="BF32" i="36"/>
  <c r="BN20" i="34" l="1"/>
  <c r="BN21" i="34" s="1"/>
  <c r="BO24" i="34"/>
  <c r="BN38" i="34" l="1"/>
  <c r="BE16" i="36"/>
  <c r="BE24" i="36" l="1"/>
  <c r="BE26" i="36"/>
  <c r="BE27" i="36" s="1"/>
  <c r="BE22" i="36"/>
  <c r="BE23" i="36" s="1"/>
  <c r="BE25" i="36" l="1"/>
  <c r="BE33" i="36" s="1"/>
  <c r="BE32" i="36"/>
  <c r="BN24" i="34" l="1"/>
  <c r="BM20" i="34" l="1"/>
  <c r="BM21" i="34" s="1"/>
  <c r="BM38" i="34" l="1"/>
  <c r="BD16" i="36"/>
  <c r="BD24" i="36" l="1"/>
  <c r="BD26" i="36"/>
  <c r="BD27" i="36" s="1"/>
  <c r="BD22" i="36"/>
  <c r="BD23" i="36" s="1"/>
  <c r="BD25" i="36" l="1"/>
  <c r="BD33" i="36" s="1"/>
  <c r="BD32" i="36"/>
  <c r="BM24" i="34" l="1"/>
  <c r="BL20" i="34" l="1"/>
  <c r="BL21" i="34" s="1"/>
  <c r="BL38" i="34" l="1"/>
  <c r="BC16" i="36"/>
  <c r="BC24" i="36" l="1"/>
  <c r="BC26" i="36"/>
  <c r="BC27" i="36" s="1"/>
  <c r="BC22" i="36"/>
  <c r="BC23" i="36" s="1"/>
  <c r="BC25" i="36" l="1"/>
  <c r="BC33" i="36" s="1"/>
  <c r="BC32" i="36"/>
  <c r="BL24" i="34" l="1"/>
  <c r="BK20" i="34" l="1"/>
  <c r="BK21" i="34" s="1"/>
  <c r="BK38" i="34" l="1"/>
  <c r="BB16" i="36"/>
  <c r="BB24" i="36" l="1"/>
  <c r="BB26" i="36"/>
  <c r="BB27" i="36" s="1"/>
  <c r="BB22" i="36"/>
  <c r="BB23" i="36" s="1"/>
  <c r="BB32" i="36" l="1"/>
  <c r="BB25" i="36"/>
  <c r="BK24" i="34" s="1"/>
  <c r="BB33" i="36" l="1"/>
  <c r="BJ20" i="34" l="1"/>
  <c r="BJ21" i="34" s="1"/>
  <c r="BJ38" i="34" l="1"/>
  <c r="BA16" i="36"/>
  <c r="BA24" i="36" l="1"/>
  <c r="BA26" i="36"/>
  <c r="BA27" i="36" s="1"/>
  <c r="BA22" i="36"/>
  <c r="BA23" i="36" s="1"/>
  <c r="BA25" i="36" l="1"/>
  <c r="BA33" i="36" s="1"/>
  <c r="BA32" i="36"/>
  <c r="BJ24" i="34" l="1"/>
  <c r="BI20" i="34" l="1"/>
  <c r="BI21" i="34" s="1"/>
  <c r="BI38" i="34" l="1"/>
  <c r="AZ16" i="36"/>
  <c r="AZ24" i="36" l="1"/>
  <c r="AZ26" i="36"/>
  <c r="AZ27" i="36" s="1"/>
  <c r="AZ22" i="36"/>
  <c r="AZ23" i="36" s="1"/>
  <c r="AZ32" i="36" l="1"/>
  <c r="AZ25" i="36"/>
  <c r="BI24" i="34" s="1"/>
  <c r="AZ33" i="36" l="1"/>
  <c r="BH20" i="34" l="1"/>
  <c r="BH21" i="34" s="1"/>
  <c r="E10" i="34" l="1"/>
  <c r="BH38" i="34"/>
  <c r="C10" i="34"/>
  <c r="D10" i="34" s="1"/>
  <c r="AY16" i="36"/>
  <c r="AY24" i="36" l="1"/>
  <c r="AY26" i="36"/>
  <c r="AY27" i="36" s="1"/>
  <c r="AY22" i="36"/>
  <c r="AY23" i="36" s="1"/>
  <c r="AY25" i="36" l="1"/>
  <c r="AY33" i="36" s="1"/>
  <c r="AY32" i="36"/>
  <c r="BH24" i="34" l="1"/>
  <c r="BG20" i="34" l="1"/>
  <c r="BG21" i="34" s="1"/>
  <c r="BG38" i="34" l="1"/>
  <c r="AX16" i="36"/>
  <c r="AX24" i="36" l="1"/>
  <c r="AX26" i="36"/>
  <c r="AX27" i="36" s="1"/>
  <c r="AX22" i="36"/>
  <c r="AX23" i="36" s="1"/>
  <c r="AX32" i="36" l="1"/>
  <c r="AX25" i="36"/>
  <c r="BG24" i="34" s="1"/>
  <c r="AX33" i="36" l="1"/>
  <c r="BF20" i="34" l="1"/>
  <c r="BF21" i="34" s="1"/>
  <c r="BF38" i="34" l="1"/>
  <c r="AW16" i="36"/>
  <c r="AW24" i="36" l="1"/>
  <c r="AW26" i="36"/>
  <c r="AW27" i="36" s="1"/>
  <c r="AW22" i="36"/>
  <c r="AW23" i="36" s="1"/>
  <c r="AW25" i="36" l="1"/>
  <c r="BF24" i="34" s="1"/>
  <c r="AW32" i="36"/>
  <c r="AW33" i="36" l="1"/>
  <c r="BE20" i="34" l="1"/>
  <c r="BE21" i="34" s="1"/>
  <c r="BE38" i="34" l="1"/>
  <c r="AV16" i="36"/>
  <c r="AV24" i="36" l="1"/>
  <c r="AV26" i="36"/>
  <c r="AV27" i="36" s="1"/>
  <c r="AV22" i="36"/>
  <c r="AV23" i="36" s="1"/>
  <c r="AV25" i="36" l="1"/>
  <c r="AV33" i="36" s="1"/>
  <c r="AV32" i="36"/>
  <c r="BE24" i="34" l="1"/>
  <c r="BD20" i="34" l="1"/>
  <c r="BD21" i="34" s="1"/>
  <c r="BD38" i="34" l="1"/>
  <c r="AU16" i="36"/>
  <c r="AU24" i="36" l="1"/>
  <c r="AU26" i="36"/>
  <c r="AU27" i="36" s="1"/>
  <c r="AU22" i="36"/>
  <c r="AU23" i="36" s="1"/>
  <c r="AU25" i="36" l="1"/>
  <c r="AU33" i="36" s="1"/>
  <c r="AU32" i="36"/>
  <c r="BD24" i="34" l="1"/>
  <c r="BC20" i="34" l="1"/>
  <c r="BC21" i="34" s="1"/>
  <c r="BC38" i="34" l="1"/>
  <c r="AT16" i="36"/>
  <c r="AT24" i="36" l="1"/>
  <c r="AT26" i="36"/>
  <c r="AT27" i="36" s="1"/>
  <c r="AT22" i="36"/>
  <c r="AT23" i="36" s="1"/>
  <c r="AT25" i="36" l="1"/>
  <c r="AT33" i="36" s="1"/>
  <c r="AT32" i="36"/>
  <c r="BC24" i="34" l="1"/>
  <c r="BB20" i="34" l="1"/>
  <c r="BB21" i="34" s="1"/>
  <c r="BB38" i="34" l="1"/>
  <c r="AS16" i="36"/>
  <c r="AS24" i="36" l="1"/>
  <c r="AS26" i="36"/>
  <c r="AS27" i="36" s="1"/>
  <c r="AS22" i="36"/>
  <c r="AS23" i="36" s="1"/>
  <c r="AS25" i="36" l="1"/>
  <c r="AS33" i="36" s="1"/>
  <c r="AS32" i="36"/>
  <c r="BB24" i="34" l="1"/>
  <c r="BA20" i="34" l="1"/>
  <c r="BA21" i="34" s="1"/>
  <c r="BA38" i="34" l="1"/>
  <c r="AR16" i="36"/>
  <c r="AR24" i="36" l="1"/>
  <c r="AR26" i="36"/>
  <c r="AR22" i="36"/>
  <c r="AR23" i="36" s="1"/>
  <c r="AR27" i="36"/>
  <c r="AR25" i="36" l="1"/>
  <c r="BA24" i="34" s="1"/>
  <c r="AR32" i="36"/>
  <c r="AR33" i="36" l="1"/>
  <c r="AZ20" i="34" l="1"/>
  <c r="AZ21" i="34" s="1"/>
  <c r="AZ38" i="34" l="1"/>
  <c r="AQ16" i="36"/>
  <c r="AQ24" i="36" l="1"/>
  <c r="AQ26" i="36"/>
  <c r="AQ27" i="36" s="1"/>
  <c r="AQ22" i="36"/>
  <c r="AQ23" i="36" s="1"/>
  <c r="AQ25" i="36" l="1"/>
  <c r="AZ24" i="34" s="1"/>
  <c r="AQ32" i="36"/>
  <c r="AQ33" i="36" l="1"/>
  <c r="AY20" i="34" l="1"/>
  <c r="AY21" i="34" s="1"/>
  <c r="AY38" i="34" l="1"/>
  <c r="AP16" i="36"/>
  <c r="AP24" i="36" l="1"/>
  <c r="AP26" i="36"/>
  <c r="AP27" i="36" s="1"/>
  <c r="AP22" i="36"/>
  <c r="AP23" i="36" s="1"/>
  <c r="AP25" i="36" l="1"/>
  <c r="AY24" i="34" s="1"/>
  <c r="AP32" i="36"/>
  <c r="AP33" i="36" l="1"/>
  <c r="AX20" i="34" l="1"/>
  <c r="AX21" i="34" s="1"/>
  <c r="AX38" i="34" l="1"/>
  <c r="C9" i="34"/>
  <c r="D9" i="34" s="1"/>
  <c r="E9" i="34"/>
  <c r="AO16" i="36"/>
  <c r="AO24" i="36" l="1"/>
  <c r="AO26" i="36"/>
  <c r="AO27" i="36" s="1"/>
  <c r="AO22" i="36"/>
  <c r="AO23" i="36" s="1"/>
  <c r="AO25" i="36" l="1"/>
  <c r="AX24" i="34" s="1"/>
  <c r="AO32" i="36"/>
  <c r="AO33" i="36" l="1"/>
  <c r="AW20" i="34" l="1"/>
  <c r="AW21" i="34" s="1"/>
  <c r="AW38" i="34" l="1"/>
  <c r="AN16" i="36"/>
  <c r="AN24" i="36" l="1"/>
  <c r="AN26" i="36"/>
  <c r="AN27" i="36" s="1"/>
  <c r="AN22" i="36"/>
  <c r="AN23" i="36" s="1"/>
  <c r="AN25" i="36" l="1"/>
  <c r="AN33" i="36" s="1"/>
  <c r="AN32" i="36"/>
  <c r="AW24" i="34" l="1"/>
  <c r="AV20" i="34" l="1"/>
  <c r="AV21" i="34" s="1"/>
  <c r="AV38" i="34" l="1"/>
  <c r="AM16" i="36"/>
  <c r="AM24" i="36" l="1"/>
  <c r="AM26" i="36"/>
  <c r="AM27" i="36" s="1"/>
  <c r="AM22" i="36"/>
  <c r="AM23" i="36" s="1"/>
  <c r="AM32" i="36" l="1"/>
  <c r="AM25" i="36"/>
  <c r="AV24" i="34" s="1"/>
  <c r="AM33" i="36" l="1"/>
  <c r="AU20" i="34" l="1"/>
  <c r="AU21" i="34" s="1"/>
  <c r="AU38" i="34" l="1"/>
  <c r="AL16" i="36"/>
  <c r="AL24" i="36" l="1"/>
  <c r="AL26" i="36"/>
  <c r="AL27" i="36" s="1"/>
  <c r="AL22" i="36"/>
  <c r="AL23" i="36" s="1"/>
  <c r="AL25" i="36" l="1"/>
  <c r="AL33" i="36" s="1"/>
  <c r="AL32" i="36"/>
  <c r="AU24" i="34" l="1"/>
  <c r="AT20" i="34" l="1"/>
  <c r="AT21" i="34" s="1"/>
  <c r="AT38" i="34" l="1"/>
  <c r="AK16" i="36"/>
  <c r="AK24" i="36" l="1"/>
  <c r="AK26" i="36"/>
  <c r="AK27" i="36" s="1"/>
  <c r="AK22" i="36"/>
  <c r="AK23" i="36" s="1"/>
  <c r="AK25" i="36" l="1"/>
  <c r="AK33" i="36" s="1"/>
  <c r="AK32" i="36"/>
  <c r="AT24" i="34" l="1"/>
  <c r="AS20" i="34" l="1"/>
  <c r="AS21" i="34" s="1"/>
  <c r="AS38" i="34" l="1"/>
  <c r="AJ16" i="36"/>
  <c r="AJ24" i="36" l="1"/>
  <c r="AJ26" i="36"/>
  <c r="AJ27" i="36" s="1"/>
  <c r="AJ22" i="36"/>
  <c r="AJ23" i="36" s="1"/>
  <c r="AJ25" i="36" l="1"/>
  <c r="AS24" i="34" s="1"/>
  <c r="AJ32" i="36"/>
  <c r="AJ33" i="36" l="1"/>
  <c r="AR20" i="34" l="1"/>
  <c r="AR21" i="34" s="1"/>
  <c r="AR38" i="34" l="1"/>
  <c r="AI16" i="36"/>
  <c r="AI24" i="36" l="1"/>
  <c r="AI26" i="36"/>
  <c r="AI27" i="36" s="1"/>
  <c r="AI22" i="36"/>
  <c r="AI23" i="36" s="1"/>
  <c r="AI25" i="36" l="1"/>
  <c r="AR24" i="34" s="1"/>
  <c r="AI32" i="36"/>
  <c r="AI33" i="36" l="1"/>
  <c r="AQ20" i="34" l="1"/>
  <c r="AQ21" i="34" s="1"/>
  <c r="AQ38" i="34" l="1"/>
  <c r="AH16" i="36"/>
  <c r="AH24" i="36" l="1"/>
  <c r="AH26" i="36"/>
  <c r="AH27" i="36" s="1"/>
  <c r="AH22" i="36"/>
  <c r="AH23" i="36" s="1"/>
  <c r="AH25" i="36" l="1"/>
  <c r="AH33" i="36" s="1"/>
  <c r="AH32" i="36"/>
  <c r="AQ24" i="34" l="1"/>
  <c r="AP20" i="34" l="1"/>
  <c r="AP21" i="34" s="1"/>
  <c r="AP38" i="34" l="1"/>
  <c r="AG16" i="36"/>
  <c r="AG24" i="36" l="1"/>
  <c r="AG26" i="36"/>
  <c r="AG27" i="36" s="1"/>
  <c r="AG22" i="36"/>
  <c r="AG23" i="36" s="1"/>
  <c r="AG25" i="36" l="1"/>
  <c r="AG33" i="36" s="1"/>
  <c r="AG32" i="36"/>
  <c r="AP24" i="34" l="1"/>
  <c r="AO20" i="34" l="1"/>
  <c r="AO21" i="34" s="1"/>
  <c r="AO38" i="34" l="1"/>
  <c r="AF16" i="36"/>
  <c r="AF24" i="36" l="1"/>
  <c r="AF26" i="36"/>
  <c r="AF27" i="36" s="1"/>
  <c r="AF22" i="36"/>
  <c r="AF23" i="36" s="1"/>
  <c r="AF25" i="36" l="1"/>
  <c r="AF33" i="36" s="1"/>
  <c r="AF32" i="36"/>
  <c r="AO24" i="34" l="1"/>
  <c r="AN20" i="34" l="1"/>
  <c r="AN21" i="34" s="1"/>
  <c r="AN38" i="34" l="1"/>
  <c r="C8" i="34"/>
  <c r="D8" i="34" s="1"/>
  <c r="E8" i="34"/>
  <c r="AE16" i="36"/>
  <c r="AE24" i="36" l="1"/>
  <c r="AE26" i="36"/>
  <c r="AE27" i="36" s="1"/>
  <c r="AE22" i="36"/>
  <c r="AE23" i="36" s="1"/>
  <c r="AE25" i="36" l="1"/>
  <c r="AN24" i="34" s="1"/>
  <c r="AE32" i="36"/>
  <c r="AE33" i="36" l="1"/>
  <c r="AM20" i="34" l="1"/>
  <c r="AM21" i="34" s="1"/>
  <c r="AM38" i="34" l="1"/>
  <c r="AD16" i="36"/>
  <c r="AD24" i="36" l="1"/>
  <c r="AD26" i="36"/>
  <c r="AD27" i="36" s="1"/>
  <c r="AD22" i="36"/>
  <c r="AD23" i="36" s="1"/>
  <c r="AD25" i="36" l="1"/>
  <c r="AD33" i="36" s="1"/>
  <c r="AD32" i="36"/>
  <c r="AM24" i="34" l="1"/>
  <c r="AL20" i="34" l="1"/>
  <c r="AL21" i="34" s="1"/>
  <c r="AL38" i="34" l="1"/>
  <c r="AC16" i="36"/>
  <c r="AC24" i="36" l="1"/>
  <c r="AC26" i="36"/>
  <c r="AC27" i="36" s="1"/>
  <c r="AC22" i="36"/>
  <c r="AC23" i="36" s="1"/>
  <c r="AC25" i="36" l="1"/>
  <c r="AC33" i="36" s="1"/>
  <c r="AC32" i="36"/>
  <c r="AL24" i="34" l="1"/>
  <c r="AK20" i="34" l="1"/>
  <c r="AK21" i="34" s="1"/>
  <c r="AK38" i="34" l="1"/>
  <c r="AB16" i="36"/>
  <c r="AB24" i="36" l="1"/>
  <c r="AB26" i="36"/>
  <c r="AB27" i="36" s="1"/>
  <c r="AB22" i="36"/>
  <c r="AB23" i="36" s="1"/>
  <c r="AB25" i="36" l="1"/>
  <c r="AB33" i="36" s="1"/>
  <c r="AB32" i="36"/>
  <c r="AK24" i="34" l="1"/>
  <c r="AJ20" i="34" l="1"/>
  <c r="AJ21" i="34" s="1"/>
  <c r="AJ38" i="34" l="1"/>
  <c r="AA16" i="36"/>
  <c r="AA24" i="36" l="1"/>
  <c r="AA26" i="36"/>
  <c r="AA27" i="36" s="1"/>
  <c r="AA22" i="36"/>
  <c r="AA23" i="36" s="1"/>
  <c r="AA32" i="36" l="1"/>
  <c r="AA25" i="36"/>
  <c r="AA33" i="36" s="1"/>
  <c r="AI20" i="34" l="1"/>
  <c r="AI21" i="34" s="1"/>
  <c r="AJ24" i="34"/>
  <c r="AI38" i="34" l="1"/>
  <c r="C7" i="34"/>
  <c r="D7" i="34" s="1"/>
  <c r="Z16" i="36"/>
  <c r="E7" i="34"/>
  <c r="Z24" i="36" l="1"/>
  <c r="Z26" i="36"/>
  <c r="Z27" i="36" s="1"/>
  <c r="Z22" i="36"/>
  <c r="Z23" i="36" s="1"/>
  <c r="Z25" i="36" l="1"/>
  <c r="Z33" i="36" s="1"/>
  <c r="Z32" i="36"/>
  <c r="AH20" i="34" l="1"/>
  <c r="AH21" i="34" s="1"/>
  <c r="AI24" i="34"/>
  <c r="AH38" i="34" l="1"/>
  <c r="Y16" i="36"/>
  <c r="Y24" i="36" l="1"/>
  <c r="Y26" i="36"/>
  <c r="Y27" i="36" s="1"/>
  <c r="Y22" i="36"/>
  <c r="Y23" i="36" s="1"/>
  <c r="Y25" i="36" l="1"/>
  <c r="Y33" i="36" s="1"/>
  <c r="Y32" i="36"/>
  <c r="AH24" i="34" l="1"/>
  <c r="AG20" i="34" l="1"/>
  <c r="AG21" i="34" s="1"/>
  <c r="AG38" i="34" l="1"/>
  <c r="X16" i="36"/>
  <c r="X24" i="36" l="1"/>
  <c r="X26" i="36"/>
  <c r="X27" i="36" s="1"/>
  <c r="X22" i="36"/>
  <c r="X23" i="36" s="1"/>
  <c r="X25" i="36" l="1"/>
  <c r="X33" i="36" s="1"/>
  <c r="X32" i="36"/>
  <c r="AG24" i="34" l="1"/>
  <c r="AF20" i="34" l="1"/>
  <c r="AF21" i="34" s="1"/>
  <c r="AF38" i="34" l="1"/>
  <c r="W16" i="36"/>
  <c r="W24" i="36" l="1"/>
  <c r="W26" i="36"/>
  <c r="W27" i="36" s="1"/>
  <c r="W22" i="36"/>
  <c r="W23" i="36" s="1"/>
  <c r="W25" i="36" l="1"/>
  <c r="W33" i="36" s="1"/>
  <c r="W32" i="36"/>
  <c r="AE20" i="34" l="1"/>
  <c r="AE21" i="34" s="1"/>
  <c r="AF24" i="34"/>
  <c r="AE38" i="34" l="1"/>
  <c r="V16" i="36"/>
  <c r="V24" i="36" l="1"/>
  <c r="V26" i="36"/>
  <c r="V27" i="36" s="1"/>
  <c r="V22" i="36"/>
  <c r="V23" i="36" s="1"/>
  <c r="V32" i="36" l="1"/>
  <c r="V25" i="36"/>
  <c r="V33" i="36" s="1"/>
  <c r="AE24" i="34" l="1"/>
  <c r="AD20" i="34" l="1"/>
  <c r="AD21" i="34" s="1"/>
  <c r="AD38" i="34" l="1"/>
  <c r="C6" i="34"/>
  <c r="D6" i="34" s="1"/>
  <c r="E6" i="34"/>
  <c r="U16" i="36"/>
  <c r="U24" i="36" l="1"/>
  <c r="U26" i="36"/>
  <c r="U27" i="36" s="1"/>
  <c r="U22" i="36"/>
  <c r="U23" i="36" s="1"/>
  <c r="U32" i="36" l="1"/>
  <c r="U25" i="36"/>
  <c r="U33" i="36" s="1"/>
  <c r="AC20" i="34" l="1"/>
  <c r="AC21" i="34" s="1"/>
  <c r="AD24" i="34"/>
  <c r="AC38" i="34" l="1"/>
  <c r="T16" i="36"/>
  <c r="T24" i="36" l="1"/>
  <c r="T26" i="36"/>
  <c r="T27" i="36" s="1"/>
  <c r="T22" i="36"/>
  <c r="T23" i="36" s="1"/>
  <c r="T32" i="36" l="1"/>
  <c r="T25" i="36"/>
  <c r="T33" i="36" s="1"/>
  <c r="AB20" i="34" l="1"/>
  <c r="AB21" i="34" s="1"/>
  <c r="AC24" i="34"/>
  <c r="AB38" i="34" l="1"/>
  <c r="S16" i="36"/>
  <c r="S24" i="36" l="1"/>
  <c r="S26" i="36"/>
  <c r="S27" i="36" s="1"/>
  <c r="S22" i="36"/>
  <c r="S23" i="36" s="1"/>
  <c r="S25" i="36" l="1"/>
  <c r="S33" i="36" s="1"/>
  <c r="S32" i="36"/>
  <c r="AA20" i="34" l="1"/>
  <c r="AA21" i="34" s="1"/>
  <c r="AB24" i="34"/>
  <c r="AA38" i="34" l="1"/>
  <c r="R16" i="36"/>
  <c r="R24" i="36" l="1"/>
  <c r="R26" i="36"/>
  <c r="R27" i="36" s="1"/>
  <c r="R22" i="36"/>
  <c r="R23" i="36" s="1"/>
  <c r="R25" i="36" l="1"/>
  <c r="R33" i="36" s="1"/>
  <c r="R32" i="36"/>
  <c r="AA24" i="34" l="1"/>
  <c r="Z20" i="34" l="1"/>
  <c r="Z21" i="34" s="1"/>
  <c r="Z38" i="34" l="1"/>
  <c r="Q16" i="36"/>
  <c r="Q24" i="36" l="1"/>
  <c r="Q26" i="36"/>
  <c r="Q27" i="36" s="1"/>
  <c r="Q22" i="36"/>
  <c r="Q23" i="36" s="1"/>
  <c r="Q25" i="36" l="1"/>
  <c r="Q33" i="36" s="1"/>
  <c r="Q32" i="36"/>
  <c r="Z24" i="34" l="1"/>
  <c r="Y20" i="34" l="1"/>
  <c r="Y21" i="34" s="1"/>
  <c r="E5" i="34" l="1"/>
  <c r="Y38" i="34"/>
  <c r="C5" i="34"/>
  <c r="D5" i="34" s="1"/>
  <c r="P16" i="36"/>
  <c r="P24" i="36" l="1"/>
  <c r="P26" i="36"/>
  <c r="P27" i="36" s="1"/>
  <c r="P22" i="36"/>
  <c r="P23" i="36" s="1"/>
  <c r="P25" i="36" l="1"/>
  <c r="P33" i="36" s="1"/>
  <c r="P32" i="36"/>
  <c r="D21" i="32" s="1"/>
  <c r="F21" i="32" s="1"/>
  <c r="G21" i="32" s="1"/>
  <c r="Y24" i="34" l="1"/>
  <c r="X20" i="34" l="1"/>
  <c r="X21" i="34" s="1"/>
  <c r="X38" i="34" l="1"/>
  <c r="O16" i="36"/>
  <c r="O24" i="36" l="1"/>
  <c r="O26" i="36"/>
  <c r="O27" i="36" s="1"/>
  <c r="O22" i="36"/>
  <c r="O23" i="36" s="1"/>
  <c r="O25" i="36" l="1"/>
  <c r="O33" i="36" s="1"/>
  <c r="O32" i="36"/>
  <c r="W20" i="34" l="1"/>
  <c r="W21" i="34" s="1"/>
  <c r="X24" i="34"/>
  <c r="W38" i="34" l="1"/>
  <c r="N16" i="36"/>
  <c r="N24" i="36" l="1"/>
  <c r="N26" i="36"/>
  <c r="N27" i="36" s="1"/>
  <c r="N22" i="36"/>
  <c r="N23" i="36" s="1"/>
  <c r="N32" i="36" l="1"/>
  <c r="N25" i="36"/>
  <c r="N33" i="36" s="1"/>
  <c r="V20" i="34" l="1"/>
  <c r="V21" i="34" s="1"/>
  <c r="W24" i="34"/>
  <c r="V38" i="34" l="1"/>
  <c r="M16" i="36"/>
  <c r="M24" i="36" l="1"/>
  <c r="M26" i="36"/>
  <c r="M27" i="36" s="1"/>
  <c r="M22" i="36"/>
  <c r="M23" i="36" s="1"/>
  <c r="M25" i="36" l="1"/>
  <c r="M33" i="36" s="1"/>
  <c r="M32" i="36"/>
  <c r="V24" i="34" l="1"/>
  <c r="U20" i="34" l="1"/>
  <c r="U21" i="34" s="1"/>
  <c r="U38" i="34" l="1"/>
  <c r="L16" i="36"/>
  <c r="L26" i="36" s="1"/>
  <c r="L22" i="36" l="1"/>
  <c r="L23" i="36" s="1"/>
  <c r="L24" i="36"/>
  <c r="L27" i="36"/>
  <c r="L25" i="36" l="1"/>
  <c r="L33" i="36" s="1"/>
  <c r="L32" i="36"/>
  <c r="T20" i="34" l="1"/>
  <c r="T21" i="34" s="1"/>
  <c r="U24" i="34"/>
  <c r="T38" i="34" l="1"/>
  <c r="C4" i="34"/>
  <c r="D4" i="34" s="1"/>
  <c r="K16" i="36"/>
  <c r="K26" i="36" s="1"/>
  <c r="E4" i="34"/>
  <c r="K22" i="36" l="1"/>
  <c r="K23" i="36" s="1"/>
  <c r="K24" i="36"/>
  <c r="K27" i="36"/>
  <c r="K32" i="36" l="1"/>
  <c r="K25" i="36"/>
  <c r="K33" i="36" s="1"/>
  <c r="S20" i="34" l="1"/>
  <c r="S21" i="34" s="1"/>
  <c r="T24" i="34"/>
  <c r="S38" i="34" l="1"/>
  <c r="J16" i="36"/>
  <c r="J26" i="36" s="1"/>
  <c r="J22" i="36" l="1"/>
  <c r="J23" i="36" s="1"/>
  <c r="J24" i="36"/>
  <c r="J27" i="36"/>
  <c r="J25" i="36" l="1"/>
  <c r="J33" i="36" s="1"/>
  <c r="J32" i="36"/>
  <c r="R20" i="34" l="1"/>
  <c r="R21" i="34" s="1"/>
  <c r="S24" i="34"/>
  <c r="R38" i="34" l="1"/>
  <c r="I16" i="36"/>
  <c r="I26" i="36" s="1"/>
  <c r="I22" i="36" l="1"/>
  <c r="I23" i="36" s="1"/>
  <c r="I24" i="36"/>
  <c r="I27" i="36"/>
  <c r="I32" i="36" l="1"/>
  <c r="I25" i="36"/>
  <c r="I33" i="36" s="1"/>
  <c r="Q20" i="34" l="1"/>
  <c r="Q21" i="34" s="1"/>
  <c r="R24" i="34"/>
  <c r="Q38" i="34" l="1"/>
  <c r="H16" i="36"/>
  <c r="H26" i="36" s="1"/>
  <c r="H22" i="36" l="1"/>
  <c r="H23" i="36" s="1"/>
  <c r="H24" i="36"/>
  <c r="H27" i="36"/>
  <c r="H25" i="36" l="1"/>
  <c r="H33" i="36" s="1"/>
  <c r="H32" i="36"/>
  <c r="P20" i="34" l="1"/>
  <c r="P21" i="34" s="1"/>
  <c r="Q24" i="34"/>
  <c r="P38" i="34" l="1"/>
  <c r="G16" i="36"/>
  <c r="G26" i="36" s="1"/>
  <c r="G22" i="36" l="1"/>
  <c r="G23" i="36" s="1"/>
  <c r="G24" i="36"/>
  <c r="G27" i="36"/>
  <c r="G25" i="36" l="1"/>
  <c r="G33" i="36" s="1"/>
  <c r="G32" i="36"/>
  <c r="O20" i="34" l="1"/>
  <c r="O21" i="34" s="1"/>
  <c r="P24" i="34"/>
  <c r="O38" i="34" l="1"/>
  <c r="C3" i="34"/>
  <c r="D3" i="34" s="1"/>
  <c r="F16" i="36"/>
  <c r="F26" i="36" s="1"/>
  <c r="E3" i="34"/>
  <c r="F22" i="36" l="1"/>
  <c r="F23" i="36" s="1"/>
  <c r="F24" i="36"/>
  <c r="F27" i="36"/>
  <c r="F32" i="36" l="1"/>
  <c r="F25" i="36"/>
  <c r="F33" i="36" s="1"/>
  <c r="O24" i="34" l="1"/>
  <c r="N20" i="34" l="1"/>
  <c r="N21" i="34" s="1"/>
  <c r="N38" i="34" l="1"/>
  <c r="E16" i="36"/>
  <c r="E26" i="36" s="1"/>
  <c r="E22" i="36" l="1"/>
  <c r="E23" i="36" s="1"/>
  <c r="E24" i="36"/>
  <c r="E27" i="36"/>
  <c r="E25" i="36" l="1"/>
  <c r="E33" i="36" s="1"/>
  <c r="E32" i="36"/>
  <c r="N24" i="34" l="1"/>
  <c r="F26" i="32" l="1"/>
  <c r="G5" i="32"/>
  <c r="F7" i="32"/>
  <c r="G6" i="32"/>
  <c r="F27" i="32"/>
  <c r="G27" i="32" l="1"/>
  <c r="F31" i="32"/>
  <c r="G31" i="32" s="1"/>
  <c r="G7" i="32"/>
  <c r="G26" i="32"/>
  <c r="F32" i="32" l="1"/>
  <c r="N9" i="32" s="1"/>
  <c r="G32" i="32" l="1"/>
  <c r="G43" i="32" s="1"/>
  <c r="F40" i="32"/>
  <c r="N7" i="32"/>
  <c r="K7" i="32"/>
  <c r="O8" i="32"/>
  <c r="N8" i="32"/>
  <c r="K8" i="32"/>
  <c r="L11" i="32"/>
  <c r="M6" i="32"/>
  <c r="O6" i="32"/>
  <c r="M12" i="32"/>
  <c r="M9" i="32"/>
  <c r="K6" i="32"/>
  <c r="P10" i="32"/>
  <c r="Q8" i="32"/>
  <c r="Q6" i="32"/>
  <c r="O10" i="32"/>
  <c r="M11" i="32"/>
  <c r="P9" i="32"/>
  <c r="F43" i="32"/>
  <c r="M8" i="32"/>
  <c r="P8" i="32"/>
  <c r="N11" i="32"/>
  <c r="K11" i="32"/>
  <c r="N6" i="32"/>
  <c r="O11" i="32"/>
  <c r="Q10" i="32"/>
  <c r="L6" i="32"/>
  <c r="N12" i="32"/>
  <c r="L10" i="32"/>
  <c r="L12" i="32"/>
  <c r="P12" i="32"/>
  <c r="L7" i="32"/>
  <c r="Q7" i="32"/>
  <c r="K10" i="32"/>
  <c r="K9" i="32"/>
  <c r="N10" i="32"/>
  <c r="O12" i="32"/>
  <c r="Q12" i="32"/>
  <c r="P11" i="32"/>
  <c r="L9" i="32"/>
  <c r="O9" i="32"/>
  <c r="M10" i="32"/>
  <c r="O7" i="32"/>
  <c r="M7" i="32"/>
  <c r="K12" i="32"/>
  <c r="Q11" i="32"/>
  <c r="P7" i="32"/>
  <c r="L8" i="32"/>
  <c r="Q9" i="32"/>
  <c r="P6" i="32"/>
  <c r="F42" i="32" l="1"/>
  <c r="G40" i="32"/>
  <c r="G44" i="32" s="1"/>
  <c r="F41" i="32"/>
  <c r="G41" i="32" s="1"/>
  <c r="F44" i="32"/>
  <c r="M20" i="34" l="1"/>
  <c r="M21" i="34" s="1"/>
  <c r="D16" i="36" l="1"/>
  <c r="D22" i="36" s="1"/>
  <c r="D23" i="36" s="1"/>
  <c r="M38" i="34"/>
  <c r="D26" i="36"/>
  <c r="D27" i="36" s="1"/>
  <c r="D24" i="36"/>
  <c r="D32" i="36" l="1"/>
  <c r="D25" i="36"/>
  <c r="D33" i="36" l="1"/>
  <c r="L20" i="34"/>
  <c r="M24" i="34"/>
  <c r="L21" i="34" l="1"/>
  <c r="L38" i="34"/>
  <c r="C16" i="36"/>
  <c r="C22" i="36" l="1"/>
  <c r="C23" i="36" s="1"/>
  <c r="C26" i="36"/>
  <c r="C27" i="36" s="1"/>
  <c r="C24" i="36"/>
  <c r="C32" i="36" l="1"/>
  <c r="C25" i="36"/>
  <c r="C33" i="36" s="1"/>
  <c r="L24" i="34" l="1"/>
  <c r="K20" i="34"/>
  <c r="K38" i="34" s="1"/>
  <c r="L3" i="34"/>
  <c r="K21" i="34" l="1"/>
  <c r="B16" i="36"/>
  <c r="B22" i="36" s="1"/>
  <c r="B23" i="36" s="1"/>
  <c r="Q2" i="34"/>
  <c r="P2" i="34"/>
  <c r="B24" i="36" l="1"/>
  <c r="B26" i="36"/>
  <c r="B27" i="36" s="1"/>
  <c r="B1" i="30"/>
  <c r="H2" i="30"/>
  <c r="B25" i="36"/>
  <c r="B32" i="36"/>
  <c r="B33" i="36" l="1"/>
  <c r="K24" i="34"/>
  <c r="BW38" i="36"/>
  <c r="BW37" i="36"/>
  <c r="BW36" i="36"/>
  <c r="K26" i="34" l="1"/>
  <c r="K27" i="34" s="1"/>
  <c r="K28" i="34" s="1"/>
  <c r="L25" i="34" s="1"/>
  <c r="L26" i="34" s="1"/>
  <c r="L27" i="34" s="1"/>
  <c r="L28" i="34" l="1"/>
  <c r="M25" i="34" s="1"/>
  <c r="M26" i="34" l="1"/>
  <c r="M27" i="34" s="1"/>
  <c r="M28" i="34" l="1"/>
  <c r="N25" i="34" s="1"/>
  <c r="N26" i="34" l="1"/>
  <c r="N27" i="34" s="1"/>
  <c r="N28" i="34" l="1"/>
  <c r="O25" i="34" s="1"/>
  <c r="O26" i="34" l="1"/>
  <c r="O27" i="34" l="1"/>
  <c r="F3" i="34"/>
  <c r="G3" i="34" l="1"/>
  <c r="O28" i="34"/>
  <c r="P25" i="34" s="1"/>
  <c r="H3" i="34" l="1"/>
  <c r="P26" i="34"/>
  <c r="P27" i="34" s="1"/>
  <c r="P28" i="34" s="1"/>
  <c r="Q25" i="34" s="1"/>
  <c r="Q26" i="34" l="1"/>
  <c r="Q27" i="34" s="1"/>
  <c r="Q28" i="34" s="1"/>
  <c r="R25" i="34" s="1"/>
  <c r="R26" i="34" l="1"/>
  <c r="R27" i="34" s="1"/>
  <c r="R28" i="34" l="1"/>
  <c r="S25" i="34" s="1"/>
  <c r="S26" i="34" l="1"/>
  <c r="S27" i="34" s="1"/>
  <c r="S28" i="34" l="1"/>
  <c r="T25" i="34" s="1"/>
  <c r="T26" i="34" l="1"/>
  <c r="F4" i="34" l="1"/>
  <c r="T27" i="34"/>
  <c r="G4" i="34" l="1"/>
  <c r="T28" i="34"/>
  <c r="U25" i="34" s="1"/>
  <c r="U26" i="34" l="1"/>
  <c r="U27" i="34" s="1"/>
  <c r="H4" i="34"/>
  <c r="U28" i="34" l="1"/>
  <c r="V25" i="34" s="1"/>
  <c r="V26" i="34" l="1"/>
  <c r="V27" i="34" s="1"/>
  <c r="V28" i="34" l="1"/>
  <c r="W25" i="34" s="1"/>
  <c r="W26" i="34" l="1"/>
  <c r="W27" i="34" s="1"/>
  <c r="W28" i="34" l="1"/>
  <c r="X25" i="34" s="1"/>
  <c r="X26" i="34" l="1"/>
  <c r="X27" i="34" s="1"/>
  <c r="X28" i="34" l="1"/>
  <c r="Y25" i="34" s="1"/>
  <c r="Y26" i="34" l="1"/>
  <c r="F5" i="34" l="1"/>
  <c r="Y27" i="34"/>
  <c r="G5" i="34" l="1"/>
  <c r="Y28" i="34"/>
  <c r="Z25" i="34" s="1"/>
  <c r="Z26" i="34" l="1"/>
  <c r="Z27" i="34" s="1"/>
  <c r="H5" i="34"/>
  <c r="Z28" i="34" l="1"/>
  <c r="AA25" i="34" s="1"/>
  <c r="AA26" i="34" l="1"/>
  <c r="AA27" i="34" s="1"/>
  <c r="AA28" i="34" l="1"/>
  <c r="AB25" i="34" s="1"/>
  <c r="AB26" i="34" l="1"/>
  <c r="AB27" i="34" s="1"/>
  <c r="AB28" i="34" l="1"/>
  <c r="AC25" i="34" s="1"/>
  <c r="AC26" i="34" l="1"/>
  <c r="AC27" i="34" s="1"/>
  <c r="AC28" i="34" l="1"/>
  <c r="AD25" i="34" s="1"/>
  <c r="AD26" i="34" l="1"/>
  <c r="AD27" i="34" l="1"/>
  <c r="F6" i="34"/>
  <c r="G6" i="34" l="1"/>
  <c r="AD28" i="34"/>
  <c r="AE25" i="34" s="1"/>
  <c r="AE26" i="34" l="1"/>
  <c r="AE27" i="34" s="1"/>
  <c r="H6" i="34"/>
  <c r="AE28" i="34" l="1"/>
  <c r="AF25" i="34" s="1"/>
  <c r="AF26" i="34" l="1"/>
  <c r="AF27" i="34" s="1"/>
  <c r="AF28" i="34" l="1"/>
  <c r="AG25" i="34" s="1"/>
  <c r="AG26" i="34" l="1"/>
  <c r="AG27" i="34" s="1"/>
  <c r="AG28" i="34" l="1"/>
  <c r="AH25" i="34" s="1"/>
  <c r="AH26" i="34" l="1"/>
  <c r="AH27" i="34" s="1"/>
  <c r="AH28" i="34" s="1"/>
  <c r="AI25" i="34" s="1"/>
  <c r="AI26" i="34" l="1"/>
  <c r="AI27" i="34" l="1"/>
  <c r="F7" i="34"/>
  <c r="G7" i="34" l="1"/>
  <c r="AI28" i="34"/>
  <c r="AJ25" i="34" s="1"/>
  <c r="AJ26" i="34" l="1"/>
  <c r="AJ27" i="34" s="1"/>
  <c r="AJ28" i="34" s="1"/>
  <c r="AK25" i="34" s="1"/>
  <c r="H7" i="34"/>
  <c r="AK26" i="34" l="1"/>
  <c r="AK27" i="34" s="1"/>
  <c r="AK28" i="34" s="1"/>
  <c r="AL25" i="34" s="1"/>
  <c r="AL26" i="34" l="1"/>
  <c r="AL27" i="34" s="1"/>
  <c r="AL28" i="34" s="1"/>
  <c r="AM25" i="34" s="1"/>
  <c r="AM26" i="34" l="1"/>
  <c r="AM27" i="34" s="1"/>
  <c r="AM28" i="34" s="1"/>
  <c r="AN25" i="34" s="1"/>
  <c r="AN26" i="34" l="1"/>
  <c r="AN27" i="34" l="1"/>
  <c r="F8" i="34"/>
  <c r="G8" i="34" l="1"/>
  <c r="AN28" i="34"/>
  <c r="AO25" i="34" s="1"/>
  <c r="AO26" i="34" l="1"/>
  <c r="AO27" i="34" s="1"/>
  <c r="AO28" i="34" s="1"/>
  <c r="AP25" i="34" s="1"/>
  <c r="H8" i="34"/>
  <c r="AP26" i="34" l="1"/>
  <c r="AP27" i="34" s="1"/>
  <c r="AP28" i="34" s="1"/>
  <c r="AQ25" i="34" s="1"/>
  <c r="AQ26" i="34" l="1"/>
  <c r="AQ27" i="34" s="1"/>
  <c r="AQ28" i="34" s="1"/>
  <c r="AR25" i="34" s="1"/>
  <c r="AR26" i="34" l="1"/>
  <c r="AR27" i="34" s="1"/>
  <c r="AR28" i="34" s="1"/>
  <c r="AS25" i="34" s="1"/>
  <c r="AS26" i="34" l="1"/>
  <c r="AS27" i="34" s="1"/>
  <c r="AS28" i="34" s="1"/>
  <c r="AT25" i="34" s="1"/>
  <c r="AT26" i="34" l="1"/>
  <c r="AT27" i="34" s="1"/>
  <c r="AT28" i="34" s="1"/>
  <c r="AU25" i="34" s="1"/>
  <c r="AU26" i="34" l="1"/>
  <c r="AU27" i="34" s="1"/>
  <c r="AU28" i="34" s="1"/>
  <c r="AV25" i="34" s="1"/>
  <c r="AV26" i="34" l="1"/>
  <c r="AV27" i="34" s="1"/>
  <c r="AV28" i="34" s="1"/>
  <c r="AW25" i="34" s="1"/>
  <c r="AW26" i="34" l="1"/>
  <c r="AW27" i="34" s="1"/>
  <c r="AW28" i="34" s="1"/>
  <c r="AX25" i="34" s="1"/>
  <c r="AX26" i="34" l="1"/>
  <c r="F9" i="34" l="1"/>
  <c r="AX27" i="34"/>
  <c r="G9" i="34" l="1"/>
  <c r="AX28" i="34"/>
  <c r="AY25" i="34" s="1"/>
  <c r="AY26" i="34" l="1"/>
  <c r="AY27" i="34" s="1"/>
  <c r="AY28" i="34" s="1"/>
  <c r="AZ25" i="34" s="1"/>
  <c r="H9" i="34"/>
  <c r="AZ26" i="34" l="1"/>
  <c r="AZ27" i="34" s="1"/>
  <c r="AZ28" i="34" s="1"/>
  <c r="BA25" i="34" s="1"/>
  <c r="BA26" i="34" l="1"/>
  <c r="BA27" i="34" s="1"/>
  <c r="BA28" i="34" s="1"/>
  <c r="BB25" i="34" s="1"/>
  <c r="BB26" i="34" l="1"/>
  <c r="BB27" i="34" s="1"/>
  <c r="BB28" i="34" s="1"/>
  <c r="BC25" i="34" s="1"/>
  <c r="BC26" i="34" l="1"/>
  <c r="BC27" i="34" s="1"/>
  <c r="BC28" i="34" s="1"/>
  <c r="BD25" i="34" s="1"/>
  <c r="BD26" i="34" l="1"/>
  <c r="BD27" i="34" s="1"/>
  <c r="BD28" i="34" s="1"/>
  <c r="BE25" i="34" s="1"/>
  <c r="BE26" i="34" l="1"/>
  <c r="BE27" i="34" s="1"/>
  <c r="BE28" i="34" s="1"/>
  <c r="BF25" i="34" s="1"/>
  <c r="BF26" i="34" l="1"/>
  <c r="BF27" i="34" s="1"/>
  <c r="BF28" i="34" s="1"/>
  <c r="BG25" i="34" s="1"/>
  <c r="BG26" i="34" l="1"/>
  <c r="BG27" i="34" s="1"/>
  <c r="BG28" i="34" s="1"/>
  <c r="BH25" i="34" s="1"/>
  <c r="BH26" i="34" l="1"/>
  <c r="F10" i="34" l="1"/>
  <c r="BH27" i="34"/>
  <c r="G10" i="34" l="1"/>
  <c r="BH28" i="34"/>
  <c r="BI25" i="34" s="1"/>
  <c r="BI26" i="34" l="1"/>
  <c r="BI27" i="34" s="1"/>
  <c r="BI28" i="34" s="1"/>
  <c r="BJ25" i="34" s="1"/>
  <c r="H10" i="34"/>
  <c r="BJ26" i="34" l="1"/>
  <c r="BJ27" i="34" s="1"/>
  <c r="BJ28" i="34" s="1"/>
  <c r="BK25" i="34" s="1"/>
  <c r="BK26" i="34" l="1"/>
  <c r="BK27" i="34" s="1"/>
  <c r="BK28" i="34" s="1"/>
  <c r="BL25" i="34" s="1"/>
  <c r="BL26" i="34" l="1"/>
  <c r="BL27" i="34" s="1"/>
  <c r="BL28" i="34" s="1"/>
  <c r="BM25" i="34" s="1"/>
  <c r="BM26" i="34" l="1"/>
  <c r="BM27" i="34" s="1"/>
  <c r="BM28" i="34" s="1"/>
  <c r="BN25" i="34" s="1"/>
  <c r="BN26" i="34" l="1"/>
  <c r="BN27" i="34" s="1"/>
  <c r="BN28" i="34" s="1"/>
  <c r="BO25" i="34" s="1"/>
  <c r="BO26" i="34" l="1"/>
  <c r="BO27" i="34" s="1"/>
  <c r="BO28" i="34" s="1"/>
  <c r="BP25" i="34" s="1"/>
  <c r="BP26" i="34" l="1"/>
  <c r="BP27" i="34" s="1"/>
  <c r="BP28" i="34" s="1"/>
  <c r="BQ25" i="34" s="1"/>
  <c r="BQ26" i="34" l="1"/>
  <c r="BQ27" i="34" s="1"/>
  <c r="BQ28" i="34" s="1"/>
  <c r="BR25" i="34" s="1"/>
  <c r="BR26" i="34" l="1"/>
  <c r="BR27" i="34" l="1"/>
  <c r="F11" i="34"/>
  <c r="G11" i="34" l="1"/>
  <c r="BR28" i="34"/>
  <c r="BS25" i="34" s="1"/>
  <c r="BS26" i="34" l="1"/>
  <c r="BS27" i="34" s="1"/>
  <c r="BS28" i="34" s="1"/>
  <c r="BT25" i="34" s="1"/>
  <c r="H11" i="34"/>
  <c r="BT26" i="34" l="1"/>
  <c r="BT27" i="34" s="1"/>
  <c r="BT28" i="34" s="1"/>
  <c r="BU25" i="34" s="1"/>
  <c r="BU26" i="34" l="1"/>
  <c r="BU27" i="34" s="1"/>
  <c r="BU28" i="34" s="1"/>
  <c r="BV25" i="34" s="1"/>
  <c r="BV26" i="34" l="1"/>
  <c r="BV27" i="34" s="1"/>
  <c r="BV28" i="34" s="1"/>
  <c r="BW25" i="34" s="1"/>
  <c r="BW26" i="34" l="1"/>
  <c r="BW27" i="34" s="1"/>
  <c r="BW28" i="34" s="1"/>
  <c r="BX25" i="34" s="1"/>
  <c r="BX26" i="34" l="1"/>
  <c r="BX27" i="34" s="1"/>
  <c r="BX28" i="34" s="1"/>
  <c r="BY25" i="34" s="1"/>
  <c r="BY26" i="34" l="1"/>
  <c r="BY27" i="34" s="1"/>
  <c r="BY28" i="34" s="1"/>
  <c r="BZ25" i="34" s="1"/>
  <c r="BZ26" i="34" l="1"/>
  <c r="BZ27" i="34" s="1"/>
  <c r="BZ28" i="34" s="1"/>
  <c r="CA25" i="34" s="1"/>
  <c r="CA26" i="34" l="1"/>
  <c r="CA27" i="34" s="1"/>
  <c r="CA28" i="34" s="1"/>
  <c r="CB25" i="34" s="1"/>
  <c r="CB26" i="34" l="1"/>
  <c r="F12" i="34" l="1"/>
  <c r="CB27" i="34"/>
  <c r="G12" i="34" l="1"/>
  <c r="CB28" i="34"/>
  <c r="CC25" i="34" s="1"/>
  <c r="CC26" i="34" l="1"/>
  <c r="CC27" i="34" s="1"/>
  <c r="CC28" i="34" s="1"/>
  <c r="CD25" i="34" s="1"/>
  <c r="H12" i="34"/>
  <c r="CD26" i="34" l="1"/>
  <c r="CD27" i="34" s="1"/>
  <c r="CD28" i="34" s="1"/>
  <c r="CE25" i="34" s="1"/>
  <c r="CE26" i="34" l="1"/>
  <c r="CE27" i="34" s="1"/>
  <c r="CE28" i="34" s="1"/>
  <c r="CF25" i="34" s="1"/>
  <c r="CF26" i="34" l="1"/>
  <c r="CF27" i="34" s="1"/>
  <c r="CF28" i="34" s="1"/>
  <c r="CG25" i="34" s="1"/>
  <c r="CG26" i="34" l="1"/>
  <c r="CG27" i="34" s="1"/>
  <c r="CG28" i="34" s="1"/>
  <c r="CH25" i="34" s="1"/>
  <c r="CH26" i="34" l="1"/>
  <c r="CH27" i="34" s="1"/>
  <c r="CH28" i="34" s="1"/>
  <c r="O4" i="34" s="1"/>
  <c r="G45" i="32" s="1"/>
</calcChain>
</file>

<file path=xl/sharedStrings.xml><?xml version="1.0" encoding="utf-8"?>
<sst xmlns="http://schemas.openxmlformats.org/spreadsheetml/2006/main" count="1023" uniqueCount="593">
  <si>
    <t>Unit</t>
  </si>
  <si>
    <t>Quantity</t>
  </si>
  <si>
    <t>University of Missouri Extension</t>
  </si>
  <si>
    <t>This worksheet is for educational purposes only and the user assumes all risks associated with its use.</t>
  </si>
  <si>
    <t>Ownership costs</t>
  </si>
  <si>
    <t xml:space="preserve">Income </t>
  </si>
  <si>
    <t xml:space="preserve">Total income </t>
  </si>
  <si>
    <t>percent</t>
  </si>
  <si>
    <t>Price per unit</t>
  </si>
  <si>
    <t>Professional services</t>
  </si>
  <si>
    <t>Total operating costs</t>
  </si>
  <si>
    <t>Total ownership costs</t>
  </si>
  <si>
    <t xml:space="preserve">Total costs </t>
  </si>
  <si>
    <t>Miscellaneous</t>
  </si>
  <si>
    <t>Income over operating costs</t>
  </si>
  <si>
    <t>Income over total costs</t>
  </si>
  <si>
    <t>Total</t>
  </si>
  <si>
    <t>Summary</t>
  </si>
  <si>
    <t>Useful life</t>
  </si>
  <si>
    <t>Salvage Value</t>
  </si>
  <si>
    <t>Category</t>
  </si>
  <si>
    <t xml:space="preserve">Labor </t>
  </si>
  <si>
    <t>Interest on operating capital</t>
  </si>
  <si>
    <t>Repair rate</t>
  </si>
  <si>
    <t>Price/unit</t>
  </si>
  <si>
    <t>Units</t>
  </si>
  <si>
    <t xml:space="preserve">  Interest on capital investments</t>
  </si>
  <si>
    <t xml:space="preserve">  Overhead, taxes and insurance</t>
  </si>
  <si>
    <t>Operating costs</t>
  </si>
  <si>
    <t>% of sales</t>
  </si>
  <si>
    <t>Marketing channel - wholesale</t>
  </si>
  <si>
    <t>percent of production</t>
  </si>
  <si>
    <t>Depreciation</t>
  </si>
  <si>
    <t>Interest</t>
  </si>
  <si>
    <t xml:space="preserve">  Land charge</t>
  </si>
  <si>
    <t>application</t>
  </si>
  <si>
    <t>Developed by:</t>
  </si>
  <si>
    <t>Missouri Pecan Enterprise Budget</t>
  </si>
  <si>
    <t>Orchard size</t>
  </si>
  <si>
    <t>acres</t>
  </si>
  <si>
    <t>square feet per tree</t>
  </si>
  <si>
    <t>Site preparation</t>
  </si>
  <si>
    <t>Lime</t>
  </si>
  <si>
    <t>Per tree</t>
  </si>
  <si>
    <t>tons</t>
  </si>
  <si>
    <t>Nitrogen</t>
  </si>
  <si>
    <t>Phosphorous</t>
  </si>
  <si>
    <t>Potassium</t>
  </si>
  <si>
    <t>Soil tests</t>
  </si>
  <si>
    <t>Fertility</t>
  </si>
  <si>
    <t>tests</t>
  </si>
  <si>
    <t>pounds</t>
  </si>
  <si>
    <t>Zinc Sulfate</t>
  </si>
  <si>
    <t>Hand tools</t>
  </si>
  <si>
    <t xml:space="preserve">  Depreciation on equipment</t>
  </si>
  <si>
    <t>Item</t>
  </si>
  <si>
    <t>Cost</t>
  </si>
  <si>
    <t>Rakes</t>
  </si>
  <si>
    <t>Shovels</t>
  </si>
  <si>
    <t>Post hole digger</t>
  </si>
  <si>
    <t>Lopper</t>
  </si>
  <si>
    <t>Chainsaw</t>
  </si>
  <si>
    <t>Wheel barrow</t>
  </si>
  <si>
    <t>Marketing and promotion - wholesale</t>
  </si>
  <si>
    <t>Marketing and promotion - retail</t>
  </si>
  <si>
    <t>Facility and equipment repair</t>
  </si>
  <si>
    <t>Fuel and utilities</t>
  </si>
  <si>
    <t>Mowing</t>
  </si>
  <si>
    <t>per cutting</t>
  </si>
  <si>
    <t>Irrigation water</t>
  </si>
  <si>
    <t>inches applied</t>
  </si>
  <si>
    <t>percent APR</t>
  </si>
  <si>
    <t>applications</t>
  </si>
  <si>
    <t>per acre</t>
  </si>
  <si>
    <t>Number of improved trees</t>
  </si>
  <si>
    <t>Table 4. Capital investment</t>
  </si>
  <si>
    <t>$ per ton, applied</t>
  </si>
  <si>
    <t>$ per lb N2O</t>
  </si>
  <si>
    <t>$ per lb P2O5</t>
  </si>
  <si>
    <t>$ per lb K2O</t>
  </si>
  <si>
    <t>Insecticide 1</t>
  </si>
  <si>
    <t>$ per pound</t>
  </si>
  <si>
    <t>$ per pound applied</t>
  </si>
  <si>
    <t>$ per test</t>
  </si>
  <si>
    <t>$ per application/acre</t>
  </si>
  <si>
    <t>grading, drainage, tillage, and understory seeding</t>
  </si>
  <si>
    <t>Irrigation costs</t>
  </si>
  <si>
    <t>per acre-inch</t>
  </si>
  <si>
    <t>Fencing</t>
  </si>
  <si>
    <t>Labor</t>
  </si>
  <si>
    <t>$ per hour</t>
  </si>
  <si>
    <t>Understory mowing</t>
  </si>
  <si>
    <t>Pest management</t>
  </si>
  <si>
    <t>Missouri Improved Variety Pecan Budget - Production</t>
  </si>
  <si>
    <t>% annual return</t>
  </si>
  <si>
    <t>Require 1 inch/week from budbreak to nut maturity - 2 inches/week during summer heat (flood, sprinkler, trickle irrigation)</t>
  </si>
  <si>
    <t>100 pounds actual nitrogen/acre</t>
  </si>
  <si>
    <t>Native yield averge of 1156 pounds/acre (Bill Rreid 35 years of data)</t>
  </si>
  <si>
    <t>Improved cultivars - fully established</t>
  </si>
  <si>
    <t>Irrigation window: April 1 - September 15</t>
  </si>
  <si>
    <t>Trees/acre</t>
  </si>
  <si>
    <t>per tree</t>
  </si>
  <si>
    <t>Northern Pecans: Search results for yield</t>
  </si>
  <si>
    <t>Growing pecans in Missouri Guide</t>
  </si>
  <si>
    <t xml:space="preserve">(Orbit at 4 fluid ounces or Enable 2F at 8 fluid ounces) at three-fourths to one-inch growth after budbreak. </t>
  </si>
  <si>
    <t>Follow the first spray by two applications (of Super Tin 4L at 6 fluid ounces plus Benlate 50 WP or Topsin M 70W at 0.5 pound) at 14- to 21-day intervals.</t>
  </si>
  <si>
    <t xml:space="preserve">Notes: </t>
  </si>
  <si>
    <t>Alternate bearing covered my delayed marketing in cold storage</t>
  </si>
  <si>
    <t>2-3 acres is breakdown for mechanical harvest</t>
  </si>
  <si>
    <t xml:space="preserve">Tree shaking is a requirement either tree shaking </t>
  </si>
  <si>
    <t>40 hp used tractor for tree shaking and mowing</t>
  </si>
  <si>
    <t>Harvest and cleaning done by hand</t>
  </si>
  <si>
    <t>Wood chipper</t>
  </si>
  <si>
    <t>No spraying on small scale</t>
  </si>
  <si>
    <t>100 N, Zinc sulfate 5lb, P&amp;K to test</t>
  </si>
  <si>
    <t xml:space="preserve">No such thing as native plantings, all improved for plantings </t>
  </si>
  <si>
    <t>Growers typically innovative and graft and establish themselves</t>
  </si>
  <si>
    <t>Ours probably buying grafted trees</t>
  </si>
  <si>
    <t>Grafting</t>
  </si>
  <si>
    <t xml:space="preserve">5 years after grafting </t>
  </si>
  <si>
    <t xml:space="preserve">7 pounds </t>
  </si>
  <si>
    <t>10-12 years cut out 1/2 trees</t>
  </si>
  <si>
    <t>20 years in cut out half</t>
  </si>
  <si>
    <t>60 years in cut out half again</t>
  </si>
  <si>
    <t>100 trees per acre</t>
  </si>
  <si>
    <t>20x20</t>
  </si>
  <si>
    <t>20x40</t>
  </si>
  <si>
    <t>40x40</t>
  </si>
  <si>
    <t>Pawnee</t>
  </si>
  <si>
    <t>Lakota</t>
  </si>
  <si>
    <t>150 pounds per tree</t>
  </si>
  <si>
    <t>Kanzaa</t>
  </si>
  <si>
    <t>120 pounds no spray</t>
  </si>
  <si>
    <t xml:space="preserve">Very disease resistant, </t>
  </si>
  <si>
    <t>Drop organic?</t>
  </si>
  <si>
    <t>25 years fully mature, top yield</t>
  </si>
  <si>
    <t>Most recommended variety</t>
  </si>
  <si>
    <t>200 pounds /tree</t>
  </si>
  <si>
    <t>year 5</t>
  </si>
  <si>
    <t>year 10</t>
  </si>
  <si>
    <t>year 15</t>
  </si>
  <si>
    <t>year 20</t>
  </si>
  <si>
    <t>50% increase every year, compounding</t>
  </si>
  <si>
    <t xml:space="preserve">40-78 kg </t>
  </si>
  <si>
    <t>2020-22 kanza yields</t>
  </si>
  <si>
    <t>half yield on low yield</t>
  </si>
  <si>
    <t>Late frosts have the greatest impact</t>
  </si>
  <si>
    <t>Plant grafted trees in april 2025</t>
  </si>
  <si>
    <t>start at 1lb/tree in fall 2025</t>
  </si>
  <si>
    <t>Year ranges 0-5, 5-10, 10-20, 20 and beyond</t>
  </si>
  <si>
    <t>2 minutes per tree to prune</t>
  </si>
  <si>
    <t>watering in first 5 years</t>
  </si>
  <si>
    <t xml:space="preserve">Planting </t>
  </si>
  <si>
    <t>renovate groundcover</t>
  </si>
  <si>
    <t>Deep rip, disk down, reseed</t>
  </si>
  <si>
    <t>Clovers are a good groundcover</t>
  </si>
  <si>
    <t>30 mins labor per tree to plant</t>
  </si>
  <si>
    <t>monthly mowing</t>
  </si>
  <si>
    <t>Nut wizard for harvesting?</t>
  </si>
  <si>
    <t xml:space="preserve">30 seconds per pound of nuts </t>
  </si>
  <si>
    <t>Unshelled</t>
  </si>
  <si>
    <t>Cracked</t>
  </si>
  <si>
    <t>Free nuts</t>
  </si>
  <si>
    <t xml:space="preserve">2.50/lb no weight reduction </t>
  </si>
  <si>
    <t>75% harvested weight</t>
  </si>
  <si>
    <t>Cracked and blown</t>
  </si>
  <si>
    <t>12.50/lb</t>
  </si>
  <si>
    <t>5/lb</t>
  </si>
  <si>
    <t>$0.50/lb for cracking and blowing</t>
  </si>
  <si>
    <t>Tree planting year</t>
  </si>
  <si>
    <t>https://pecanbreeding.uga.edu/cultivars/alphabetical-list/kanza.html</t>
  </si>
  <si>
    <t>0 is a perfectly even yield, 1 is perfect alternation with NO fruiting in off year</t>
  </si>
  <si>
    <t>scions</t>
  </si>
  <si>
    <t>Done</t>
  </si>
  <si>
    <t>Not using mechanical</t>
  </si>
  <si>
    <t>Rope shaker</t>
  </si>
  <si>
    <t>Improved variety starting density</t>
  </si>
  <si>
    <t>year of production</t>
  </si>
  <si>
    <t>First orchard thinning</t>
  </si>
  <si>
    <t>Second orchard thinning</t>
  </si>
  <si>
    <t>Low yield for operation</t>
  </si>
  <si>
    <t>Year</t>
  </si>
  <si>
    <t>Average yield for operation</t>
  </si>
  <si>
    <t>High yield for operation</t>
  </si>
  <si>
    <t>High yield per tree</t>
  </si>
  <si>
    <t>Average yield per tree</t>
  </si>
  <si>
    <t>Low yield per tree</t>
  </si>
  <si>
    <t>Trees in production</t>
  </si>
  <si>
    <t>Uncracked pecans - wholesale</t>
  </si>
  <si>
    <t>Cracked and blown pecans - retail</t>
  </si>
  <si>
    <t xml:space="preserve">Wholesale uncracked pecan price </t>
  </si>
  <si>
    <t>Retail cracked and blown pecan price</t>
  </si>
  <si>
    <t>Table 6. Labor use</t>
  </si>
  <si>
    <t>Labor type</t>
  </si>
  <si>
    <t>Tree planting</t>
  </si>
  <si>
    <t>Small tree pruning</t>
  </si>
  <si>
    <t>Large tree pruning</t>
  </si>
  <si>
    <t>Harvest</t>
  </si>
  <si>
    <t>Orchard maintenance</t>
  </si>
  <si>
    <t>Minutes per tree</t>
  </si>
  <si>
    <t>Minutes per pound</t>
  </si>
  <si>
    <t>Irrigation management and maintenance</t>
  </si>
  <si>
    <t>Cost per unit</t>
  </si>
  <si>
    <t>Yield bump per tree after thinning</t>
  </si>
  <si>
    <t>hours</t>
  </si>
  <si>
    <t>Planting labor</t>
  </si>
  <si>
    <t>Total ownership costs per year</t>
  </si>
  <si>
    <t>Trees removed</t>
  </si>
  <si>
    <t>End year of growth rate</t>
  </si>
  <si>
    <t>Quantity per acre</t>
  </si>
  <si>
    <t>per cutting per acre</t>
  </si>
  <si>
    <t>trees per acre</t>
  </si>
  <si>
    <t>Orchard thinning</t>
  </si>
  <si>
    <t>$ per tree removed</t>
  </si>
  <si>
    <t>Marketing channel - retail cracked and blown</t>
  </si>
  <si>
    <t>Production growth rate</t>
  </si>
  <si>
    <t>Percentage of pollinator trees</t>
  </si>
  <si>
    <t>% of trees</t>
  </si>
  <si>
    <t>Kanza saplings</t>
  </si>
  <si>
    <t>Broadcast herbicide</t>
  </si>
  <si>
    <t>Spot-applied herbicide</t>
  </si>
  <si>
    <t>Spot applied herbicide</t>
  </si>
  <si>
    <t>Expected breakeven year</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</si>
  <si>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</si>
  <si>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</si>
  <si>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</si>
  <si>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</si>
  <si>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</si>
  <si>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</si>
  <si>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</si>
  <si>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</si>
  <si>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</si>
  <si>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</si>
  <si>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</si>
  <si>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</si>
  <si>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</si>
  <si>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</si>
  <si>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</si>
  <si>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</si>
  <si>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</si>
  <si>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</si>
  <si>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</si>
  <si>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</si>
  <si>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Year 21</t>
  </si>
  <si>
    <t>Year 22</t>
  </si>
  <si>
    <t>Year 23</t>
  </si>
  <si>
    <t>Year 24</t>
  </si>
  <si>
    <t>Year 25</t>
  </si>
  <si>
    <t>Year 26</t>
  </si>
  <si>
    <t>Year 27</t>
  </si>
  <si>
    <t>Year 28</t>
  </si>
  <si>
    <t>Year 29</t>
  </si>
  <si>
    <t>Year 30</t>
  </si>
  <si>
    <t>Year 31</t>
  </si>
  <si>
    <t>Year 32</t>
  </si>
  <si>
    <t>Year 33</t>
  </si>
  <si>
    <t>Year 34</t>
  </si>
  <si>
    <t>Year 35</t>
  </si>
  <si>
    <t>Year 36</t>
  </si>
  <si>
    <t>Year 37</t>
  </si>
  <si>
    <t>Year 38</t>
  </si>
  <si>
    <t>Year 39</t>
  </si>
  <si>
    <t>Year 40</t>
  </si>
  <si>
    <t>Year 41</t>
  </si>
  <si>
    <t>Year 42</t>
  </si>
  <si>
    <t>Year 43</t>
  </si>
  <si>
    <t>Year 44</t>
  </si>
  <si>
    <t>Year 45</t>
  </si>
  <si>
    <t>Year 46</t>
  </si>
  <si>
    <t>Year 47</t>
  </si>
  <si>
    <t>Year 48</t>
  </si>
  <si>
    <t>Year 49</t>
  </si>
  <si>
    <t>Year 50</t>
  </si>
  <si>
    <t>Year 51</t>
  </si>
  <si>
    <t>Year 52</t>
  </si>
  <si>
    <t>Year 53</t>
  </si>
  <si>
    <t>Year 54</t>
  </si>
  <si>
    <t>Year 55</t>
  </si>
  <si>
    <t>Year 56</t>
  </si>
  <si>
    <t>Year 57</t>
  </si>
  <si>
    <t>Year 58</t>
  </si>
  <si>
    <t>Year 59</t>
  </si>
  <si>
    <t>Year 60</t>
  </si>
  <si>
    <t>Year 61</t>
  </si>
  <si>
    <t>Year 62</t>
  </si>
  <si>
    <t>Year 63</t>
  </si>
  <si>
    <t>Year 64</t>
  </si>
  <si>
    <t>Year 65</t>
  </si>
  <si>
    <t>Year 66</t>
  </si>
  <si>
    <t>Year 67</t>
  </si>
  <si>
    <t>Year 68</t>
  </si>
  <si>
    <t>Year 69</t>
  </si>
  <si>
    <t>Year 70</t>
  </si>
  <si>
    <t>Year 71</t>
  </si>
  <si>
    <t>Year 72</t>
  </si>
  <si>
    <t>Year 73</t>
  </si>
  <si>
    <t>Year 74</t>
  </si>
  <si>
    <t>Year 75</t>
  </si>
  <si>
    <t>Year 76</t>
  </si>
  <si>
    <t>Default yield</t>
  </si>
  <si>
    <t>year 1 average</t>
  </si>
  <si>
    <t>Drew Kientzy and Mallory Rahe</t>
  </si>
  <si>
    <t>Pawnee difficult to manage, not a consistent yielder</t>
  </si>
  <si>
    <t>Liberty, Hark, for pollinators</t>
  </si>
  <si>
    <t>Scab resistant  also so good management fit with kanza</t>
  </si>
  <si>
    <t xml:space="preserve">Ken hart, Hunt? </t>
  </si>
  <si>
    <t>Pecan and chestnut germplasam manager, organic grower</t>
  </si>
  <si>
    <t>Kanza is Type 2</t>
  </si>
  <si>
    <t>Liberty is type 1</t>
  </si>
  <si>
    <t>Sprays for scab, 2-3 applications</t>
  </si>
  <si>
    <t>shake trees to reduce crop and make production more consistent</t>
  </si>
  <si>
    <t xml:space="preserve">Tissue and soil samples </t>
  </si>
  <si>
    <t>Reduce trees to 30x30 starting density</t>
  </si>
  <si>
    <t>Nobel foundation</t>
  </si>
  <si>
    <t>Shake on tarps for pickup</t>
  </si>
  <si>
    <t>Early vs. Late harvest</t>
  </si>
  <si>
    <t>shake twice - 50-70% and then 20-40%</t>
  </si>
  <si>
    <t>End of september</t>
  </si>
  <si>
    <t>Conventional harvest- late november 90%</t>
  </si>
  <si>
    <t>1000-1500 pounds per acre typically</t>
  </si>
  <si>
    <t>three applications</t>
  </si>
  <si>
    <t>April, June, and August</t>
  </si>
  <si>
    <t>Sprinker irrigation</t>
  </si>
  <si>
    <t>200 gal/tree/day</t>
  </si>
  <si>
    <t>900 lbs dry yield</t>
  </si>
  <si>
    <t>3 pound bag sold for $22</t>
  </si>
  <si>
    <t>6.25 lbs unshelled to bag</t>
  </si>
  <si>
    <t>50% loss for shelling</t>
  </si>
  <si>
    <t>revenue in this situation</t>
  </si>
  <si>
    <t>sprinkler irrigation</t>
  </si>
  <si>
    <t>Acres</t>
  </si>
  <si>
    <t>Length</t>
  </si>
  <si>
    <t>Width</t>
  </si>
  <si>
    <t>Trees per acre</t>
  </si>
  <si>
    <t>Trees in row</t>
  </si>
  <si>
    <t>gallons per tree per hour</t>
  </si>
  <si>
    <t>Total flow</t>
  </si>
  <si>
    <t>gallons per hour</t>
  </si>
  <si>
    <t>Pipe sizing</t>
  </si>
  <si>
    <t>at 40 psi</t>
  </si>
  <si>
    <t>Pipe</t>
  </si>
  <si>
    <t>Flow (GPH)</t>
  </si>
  <si>
    <t>Mainline pipe</t>
  </si>
  <si>
    <t>acreage check</t>
  </si>
  <si>
    <t>tree check</t>
  </si>
  <si>
    <t>Cost per foot</t>
  </si>
  <si>
    <t>Simultaneous irrigation</t>
  </si>
  <si>
    <t>Line pipe</t>
  </si>
  <si>
    <t>Line valves</t>
  </si>
  <si>
    <t>Valves</t>
  </si>
  <si>
    <t>System valves</t>
  </si>
  <si>
    <t>Sprinkler units</t>
  </si>
  <si>
    <t>Tees</t>
  </si>
  <si>
    <t>Sprinkler heads</t>
  </si>
  <si>
    <t>Pump - 3"</t>
  </si>
  <si>
    <t>Reservoir construction</t>
  </si>
  <si>
    <t>Well</t>
  </si>
  <si>
    <t>Fertigation system</t>
  </si>
  <si>
    <t>Irrigation system</t>
  </si>
  <si>
    <t>Tree shaker</t>
  </si>
  <si>
    <t>Cleaner</t>
  </si>
  <si>
    <t>Mower</t>
  </si>
  <si>
    <t>Air blast sprayer</t>
  </si>
  <si>
    <t>$ per mowing/acre</t>
  </si>
  <si>
    <t>processing equipment</t>
  </si>
  <si>
    <t>cracker</t>
  </si>
  <si>
    <t>Sheller</t>
  </si>
  <si>
    <t>cleaner</t>
  </si>
  <si>
    <t>Inspection table</t>
  </si>
  <si>
    <t>Batch weigher and bag filler</t>
  </si>
  <si>
    <t>Building</t>
  </si>
  <si>
    <t>Limb rake</t>
  </si>
  <si>
    <t>Harvest and processing</t>
  </si>
  <si>
    <t>Pole saw</t>
  </si>
  <si>
    <t>First harvest year</t>
  </si>
  <si>
    <t>years til first harvest</t>
  </si>
  <si>
    <t>Losses during processing</t>
  </si>
  <si>
    <t>% of unshelled weight</t>
  </si>
  <si>
    <t>Planting labor (hours)</t>
  </si>
  <si>
    <t>Pruning</t>
  </si>
  <si>
    <t>Hours per acre per year</t>
  </si>
  <si>
    <t>Planting labor costs</t>
  </si>
  <si>
    <t>Pruning labor costs</t>
  </si>
  <si>
    <t>Harvest labor costs</t>
  </si>
  <si>
    <t>Total hours</t>
  </si>
  <si>
    <t>Total cost</t>
  </si>
  <si>
    <t>hours per acre</t>
  </si>
  <si>
    <t xml:space="preserve">tests </t>
  </si>
  <si>
    <t>Total per acre</t>
  </si>
  <si>
    <t>Pollinator saplings</t>
  </si>
  <si>
    <t>limb raking</t>
  </si>
  <si>
    <t>minutes per acre</t>
  </si>
  <si>
    <t>Shaking</t>
  </si>
  <si>
    <t>harvesting</t>
  </si>
  <si>
    <t>Processing</t>
  </si>
  <si>
    <t>cleaning</t>
  </si>
  <si>
    <t>pounds per hour</t>
  </si>
  <si>
    <t>personell</t>
  </si>
  <si>
    <t>Transportation</t>
  </si>
  <si>
    <t>Miles to processor</t>
  </si>
  <si>
    <t>Pounds per load</t>
  </si>
  <si>
    <t>Total harvest time per acre</t>
  </si>
  <si>
    <t>Speed (MPH)</t>
  </si>
  <si>
    <t>Loading time (mins) per load</t>
  </si>
  <si>
    <t>Placement into storage (mins per load)</t>
  </si>
  <si>
    <t>Pecan storage</t>
  </si>
  <si>
    <t>Total processing time per pound, minutes</t>
  </si>
  <si>
    <t>Processing labor costs</t>
  </si>
  <si>
    <t>Transportation labor costs</t>
  </si>
  <si>
    <t>Total transportation time per pound, minutes</t>
  </si>
  <si>
    <t>Transportation time per load</t>
  </si>
  <si>
    <t>Irrigation</t>
  </si>
  <si>
    <t>yes</t>
  </si>
  <si>
    <t>no</t>
  </si>
  <si>
    <t>Tractor 1</t>
  </si>
  <si>
    <t>Tractor 2</t>
  </si>
  <si>
    <t>Weed sprayer</t>
  </si>
  <si>
    <t>Blower</t>
  </si>
  <si>
    <t>Nut harvester</t>
  </si>
  <si>
    <t>Wagon/trailer 1</t>
  </si>
  <si>
    <t>Wagon/trailer 2</t>
  </si>
  <si>
    <t>Truck</t>
  </si>
  <si>
    <t>Water trailer</t>
  </si>
  <si>
    <t>Crackers</t>
  </si>
  <si>
    <t>Shellers</t>
  </si>
  <si>
    <t>Cold storage</t>
  </si>
  <si>
    <t>UTV</t>
  </si>
  <si>
    <t>Used shellers</t>
  </si>
  <si>
    <t>New sheller-blower</t>
  </si>
  <si>
    <t>Refurbished crackers</t>
  </si>
  <si>
    <t>Used crackers</t>
  </si>
  <si>
    <t>Manual screen table</t>
  </si>
  <si>
    <t>Walk in cooler 10x20</t>
  </si>
  <si>
    <t>A/C cool room</t>
  </si>
  <si>
    <t>Sizing tables</t>
  </si>
  <si>
    <t>Automated vibratory tables</t>
  </si>
  <si>
    <t>5' nut hustler well used</t>
  </si>
  <si>
    <t>New 500 gal</t>
  </si>
  <si>
    <t>12' new</t>
  </si>
  <si>
    <t>12' used</t>
  </si>
  <si>
    <t>Gently 48" shaker</t>
  </si>
  <si>
    <t>Well used nut hustler</t>
  </si>
  <si>
    <t>Gently used 15' finish mower</t>
  </si>
  <si>
    <t>4 wheel wagon</t>
  </si>
  <si>
    <t>Used fair condition</t>
  </si>
  <si>
    <t>New boomless sprayer</t>
  </si>
  <si>
    <t>New Base model mid size</t>
  </si>
  <si>
    <t>Repair cost</t>
  </si>
  <si>
    <t>Budget equipment</t>
  </si>
  <si>
    <t>Quality equipment</t>
  </si>
  <si>
    <t>Quality equipment description</t>
  </si>
  <si>
    <t>Price</t>
  </si>
  <si>
    <t>Budget equipment description</t>
  </si>
  <si>
    <t>Home built water wagon</t>
  </si>
  <si>
    <t>Purpose built water wagon</t>
  </si>
  <si>
    <t>Equipment selection</t>
  </si>
  <si>
    <t>Salvage value</t>
  </si>
  <si>
    <t>Pecan processing</t>
  </si>
  <si>
    <t>In-house</t>
  </si>
  <si>
    <t>Custom</t>
  </si>
  <si>
    <t>N/A</t>
  </si>
  <si>
    <t>Machinery numbers from Pecan equipment facebook marketplace page and Tractor house.com</t>
  </si>
  <si>
    <t>Needed?</t>
  </si>
  <si>
    <t>Custom hire</t>
  </si>
  <si>
    <t>Man hours per ton</t>
  </si>
  <si>
    <t>Annual operating cost per acre</t>
  </si>
  <si>
    <t>Expected yield per tree</t>
  </si>
  <si>
    <t>Total yield</t>
  </si>
  <si>
    <t>Revenue</t>
  </si>
  <si>
    <t>Expenses</t>
  </si>
  <si>
    <t>Net income</t>
  </si>
  <si>
    <t>Cumulative returns</t>
  </si>
  <si>
    <t>Equipment decisions</t>
  </si>
  <si>
    <t>Allocation to pecans</t>
  </si>
  <si>
    <t>Hours per acre</t>
  </si>
  <si>
    <t xml:space="preserve">Hours per acre </t>
  </si>
  <si>
    <t>Irrigation system parameters</t>
  </si>
  <si>
    <t>Values</t>
  </si>
  <si>
    <t>Row quantity</t>
  </si>
  <si>
    <t>Rows</t>
  </si>
  <si>
    <t>Trees</t>
  </si>
  <si>
    <t>Irrigation quantity</t>
  </si>
  <si>
    <t>% of orchard area</t>
  </si>
  <si>
    <t>Mainline pipe diameter</t>
  </si>
  <si>
    <t>Row line diameter</t>
  </si>
  <si>
    <t>inches</t>
  </si>
  <si>
    <t>Irrigation system cost</t>
  </si>
  <si>
    <t>Totals</t>
  </si>
  <si>
    <t>Cost per acre</t>
  </si>
  <si>
    <t>Cost per tree</t>
  </si>
  <si>
    <t>Planting year (year 1)</t>
  </si>
  <si>
    <t>Payback year</t>
  </si>
  <si>
    <t>Total costs per acre</t>
  </si>
  <si>
    <t>Checked NM</t>
  </si>
  <si>
    <t>Checked OK</t>
  </si>
  <si>
    <t>Checked GA</t>
  </si>
  <si>
    <t>Opportunity cost of orchard investment</t>
  </si>
  <si>
    <t>Operating Costs</t>
  </si>
  <si>
    <t>Installation labor - professional</t>
  </si>
  <si>
    <t>Site prep includes:</t>
  </si>
  <si>
    <t>Subsoiling</t>
  </si>
  <si>
    <t>Disking</t>
  </si>
  <si>
    <t>Grass seeding</t>
  </si>
  <si>
    <t>1 hour per acre leveling</t>
  </si>
  <si>
    <t xml:space="preserve">15 lb/ac </t>
  </si>
  <si>
    <t>4 lb/ac</t>
  </si>
  <si>
    <t>Seed prices from Nixa Hdw 4/14/25</t>
  </si>
  <si>
    <t>Custom rates from MU survey</t>
  </si>
  <si>
    <t>Estimated per acre return over total cost at varied revenue and operating costs in a producing orchard</t>
  </si>
  <si>
    <t>Interest on establishment costs</t>
  </si>
  <si>
    <t>Production Assumptions</t>
  </si>
  <si>
    <t>Activity</t>
  </si>
  <si>
    <t>Limb raking</t>
  </si>
  <si>
    <t>Tree shaking</t>
  </si>
  <si>
    <t>Harvesting</t>
  </si>
  <si>
    <t>Productivity unit</t>
  </si>
  <si>
    <t>Productivity</t>
  </si>
  <si>
    <t>Work speed (miles per hour)</t>
  </si>
  <si>
    <t>Equipment width (feet)</t>
  </si>
  <si>
    <t>Shaker</t>
  </si>
  <si>
    <t>Harvester</t>
  </si>
  <si>
    <t>Cleaning</t>
  </si>
  <si>
    <t>Storage</t>
  </si>
  <si>
    <t>per unit</t>
  </si>
  <si>
    <t>Hours</t>
  </si>
  <si>
    <t>operating efficiency</t>
  </si>
  <si>
    <t xml:space="preserve"> per acre</t>
  </si>
  <si>
    <t>per ton</t>
  </si>
  <si>
    <t>Transportation*</t>
  </si>
  <si>
    <t>*Assumes a 7,000 pound load size and should include time for placing cleaned pecans into storage. Total not included in budget if in-house processing or no-processing option is selected.</t>
  </si>
  <si>
    <t>hours per load</t>
  </si>
  <si>
    <t>Labor use per acre</t>
  </si>
  <si>
    <t>Harvest, processing and transportation labor detail</t>
  </si>
  <si>
    <t>Orchard configuration</t>
  </si>
  <si>
    <t>Input costs</t>
  </si>
  <si>
    <t>Pecan marketing</t>
  </si>
  <si>
    <t>Breakeven yield</t>
  </si>
  <si>
    <t>Breakeven price</t>
  </si>
  <si>
    <t>dollars per pound</t>
  </si>
  <si>
    <t>ky 31 seed</t>
  </si>
  <si>
    <t>dutch white clover seed</t>
  </si>
  <si>
    <t>Yield by year (pounds)</t>
  </si>
  <si>
    <t>Revenue by year*</t>
  </si>
  <si>
    <t>Total costs*</t>
  </si>
  <si>
    <t>Net income, by year*</t>
  </si>
  <si>
    <t>Cumulative return to enterprise**</t>
  </si>
  <si>
    <t>* All displayed dollar amounts are modeled on current price assumptions and reflect the structure of the economy in 2025, and the parameters set in this model.</t>
  </si>
  <si>
    <t>** Cumulative return to enterprise is a total of all annual expenses and revenue accrued up through the listed year in 2025 dollars, it assumes costs are paid off annually and no additional interest is being charged.</t>
  </si>
  <si>
    <t>Fungicide</t>
  </si>
  <si>
    <t>Summary of Modeled Pecan Production Yield and Economic Outcomes Per Acre</t>
  </si>
  <si>
    <t>general</t>
  </si>
  <si>
    <t>harvest</t>
  </si>
  <si>
    <t>processing</t>
  </si>
  <si>
    <t>General use equipment total</t>
  </si>
  <si>
    <t>Harvest and processing equipment total</t>
  </si>
  <si>
    <t>All equipment total</t>
  </si>
  <si>
    <t>General machinery</t>
  </si>
  <si>
    <t>Harvest and processing machinery</t>
  </si>
  <si>
    <t>Theoretical revenue (hide)</t>
  </si>
  <si>
    <t>Theoretical yield op cost (hide)</t>
  </si>
  <si>
    <t>Harvest driven operating costs*</t>
  </si>
  <si>
    <t>General</t>
  </si>
  <si>
    <t>Orchard maintenance labor costs</t>
  </si>
  <si>
    <t>Irrigation management and maintenance labor costs</t>
  </si>
  <si>
    <t>People needed</t>
  </si>
  <si>
    <t>Custom Pecan cracking and blowing</t>
  </si>
  <si>
    <t>Details on both quality and budget equipment are below, use this cell to identify your preferred equipment, make additional modifications below.</t>
  </si>
  <si>
    <t>In-house: labor and equipment costs for processing a cracked and blown nut; Custom: the retail price drops $0.60 and the farm outsources this task; N/A - the farm is only selling fully shelled nuts.</t>
  </si>
  <si>
    <t>Decision details</t>
  </si>
  <si>
    <t>Min</t>
  </si>
  <si>
    <t>Max</t>
  </si>
  <si>
    <t>Average</t>
  </si>
  <si>
    <t>Transport factor</t>
  </si>
  <si>
    <t>Short-term interest rate</t>
  </si>
  <si>
    <t>Long-term interest rate</t>
  </si>
  <si>
    <t>10 year old 80 hp with cab</t>
  </si>
  <si>
    <t>Dump trailer 8 ton capacity</t>
  </si>
  <si>
    <t>New 1 ton 25% allocation</t>
  </si>
  <si>
    <t>10 year old 50 hp no cab with loader</t>
  </si>
  <si>
    <t>Gently used pull type blower</t>
  </si>
  <si>
    <t>Gently used Savage 8261</t>
  </si>
  <si>
    <t>Gently used small capacity</t>
  </si>
  <si>
    <t>30+ year old 80 hp w/cab</t>
  </si>
  <si>
    <t>Well used 500 gal</t>
  </si>
  <si>
    <t>Retired pull type ag sprayer</t>
  </si>
  <si>
    <t>Well used 10' brush hog</t>
  </si>
  <si>
    <t>15 year old 1 ton 25% allocation</t>
  </si>
  <si>
    <t>30-year old 50 hp no cab w/ loader</t>
  </si>
  <si>
    <t>Worn out pull type blower</t>
  </si>
  <si>
    <t>All costs except harvesting costs*</t>
  </si>
  <si>
    <t>Develop a customized enterprise budget for a small-scale domesticated pecan orchard to fit your farming situation. Use the shaded boxes in worksheets to change inputs or prices. This budget does not include the costs or returns to any crops that could be grown in between rows of trees. This budget is based on a series of assumptions that are outlined in MU Extension publication G738:</t>
  </si>
  <si>
    <t>Created: 6/2025</t>
  </si>
  <si>
    <t>Missouri Direct-to-Consumer Pecan Planning Budget (extension.missouri.edu/publications/g738)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</si>
</sst>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43" formatCode="_(* #,##0.00_);_(* \(#,##0.00\);_(* &quot;-&quot;??_);_(@_)"/>
    <numFmt numFmtId="164" formatCode="_(* #,##0_);_(* \(#,##0\);_(* &quot;-&quot;??_);_(@_)"/>
    <numFmt numFmtId="165" formatCode="&quot;$&quot;#,##0.00"/>
    <numFmt numFmtId="166" formatCode="0.0%"/>
    <numFmt numFmtId="167" formatCode="0.0"/>
    <numFmt numFmtId="168" formatCode="#,##0.0_);[Red]\(#,##0.0\)"/>
    <numFmt numFmtId="169" formatCode="_(&quot;$&quot;* #,##0_);_(&quot;$&quot;* \(#,##0\);_(&quot;$&quot;* &quot;-&quot;??_);_(@_)"/>
  </numFmts>
  <fonts count="41" x14ac:knownFonts="1">
    <font>
      <sz val="11"/>
      <color theme="1"/>
      <name val="Segoe UI"/>
      <family val="2"/>
      <scheme val="minor"/>
    </font>
    <font>
      <sz val="11"/>
      <color theme="1"/>
      <name val="Segoe UI"/>
      <family val="2"/>
      <scheme val="minor"/>
    </font>
    <font>
      <b/>
      <sz val="11"/>
      <color theme="1"/>
      <name val="Segoe UI"/>
      <family val="2"/>
      <scheme val="minor"/>
    </font>
    <font>
      <sz val="10"/>
      <name val="Arial"/>
      <family val="2"/>
    </font>
    <font>
      <b/>
      <sz val="11"/>
      <color rgb="FF3F3F3F"/>
      <name val="Segoe UI"/>
      <family val="2"/>
      <scheme val="minor"/>
    </font>
    <font>
      <sz val="9"/>
      <color theme="1"/>
      <name val="Segoe UI"/>
      <family val="2"/>
      <scheme val="minor"/>
    </font>
    <font>
      <i/>
      <u/>
      <sz val="11"/>
      <color theme="1"/>
      <name val="Segoe UI"/>
      <family val="2"/>
      <scheme val="minor"/>
    </font>
    <font>
      <b/>
      <u/>
      <sz val="11"/>
      <color theme="1"/>
      <name val="Segoe UI"/>
      <family val="2"/>
      <scheme val="minor"/>
    </font>
    <font>
      <sz val="8"/>
      <color theme="1"/>
      <name val="Segoe UI"/>
      <family val="2"/>
      <scheme val="minor"/>
    </font>
    <font>
      <sz val="8"/>
      <name val="Segoe UI"/>
      <family val="2"/>
      <scheme val="minor"/>
    </font>
    <font>
      <u/>
      <sz val="8"/>
      <color theme="1"/>
      <name val="Segoe UI"/>
      <family val="2"/>
      <scheme val="minor"/>
    </font>
    <font>
      <b/>
      <sz val="14"/>
      <color rgb="FFF1B82D"/>
      <name val="Segoe UI Black"/>
      <family val="2"/>
      <scheme val="major"/>
    </font>
    <font>
      <sz val="11"/>
      <color theme="1"/>
      <name val="Segoe UI"/>
      <family val="2"/>
    </font>
    <font>
      <sz val="11"/>
      <name val="Segoe UI"/>
      <family val="2"/>
    </font>
    <font>
      <sz val="9"/>
      <color theme="1"/>
      <name val="Segoe UI"/>
      <family val="2"/>
    </font>
    <font>
      <b/>
      <sz val="14"/>
      <color rgb="FFF1B82D"/>
      <name val="Segoe UI Black"/>
      <family val="2"/>
    </font>
    <font>
      <b/>
      <sz val="11"/>
      <color theme="1"/>
      <name val="Segoe UI"/>
      <family val="2"/>
    </font>
    <font>
      <b/>
      <sz val="10"/>
      <color rgb="FF3F3F3F"/>
      <name val="Segoe UI"/>
      <family val="2"/>
    </font>
    <font>
      <b/>
      <sz val="14"/>
      <color rgb="FFF1B82D"/>
      <name val="Segoe UI"/>
      <family val="2"/>
    </font>
    <font>
      <u/>
      <sz val="11"/>
      <color theme="10"/>
      <name val="Segoe UI"/>
      <family val="2"/>
      <scheme val="minor"/>
    </font>
    <font>
      <i/>
      <sz val="11"/>
      <color theme="1"/>
      <name val="Segoe UI"/>
      <family val="2"/>
      <scheme val="minor"/>
    </font>
    <font>
      <sz val="11"/>
      <name val="Segoe UI"/>
      <family val="2"/>
      <scheme val="minor"/>
    </font>
    <font>
      <sz val="11"/>
      <color theme="0"/>
      <name val="Segoe UI"/>
      <family val="2"/>
      <scheme val="minor"/>
    </font>
    <font>
      <i/>
      <u/>
      <sz val="11"/>
      <color theme="0"/>
      <name val="Segoe UI"/>
      <family val="2"/>
      <scheme val="minor"/>
    </font>
    <font>
      <i/>
      <u/>
      <sz val="11"/>
      <name val="Segoe UI"/>
      <family val="2"/>
      <scheme val="minor"/>
    </font>
    <font>
      <sz val="9"/>
      <name val="Segoe UI"/>
      <family val="2"/>
    </font>
    <font>
      <sz val="9"/>
      <name val="Segoe UI"/>
      <family val="2"/>
      <scheme val="minor"/>
    </font>
    <font>
      <i/>
      <sz val="11"/>
      <name val="Segoe UI"/>
      <family val="2"/>
      <scheme val="minor"/>
    </font>
    <font>
      <i/>
      <sz val="11"/>
      <name val="Segoe UI"/>
      <family val="2"/>
    </font>
    <font>
      <sz val="11"/>
      <color theme="1"/>
      <name val="Aptos"/>
      <family val="2"/>
    </font>
    <font>
      <b/>
      <sz val="14"/>
      <color rgb="FFF1B82D"/>
      <name val="Aptos Black"/>
      <family val="2"/>
    </font>
    <font>
      <i/>
      <sz val="11"/>
      <color theme="1"/>
      <name val="Aptos"/>
      <family val="2"/>
    </font>
    <font>
      <sz val="12"/>
      <color theme="1"/>
      <name val="Aptos"/>
      <family val="2"/>
    </font>
    <font>
      <b/>
      <sz val="11"/>
      <color rgb="FFF1B82D"/>
      <name val="Segoe UI"/>
      <family val="2"/>
      <scheme val="minor"/>
    </font>
    <font>
      <b/>
      <sz val="12"/>
      <color rgb="FFF1B82D"/>
      <name val="Segoe UI"/>
      <family val="2"/>
      <scheme val="minor"/>
    </font>
    <font>
      <sz val="11"/>
      <color rgb="FFF1B82D"/>
      <name val="Segoe UI"/>
      <family val="2"/>
      <scheme val="minor"/>
    </font>
    <font>
      <i/>
      <u/>
      <sz val="12"/>
      <color theme="1"/>
      <name val="Segoe UI"/>
      <family val="2"/>
      <scheme val="minor"/>
    </font>
    <font>
      <sz val="12"/>
      <color theme="1"/>
      <name val="Segoe UI"/>
      <family val="2"/>
      <scheme val="minor"/>
    </font>
    <font>
      <sz val="12"/>
      <color theme="1"/>
      <name val="Segoe UI"/>
      <family val="2"/>
    </font>
    <font>
      <b/>
      <sz val="12"/>
      <color theme="1"/>
      <name val="Segoe UI"/>
      <family val="2"/>
      <scheme val="minor"/>
    </font>
    <font>
      <b/>
      <sz val="11"/>
      <color rgb="FF3F3F3F"/>
      <name val="Segoe UI"/>
      <family val="2"/>
    </font>
  </fonts>
  <fills count="10">
    <fill>
      <patternFill patternType="none"/>
    </fill>
    <fill>
      <patternFill patternType="gray125"/>
    </fill>
    <fill>
      <patternFill patternType="solid">
        <fgColor theme="0"/>
        <bgColor indexed="64"/>
      </patternFill>
    </fill>
    <fill>
      <patternFill patternType="solid">
        <fgColor rgb="FFF2F2F2"/>
      </patternFill>
    </fill>
    <fill>
      <patternFill patternType="solid">
        <fgColor theme="1"/>
        <bgColor indexed="64"/>
      </patternFill>
    </fill>
    <fill>
      <patternFill patternType="solid">
        <fgColor theme="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1"/>
        <bgColor theme="1"/>
      </patternFill>
    </fill>
    <fill>
      <patternFill patternType="solid">
        <fgColor theme="4" tint="0.79998168889431442"/>
        <bgColor indexed="64"/>
      </patternFill>
    </fill>
  </fills>
  <borders count="34">
    <border>
      <left/>
      <right/>
      <top/>
      <bottom/>
      <diagonal/>
    </border>
    <border>
      <left/>
      <right/>
      <top/>
      <bottom style="thin">
        <color indexed="6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4" fillId="3" borderId="2" applyNumberFormat="0" applyAlignment="0" applyProtection="0"/>
    <xf numFmtId="44" fontId="1" fillId="0" borderId="0" applyFont="0" applyFill="0" applyBorder="0" applyAlignment="0" applyProtection="0"/>
    <xf numFmtId="0" fontId="19" fillId="0" borderId="0" applyNumberFormat="0" applyFill="0" applyBorder="0" applyAlignment="0" applyProtection="0"/>
  </cellStyleXfs>
  <cellXfs count="352">
    <xf numFmtId="0" fontId="0" fillId="0" borderId="0" xfId="0"/>
    <xf numFmtId="0" fontId="0" fillId="2" borderId="0" xfId="0" applyFill="1"/>
    <xf numFmtId="8" fontId="0" fillId="2" borderId="0" xfId="0" applyNumberFormat="1" applyFill="1"/>
    <xf numFmtId="0" fontId="0" fillId="5" borderId="0" xfId="0" applyFill="1"/>
    <xf numFmtId="2" fontId="0" fillId="0" borderId="0" xfId="0" applyNumberFormat="1"/>
    <xf numFmtId="8" fontId="0" fillId="0" borderId="0" xfId="0" applyNumberFormat="1"/>
    <xf numFmtId="0" fontId="0" fillId="0" borderId="0" xfId="0" applyAlignment="1">
      <alignment wrapText="1"/>
    </xf>
    <xf numFmtId="0" fontId="0" fillId="0" borderId="0" xfId="0" applyProtection="1">
      <protection locked="0"/>
    </xf>
    <xf numFmtId="0" fontId="0" fillId="5" borderId="1" xfId="0" applyFill="1" applyBorder="1"/>
    <xf numFmtId="0" fontId="2" fillId="0" borderId="0" xfId="0" applyFont="1"/>
    <xf numFmtId="0" fontId="6" fillId="0" borderId="0" xfId="0" applyFont="1" applyAlignment="1">
      <alignment horizontal="right"/>
    </xf>
    <xf numFmtId="0" fontId="0" fillId="0" borderId="1" xfId="0" applyBorder="1"/>
    <xf numFmtId="38" fontId="0" fillId="5" borderId="1" xfId="0" applyNumberFormat="1" applyFill="1" applyBorder="1"/>
    <xf numFmtId="38" fontId="0" fillId="5" borderId="0" xfId="0" applyNumberFormat="1" applyFill="1"/>
    <xf numFmtId="166" fontId="0" fillId="5" borderId="0" xfId="0" applyNumberFormat="1" applyFill="1"/>
    <xf numFmtId="38" fontId="0" fillId="0" borderId="1" xfId="0" applyNumberFormat="1" applyBorder="1"/>
    <xf numFmtId="38" fontId="0" fillId="0" borderId="0" xfId="0" applyNumberFormat="1"/>
    <xf numFmtId="0" fontId="0" fillId="0" borderId="0" xfId="0" applyAlignment="1">
      <alignment horizontal="right"/>
    </xf>
    <xf numFmtId="0" fontId="2" fillId="0" borderId="0" xfId="0" applyFont="1" applyAlignment="1">
      <alignment wrapText="1"/>
    </xf>
    <xf numFmtId="8" fontId="2" fillId="0" borderId="0" xfId="0" applyNumberFormat="1" applyFont="1" applyAlignment="1">
      <alignment wrapText="1"/>
    </xf>
    <xf numFmtId="3" fontId="0" fillId="0" borderId="0" xfId="0" applyNumberFormat="1"/>
    <xf numFmtId="0" fontId="0" fillId="0" borderId="1" xfId="0" applyBorder="1" applyAlignment="1">
      <alignment horizontal="right"/>
    </xf>
    <xf numFmtId="0" fontId="8" fillId="0" borderId="0" xfId="0" applyFont="1"/>
    <xf numFmtId="0" fontId="10" fillId="0" borderId="0" xfId="0" applyFont="1"/>
    <xf numFmtId="9" fontId="0" fillId="0" borderId="0" xfId="2" applyFont="1" applyFill="1" applyBorder="1"/>
    <xf numFmtId="0" fontId="5" fillId="0" borderId="0" xfId="0" applyFont="1" applyAlignment="1">
      <alignment horizontal="left"/>
    </xf>
    <xf numFmtId="0" fontId="2" fillId="0" borderId="11" xfId="0" applyFont="1" applyBorder="1"/>
    <xf numFmtId="0" fontId="2" fillId="0" borderId="1" xfId="0" applyFont="1" applyBorder="1"/>
    <xf numFmtId="8" fontId="0" fillId="0" borderId="1" xfId="0" applyNumberFormat="1" applyBorder="1"/>
    <xf numFmtId="8" fontId="0" fillId="0" borderId="10" xfId="0" applyNumberFormat="1" applyBorder="1"/>
    <xf numFmtId="0" fontId="7" fillId="0" borderId="7" xfId="0" applyFont="1" applyBorder="1"/>
    <xf numFmtId="0" fontId="0" fillId="0" borderId="7" xfId="0" applyBorder="1" applyAlignment="1">
      <alignment horizontal="left"/>
    </xf>
    <xf numFmtId="0" fontId="0" fillId="0" borderId="7" xfId="0" applyBorder="1" applyAlignment="1">
      <alignment horizontal="right"/>
    </xf>
    <xf numFmtId="0" fontId="0" fillId="0" borderId="7" xfId="0" applyBorder="1"/>
    <xf numFmtId="0" fontId="12" fillId="0" borderId="7" xfId="0" applyFont="1" applyBorder="1"/>
    <xf numFmtId="0" fontId="0" fillId="0" borderId="11" xfId="0" applyBorder="1" applyAlignment="1">
      <alignment horizontal="right"/>
    </xf>
    <xf numFmtId="0" fontId="2" fillId="0" borderId="7" xfId="0" applyFont="1" applyBorder="1"/>
    <xf numFmtId="0" fontId="2" fillId="0" borderId="12" xfId="0" applyFont="1" applyBorder="1"/>
    <xf numFmtId="0" fontId="2" fillId="0" borderId="13" xfId="0" applyFont="1" applyBorder="1"/>
    <xf numFmtId="38" fontId="2" fillId="0" borderId="13" xfId="0" applyNumberFormat="1" applyFont="1" applyBorder="1"/>
    <xf numFmtId="0" fontId="2" fillId="0" borderId="1" xfId="0" applyFont="1" applyBorder="1" applyAlignment="1">
      <alignment horizontal="center"/>
    </xf>
    <xf numFmtId="8" fontId="2" fillId="0" borderId="1" xfId="0" applyNumberFormat="1" applyFont="1" applyBorder="1" applyAlignment="1">
      <alignment horizontal="center"/>
    </xf>
    <xf numFmtId="0" fontId="0" fillId="0" borderId="11" xfId="0" applyBorder="1"/>
    <xf numFmtId="8" fontId="2" fillId="0" borderId="10" xfId="0" applyNumberFormat="1" applyFont="1" applyBorder="1" applyAlignment="1">
      <alignment horizontal="center"/>
    </xf>
    <xf numFmtId="40" fontId="0" fillId="0" borderId="8" xfId="0" applyNumberFormat="1" applyBorder="1"/>
    <xf numFmtId="40" fontId="0" fillId="0" borderId="10" xfId="0" applyNumberFormat="1" applyBorder="1"/>
    <xf numFmtId="0" fontId="2" fillId="0" borderId="1" xfId="0" applyFont="1" applyBorder="1" applyAlignment="1">
      <alignment horizontal="right"/>
    </xf>
    <xf numFmtId="0" fontId="14" fillId="0" borderId="0" xfId="0" applyFont="1" applyAlignment="1">
      <alignment horizontal="left"/>
    </xf>
    <xf numFmtId="0" fontId="12" fillId="0" borderId="0" xfId="0" applyFont="1"/>
    <xf numFmtId="0" fontId="16" fillId="0" borderId="0" xfId="0" applyFont="1"/>
    <xf numFmtId="0" fontId="16" fillId="0" borderId="0" xfId="0" applyFont="1" applyAlignment="1">
      <alignment horizontal="left" indent="4"/>
    </xf>
    <xf numFmtId="0" fontId="0" fillId="0" borderId="7" xfId="0" applyBorder="1" applyAlignment="1">
      <alignment horizontal="left" indent="1"/>
    </xf>
    <xf numFmtId="38" fontId="13" fillId="0" borderId="0" xfId="0" applyNumberFormat="1" applyFont="1"/>
    <xf numFmtId="40" fontId="13" fillId="5" borderId="0" xfId="0" applyNumberFormat="1" applyFont="1" applyFill="1"/>
    <xf numFmtId="38" fontId="0" fillId="0" borderId="10" xfId="0" applyNumberFormat="1" applyBorder="1"/>
    <xf numFmtId="38" fontId="13" fillId="5" borderId="0" xfId="0" applyNumberFormat="1" applyFont="1" applyFill="1"/>
    <xf numFmtId="168" fontId="13" fillId="5" borderId="0" xfId="0" applyNumberFormat="1" applyFont="1" applyFill="1"/>
    <xf numFmtId="0" fontId="0" fillId="0" borderId="0" xfId="0" applyAlignment="1">
      <alignment horizontal="left"/>
    </xf>
    <xf numFmtId="0" fontId="14" fillId="0" borderId="0" xfId="0" applyFont="1"/>
    <xf numFmtId="166" fontId="12" fillId="0" borderId="0" xfId="0" applyNumberFormat="1" applyFont="1" applyProtection="1">
      <protection locked="0"/>
    </xf>
    <xf numFmtId="0" fontId="5" fillId="5" borderId="1" xfId="0" applyFont="1" applyFill="1" applyBorder="1"/>
    <xf numFmtId="166" fontId="0" fillId="0" borderId="0" xfId="0" applyNumberFormat="1" applyAlignment="1">
      <alignment horizontal="right"/>
    </xf>
    <xf numFmtId="40" fontId="13" fillId="0" borderId="0" xfId="0" applyNumberFormat="1" applyFont="1"/>
    <xf numFmtId="0" fontId="0" fillId="0" borderId="18" xfId="0" applyBorder="1" applyAlignment="1">
      <alignment horizontal="right"/>
    </xf>
    <xf numFmtId="0" fontId="0" fillId="0" borderId="19" xfId="0" applyBorder="1" applyAlignment="1">
      <alignment horizontal="right"/>
    </xf>
    <xf numFmtId="43" fontId="0" fillId="5" borderId="0" xfId="1" applyFont="1" applyFill="1" applyBorder="1"/>
    <xf numFmtId="166" fontId="12" fillId="0" borderId="0" xfId="0" applyNumberFormat="1" applyFont="1"/>
    <xf numFmtId="40" fontId="13" fillId="0" borderId="1" xfId="0" applyNumberFormat="1" applyFont="1" applyBorder="1"/>
    <xf numFmtId="8" fontId="0" fillId="0" borderId="0" xfId="0" applyNumberFormat="1" applyAlignment="1">
      <alignment wrapText="1"/>
    </xf>
    <xf numFmtId="10" fontId="0" fillId="0" borderId="0" xfId="0" applyNumberFormat="1"/>
    <xf numFmtId="43" fontId="0" fillId="0" borderId="0" xfId="0" applyNumberFormat="1"/>
    <xf numFmtId="9" fontId="0" fillId="0" borderId="0" xfId="0" applyNumberFormat="1"/>
    <xf numFmtId="0" fontId="0" fillId="6" borderId="0" xfId="0" applyFill="1"/>
    <xf numFmtId="0" fontId="0" fillId="0" borderId="0" xfId="0" applyAlignment="1">
      <alignment horizontal="left" indent="1"/>
    </xf>
    <xf numFmtId="0" fontId="19" fillId="0" borderId="0" xfId="6"/>
    <xf numFmtId="167" fontId="0" fillId="0" borderId="0" xfId="0" applyNumberFormat="1"/>
    <xf numFmtId="168" fontId="13" fillId="0" borderId="0" xfId="0" applyNumberFormat="1" applyFont="1"/>
    <xf numFmtId="0" fontId="0" fillId="7" borderId="0" xfId="0" applyFill="1"/>
    <xf numFmtId="9" fontId="0" fillId="7" borderId="0" xfId="2" applyFont="1" applyFill="1"/>
    <xf numFmtId="44" fontId="0" fillId="0" borderId="0" xfId="5" applyFont="1"/>
    <xf numFmtId="0" fontId="2" fillId="0" borderId="13" xfId="0" applyFont="1" applyBorder="1" applyAlignment="1">
      <alignment horizontal="right"/>
    </xf>
    <xf numFmtId="0" fontId="2" fillId="0" borderId="14" xfId="0" applyFont="1" applyBorder="1"/>
    <xf numFmtId="0" fontId="17" fillId="0" borderId="0" xfId="4" applyFont="1" applyFill="1" applyBorder="1" applyAlignment="1">
      <alignment horizontal="center"/>
    </xf>
    <xf numFmtId="0" fontId="2" fillId="2" borderId="22" xfId="0" applyFont="1" applyFill="1" applyBorder="1"/>
    <xf numFmtId="1" fontId="2" fillId="2" borderId="22" xfId="0" applyNumberFormat="1" applyFont="1" applyFill="1" applyBorder="1"/>
    <xf numFmtId="1" fontId="0" fillId="0" borderId="0" xfId="0" applyNumberFormat="1"/>
    <xf numFmtId="0" fontId="0" fillId="0" borderId="13" xfId="0" applyBorder="1"/>
    <xf numFmtId="0" fontId="0" fillId="0" borderId="25" xfId="0" applyBorder="1"/>
    <xf numFmtId="0" fontId="0" fillId="0" borderId="24" xfId="0" applyBorder="1"/>
    <xf numFmtId="0" fontId="0" fillId="5" borderId="13" xfId="0" applyFill="1" applyBorder="1"/>
    <xf numFmtId="9" fontId="0" fillId="5" borderId="13" xfId="2" applyFont="1" applyFill="1" applyBorder="1"/>
    <xf numFmtId="1" fontId="0" fillId="0" borderId="13" xfId="0" applyNumberFormat="1" applyBorder="1"/>
    <xf numFmtId="0" fontId="0" fillId="5" borderId="24" xfId="0" applyFill="1" applyBorder="1"/>
    <xf numFmtId="0" fontId="7" fillId="0" borderId="0" xfId="0" applyFont="1"/>
    <xf numFmtId="8" fontId="2" fillId="0" borderId="0" xfId="0" applyNumberFormat="1" applyFont="1" applyAlignment="1">
      <alignment horizontal="right"/>
    </xf>
    <xf numFmtId="40" fontId="0" fillId="0" borderId="0" xfId="0" applyNumberFormat="1"/>
    <xf numFmtId="38" fontId="2" fillId="0" borderId="0" xfId="0" applyNumberFormat="1" applyFont="1"/>
    <xf numFmtId="44" fontId="0" fillId="0" borderId="0" xfId="0" applyNumberFormat="1"/>
    <xf numFmtId="0" fontId="0" fillId="0" borderId="12" xfId="0" applyBorder="1"/>
    <xf numFmtId="0" fontId="0" fillId="0" borderId="14" xfId="0" applyBorder="1"/>
    <xf numFmtId="9" fontId="0" fillId="5" borderId="0" xfId="2" applyFont="1" applyFill="1" applyBorder="1"/>
    <xf numFmtId="0" fontId="2" fillId="0" borderId="9" xfId="0" applyFont="1" applyBorder="1" applyAlignment="1">
      <alignment horizontal="center"/>
    </xf>
    <xf numFmtId="0" fontId="22" fillId="0" borderId="0" xfId="0" applyFont="1"/>
    <xf numFmtId="43" fontId="22" fillId="0" borderId="0" xfId="0" applyNumberFormat="1" applyFont="1"/>
    <xf numFmtId="0" fontId="23" fillId="0" borderId="0" xfId="0" applyFont="1" applyAlignment="1">
      <alignment horizontal="left"/>
    </xf>
    <xf numFmtId="166" fontId="0" fillId="5" borderId="0" xfId="0" applyNumberFormat="1" applyFill="1" applyAlignment="1">
      <alignment horizontal="right"/>
    </xf>
    <xf numFmtId="0" fontId="21" fillId="0" borderId="0" xfId="0" applyFont="1"/>
    <xf numFmtId="0" fontId="24" fillId="0" borderId="0" xfId="0" applyFont="1"/>
    <xf numFmtId="0" fontId="24" fillId="0" borderId="0" xfId="0" applyFont="1" applyAlignment="1">
      <alignment horizontal="right"/>
    </xf>
    <xf numFmtId="0" fontId="25" fillId="0" borderId="0" xfId="0" applyFont="1" applyAlignment="1">
      <alignment horizontal="left"/>
    </xf>
    <xf numFmtId="165" fontId="21" fillId="0" borderId="0" xfId="0" applyNumberFormat="1" applyFont="1" applyAlignment="1">
      <alignment horizontal="right"/>
    </xf>
    <xf numFmtId="165" fontId="21" fillId="0" borderId="0" xfId="0" applyNumberFormat="1" applyFont="1"/>
    <xf numFmtId="165" fontId="24" fillId="0" borderId="0" xfId="0" applyNumberFormat="1" applyFont="1"/>
    <xf numFmtId="3" fontId="21" fillId="0" borderId="0" xfId="0" applyNumberFormat="1" applyFont="1" applyProtection="1">
      <protection locked="0"/>
    </xf>
    <xf numFmtId="0" fontId="26" fillId="0" borderId="0" xfId="0" applyFont="1"/>
    <xf numFmtId="164" fontId="21" fillId="0" borderId="0" xfId="1" applyNumberFormat="1" applyFont="1" applyFill="1" applyBorder="1" applyAlignment="1">
      <alignment horizontal="right"/>
    </xf>
    <xf numFmtId="0" fontId="26" fillId="0" borderId="0" xfId="0" applyFont="1" applyAlignment="1">
      <alignment horizontal="left"/>
    </xf>
    <xf numFmtId="38" fontId="21" fillId="0" borderId="0" xfId="0" applyNumberFormat="1" applyFont="1"/>
    <xf numFmtId="166" fontId="21" fillId="0" borderId="0" xfId="0" applyNumberFormat="1" applyFont="1"/>
    <xf numFmtId="9" fontId="21" fillId="0" borderId="0" xfId="2" applyFont="1" applyFill="1" applyBorder="1"/>
    <xf numFmtId="165" fontId="27" fillId="0" borderId="0" xfId="0" applyNumberFormat="1" applyFont="1"/>
    <xf numFmtId="165" fontId="21" fillId="0" borderId="0" xfId="2" applyNumberFormat="1" applyFont="1" applyFill="1" applyBorder="1"/>
    <xf numFmtId="165" fontId="28" fillId="0" borderId="0" xfId="0" applyNumberFormat="1" applyFont="1"/>
    <xf numFmtId="0" fontId="2" fillId="0" borderId="19" xfId="0" applyFont="1" applyBorder="1" applyAlignment="1">
      <alignment horizontal="right"/>
    </xf>
    <xf numFmtId="0" fontId="0" fillId="0" borderId="11" xfId="0" applyBorder="1" applyAlignment="1">
      <alignment horizontal="left"/>
    </xf>
    <xf numFmtId="0" fontId="0" fillId="0" borderId="1" xfId="0" applyBorder="1" applyAlignment="1">
      <alignment horizontal="left"/>
    </xf>
    <xf numFmtId="40" fontId="13" fillId="0" borderId="8" xfId="0" applyNumberFormat="1" applyFont="1" applyBorder="1"/>
    <xf numFmtId="0" fontId="0" fillId="0" borderId="8" xfId="0" applyBorder="1" applyAlignment="1">
      <alignment horizontal="left"/>
    </xf>
    <xf numFmtId="0" fontId="0" fillId="0" borderId="10" xfId="0" applyBorder="1" applyAlignment="1">
      <alignment horizontal="left"/>
    </xf>
    <xf numFmtId="0" fontId="2" fillId="0" borderId="11" xfId="0" applyFont="1" applyBorder="1" applyAlignment="1">
      <alignment horizontal="center"/>
    </xf>
    <xf numFmtId="38" fontId="0" fillId="0" borderId="7" xfId="0" applyNumberFormat="1" applyBorder="1"/>
    <xf numFmtId="38" fontId="13" fillId="5" borderId="7" xfId="0" applyNumberFormat="1" applyFont="1" applyFill="1" applyBorder="1"/>
    <xf numFmtId="168" fontId="13" fillId="5" borderId="7" xfId="0" applyNumberFormat="1" applyFont="1" applyFill="1" applyBorder="1"/>
    <xf numFmtId="168" fontId="13" fillId="0" borderId="7" xfId="0" applyNumberFormat="1" applyFont="1" applyBorder="1"/>
    <xf numFmtId="38" fontId="13" fillId="0" borderId="7" xfId="0" applyNumberFormat="1" applyFont="1" applyBorder="1"/>
    <xf numFmtId="166" fontId="0" fillId="0" borderId="7" xfId="0" applyNumberFormat="1" applyBorder="1" applyAlignment="1">
      <alignment horizontal="right"/>
    </xf>
    <xf numFmtId="40" fontId="0" fillId="0" borderId="1" xfId="0" applyNumberFormat="1" applyBorder="1"/>
    <xf numFmtId="0" fontId="2" fillId="0" borderId="10" xfId="0" applyFont="1" applyBorder="1" applyAlignment="1">
      <alignment horizontal="center"/>
    </xf>
    <xf numFmtId="1" fontId="0" fillId="0" borderId="1" xfId="0" applyNumberFormat="1" applyBorder="1"/>
    <xf numFmtId="167" fontId="2" fillId="0" borderId="0" xfId="0" applyNumberFormat="1" applyFont="1"/>
    <xf numFmtId="165" fontId="2" fillId="0" borderId="13" xfId="0" applyNumberFormat="1" applyFont="1" applyBorder="1"/>
    <xf numFmtId="0" fontId="29" fillId="0" borderId="0" xfId="0" applyFont="1"/>
    <xf numFmtId="0" fontId="29" fillId="4" borderId="4" xfId="0" applyFont="1" applyFill="1" applyBorder="1"/>
    <xf numFmtId="0" fontId="30" fillId="4" borderId="7" xfId="0" applyFont="1" applyFill="1" applyBorder="1" applyAlignment="1">
      <alignment horizontal="center" textRotation="90"/>
    </xf>
    <xf numFmtId="3" fontId="32" fillId="0" borderId="0" xfId="0" applyNumberFormat="1" applyFont="1"/>
    <xf numFmtId="3" fontId="32" fillId="0" borderId="8" xfId="0" applyNumberFormat="1" applyFont="1" applyBorder="1"/>
    <xf numFmtId="3" fontId="32" fillId="0" borderId="13" xfId="0" applyNumberFormat="1" applyFont="1" applyBorder="1"/>
    <xf numFmtId="3" fontId="32" fillId="0" borderId="14" xfId="0" applyNumberFormat="1" applyFont="1" applyBorder="1"/>
    <xf numFmtId="0" fontId="31" fillId="4" borderId="31" xfId="0" applyFont="1" applyFill="1" applyBorder="1"/>
    <xf numFmtId="9" fontId="29" fillId="0" borderId="3" xfId="2" applyFont="1" applyBorder="1" applyAlignment="1">
      <alignment horizontal="right"/>
    </xf>
    <xf numFmtId="9" fontId="29" fillId="0" borderId="9" xfId="2" applyFont="1" applyBorder="1" applyAlignment="1">
      <alignment horizontal="right"/>
    </xf>
    <xf numFmtId="9" fontId="32" fillId="0" borderId="29" xfId="2" applyFont="1" applyBorder="1" applyAlignment="1">
      <alignment horizontal="center"/>
    </xf>
    <xf numFmtId="9" fontId="32" fillId="0" borderId="30" xfId="2" applyFont="1" applyBorder="1" applyAlignment="1">
      <alignment horizontal="center"/>
    </xf>
    <xf numFmtId="3" fontId="32" fillId="9" borderId="0" xfId="0" applyNumberFormat="1" applyFont="1" applyFill="1"/>
    <xf numFmtId="165" fontId="0" fillId="5" borderId="1" xfId="5" applyNumberFormat="1" applyFont="1" applyFill="1" applyBorder="1"/>
    <xf numFmtId="0" fontId="0" fillId="0" borderId="16" xfId="0" applyBorder="1" applyAlignment="1">
      <alignment horizontal="left"/>
    </xf>
    <xf numFmtId="0" fontId="0" fillId="0" borderId="3" xfId="0" applyBorder="1" applyAlignment="1">
      <alignment horizontal="left"/>
    </xf>
    <xf numFmtId="0" fontId="0" fillId="0" borderId="9" xfId="0" applyBorder="1" applyAlignment="1">
      <alignment horizontal="left"/>
    </xf>
    <xf numFmtId="38" fontId="0" fillId="0" borderId="3" xfId="0" applyNumberFormat="1" applyBorder="1" applyAlignment="1">
      <alignment horizontal="left"/>
    </xf>
    <xf numFmtId="9" fontId="0" fillId="0" borderId="3" xfId="2" applyFont="1" applyBorder="1" applyAlignment="1">
      <alignment horizontal="left"/>
    </xf>
    <xf numFmtId="38" fontId="0" fillId="0" borderId="3" xfId="0" applyNumberFormat="1" applyBorder="1"/>
    <xf numFmtId="0" fontId="21" fillId="0" borderId="1" xfId="0" applyFont="1" applyBorder="1"/>
    <xf numFmtId="0" fontId="21" fillId="5" borderId="1" xfId="0" applyFont="1" applyFill="1" applyBorder="1"/>
    <xf numFmtId="167" fontId="21" fillId="0" borderId="1" xfId="0" applyNumberFormat="1" applyFont="1" applyBorder="1"/>
    <xf numFmtId="0" fontId="33" fillId="8" borderId="23" xfId="0" applyFont="1" applyFill="1" applyBorder="1"/>
    <xf numFmtId="0" fontId="34" fillId="4" borderId="0" xfId="0" applyFont="1" applyFill="1"/>
    <xf numFmtId="0" fontId="33" fillId="4" borderId="0" xfId="0" applyFont="1" applyFill="1"/>
    <xf numFmtId="0" fontId="0" fillId="4" borderId="1" xfId="0" applyFill="1" applyBorder="1"/>
    <xf numFmtId="0" fontId="34" fillId="4" borderId="1" xfId="0" applyFont="1" applyFill="1" applyBorder="1"/>
    <xf numFmtId="0" fontId="0" fillId="4" borderId="0" xfId="0" applyFill="1"/>
    <xf numFmtId="0" fontId="34" fillId="4" borderId="1" xfId="0" applyFont="1" applyFill="1" applyBorder="1" applyAlignment="1">
      <alignment textRotation="90"/>
    </xf>
    <xf numFmtId="0" fontId="34" fillId="4" borderId="26" xfId="0" applyFont="1" applyFill="1" applyBorder="1"/>
    <xf numFmtId="0" fontId="34" fillId="4" borderId="27" xfId="0" applyFont="1" applyFill="1" applyBorder="1"/>
    <xf numFmtId="0" fontId="34" fillId="4" borderId="28" xfId="0" applyFont="1" applyFill="1" applyBorder="1"/>
    <xf numFmtId="0" fontId="34" fillId="4" borderId="16" xfId="0" applyFont="1" applyFill="1" applyBorder="1"/>
    <xf numFmtId="0" fontId="34" fillId="4" borderId="3" xfId="0" applyFont="1" applyFill="1" applyBorder="1"/>
    <xf numFmtId="0" fontId="34" fillId="4" borderId="9" xfId="0" applyFont="1" applyFill="1" applyBorder="1"/>
    <xf numFmtId="0" fontId="2" fillId="2" borderId="3" xfId="0" applyFont="1" applyFill="1" applyBorder="1"/>
    <xf numFmtId="1" fontId="2" fillId="2" borderId="3" xfId="0" applyNumberFormat="1" applyFont="1" applyFill="1" applyBorder="1"/>
    <xf numFmtId="0" fontId="2" fillId="0" borderId="0" xfId="0" applyFont="1" applyAlignment="1">
      <alignment horizontal="right"/>
    </xf>
    <xf numFmtId="169" fontId="0" fillId="0" borderId="3" xfId="5" applyNumberFormat="1" applyFont="1" applyBorder="1"/>
    <xf numFmtId="164" fontId="0" fillId="0" borderId="0" xfId="1" applyNumberFormat="1" applyFont="1"/>
    <xf numFmtId="164" fontId="0" fillId="0" borderId="3" xfId="1" applyNumberFormat="1" applyFont="1" applyBorder="1"/>
    <xf numFmtId="0" fontId="2" fillId="0" borderId="11" xfId="0" applyFont="1" applyBorder="1" applyAlignment="1">
      <alignment wrapText="1"/>
    </xf>
    <xf numFmtId="0" fontId="12" fillId="0" borderId="0" xfId="0" applyFont="1" applyAlignment="1">
      <alignment horizontal="left"/>
    </xf>
    <xf numFmtId="164" fontId="0" fillId="0" borderId="13" xfId="1" applyNumberFormat="1" applyFont="1" applyBorder="1"/>
    <xf numFmtId="0" fontId="2" fillId="0" borderId="1" xfId="0" applyFont="1" applyBorder="1" applyAlignment="1">
      <alignment horizontal="right" wrapText="1"/>
    </xf>
    <xf numFmtId="0" fontId="2" fillId="0" borderId="10" xfId="0" applyFont="1" applyBorder="1" applyAlignment="1">
      <alignment horizontal="right" wrapText="1"/>
    </xf>
    <xf numFmtId="169" fontId="0" fillId="0" borderId="0" xfId="0" applyNumberFormat="1"/>
    <xf numFmtId="169" fontId="0" fillId="0" borderId="8" xfId="0" applyNumberFormat="1" applyBorder="1"/>
    <xf numFmtId="169" fontId="0" fillId="0" borderId="13" xfId="0" applyNumberFormat="1" applyBorder="1"/>
    <xf numFmtId="169" fontId="0" fillId="0" borderId="14" xfId="0" applyNumberFormat="1" applyBorder="1"/>
    <xf numFmtId="0" fontId="0" fillId="0" borderId="4" xfId="0" applyBorder="1"/>
    <xf numFmtId="0" fontId="0" fillId="0" borderId="5" xfId="0" applyBorder="1"/>
    <xf numFmtId="1" fontId="0" fillId="0" borderId="5" xfId="0" applyNumberFormat="1" applyBorder="1"/>
    <xf numFmtId="164" fontId="0" fillId="0" borderId="5" xfId="1" applyNumberFormat="1" applyFont="1" applyBorder="1"/>
    <xf numFmtId="164" fontId="0" fillId="0" borderId="6" xfId="1" applyNumberFormat="1" applyFont="1" applyBorder="1"/>
    <xf numFmtId="164" fontId="0" fillId="0" borderId="1" xfId="1" applyNumberFormat="1" applyFont="1" applyBorder="1"/>
    <xf numFmtId="164" fontId="0" fillId="0" borderId="10" xfId="1" applyNumberFormat="1" applyFont="1" applyBorder="1"/>
    <xf numFmtId="164" fontId="2" fillId="0" borderId="13" xfId="1" applyNumberFormat="1" applyFont="1" applyBorder="1"/>
    <xf numFmtId="164" fontId="2" fillId="0" borderId="14" xfId="1" applyNumberFormat="1" applyFont="1" applyBorder="1"/>
    <xf numFmtId="164" fontId="0" fillId="5" borderId="0" xfId="1" applyNumberFormat="1" applyFont="1" applyFill="1"/>
    <xf numFmtId="164" fontId="0" fillId="5" borderId="13" xfId="1" applyNumberFormat="1" applyFont="1" applyFill="1" applyBorder="1"/>
    <xf numFmtId="164" fontId="0" fillId="0" borderId="8" xfId="1" applyNumberFormat="1" applyFont="1" applyBorder="1"/>
    <xf numFmtId="164" fontId="0" fillId="0" borderId="14" xfId="1" applyNumberFormat="1" applyFont="1" applyBorder="1"/>
    <xf numFmtId="164" fontId="2" fillId="0" borderId="0" xfId="1" applyNumberFormat="1" applyFont="1"/>
    <xf numFmtId="164" fontId="2" fillId="0" borderId="10" xfId="1" applyNumberFormat="1" applyFont="1" applyBorder="1"/>
    <xf numFmtId="0" fontId="36" fillId="0" borderId="0" xfId="0" applyFont="1"/>
    <xf numFmtId="0" fontId="36" fillId="2" borderId="0" xfId="0" applyFont="1" applyFill="1" applyAlignment="1">
      <alignment horizontal="right"/>
    </xf>
    <xf numFmtId="0" fontId="37" fillId="0" borderId="0" xfId="0" applyFont="1"/>
    <xf numFmtId="0" fontId="37" fillId="0" borderId="21" xfId="0" applyFont="1" applyBorder="1"/>
    <xf numFmtId="3" fontId="37" fillId="5" borderId="0" xfId="0" applyNumberFormat="1" applyFont="1" applyFill="1" applyProtection="1">
      <protection locked="0"/>
    </xf>
    <xf numFmtId="0" fontId="38" fillId="0" borderId="0" xfId="0" applyFont="1" applyAlignment="1">
      <alignment horizontal="left"/>
    </xf>
    <xf numFmtId="43" fontId="37" fillId="5" borderId="0" xfId="1" applyFont="1" applyFill="1"/>
    <xf numFmtId="4" fontId="37" fillId="5" borderId="0" xfId="0" applyNumberFormat="1" applyFont="1" applyFill="1" applyProtection="1">
      <protection locked="0"/>
    </xf>
    <xf numFmtId="164" fontId="37" fillId="0" borderId="0" xfId="1" applyNumberFormat="1" applyFont="1" applyFill="1"/>
    <xf numFmtId="166" fontId="37" fillId="5" borderId="0" xfId="0" applyNumberFormat="1" applyFont="1" applyFill="1"/>
    <xf numFmtId="0" fontId="38" fillId="5" borderId="0" xfId="0" applyFont="1" applyFill="1" applyAlignment="1">
      <alignment horizontal="left"/>
    </xf>
    <xf numFmtId="43" fontId="37" fillId="5" borderId="0" xfId="1" applyFont="1" applyFill="1" applyBorder="1"/>
    <xf numFmtId="0" fontId="36" fillId="0" borderId="0" xfId="0" applyFont="1" applyAlignment="1">
      <alignment horizontal="right"/>
    </xf>
    <xf numFmtId="3" fontId="37" fillId="0" borderId="0" xfId="0" applyNumberFormat="1" applyFont="1"/>
    <xf numFmtId="0" fontId="37" fillId="0" borderId="1" xfId="0" applyFont="1" applyBorder="1"/>
    <xf numFmtId="43" fontId="37" fillId="5" borderId="1" xfId="1" applyFont="1" applyFill="1" applyBorder="1"/>
    <xf numFmtId="0" fontId="38" fillId="0" borderId="1" xfId="0" applyFont="1" applyBorder="1" applyAlignment="1">
      <alignment horizontal="left"/>
    </xf>
    <xf numFmtId="0" fontId="39" fillId="0" borderId="0" xfId="0" applyFont="1" applyAlignment="1">
      <alignment textRotation="90"/>
    </xf>
    <xf numFmtId="9" fontId="37" fillId="5" borderId="0" xfId="0" applyNumberFormat="1" applyFont="1" applyFill="1"/>
    <xf numFmtId="44" fontId="37" fillId="5" borderId="0" xfId="5" applyFont="1" applyFill="1"/>
    <xf numFmtId="44" fontId="37" fillId="5" borderId="1" xfId="5" applyFont="1" applyFill="1" applyBorder="1"/>
    <xf numFmtId="164" fontId="37" fillId="5" borderId="0" xfId="1" applyNumberFormat="1" applyFont="1" applyFill="1" applyAlignment="1">
      <alignment horizontal="left" indent="2"/>
    </xf>
    <xf numFmtId="164" fontId="37" fillId="5" borderId="0" xfId="1" applyNumberFormat="1" applyFont="1" applyFill="1" applyBorder="1" applyAlignment="1">
      <alignment horizontal="left" indent="2"/>
    </xf>
    <xf numFmtId="164" fontId="37" fillId="5" borderId="0" xfId="1" applyNumberFormat="1" applyFont="1" applyFill="1"/>
    <xf numFmtId="0" fontId="0" fillId="0" borderId="13" xfId="0" applyBorder="1" applyAlignment="1">
      <alignment horizontal="right"/>
    </xf>
    <xf numFmtId="0" fontId="0" fillId="0" borderId="14" xfId="0" applyBorder="1" applyAlignment="1">
      <alignment horizontal="right"/>
    </xf>
    <xf numFmtId="0" fontId="0" fillId="0" borderId="1" xfId="0" applyBorder="1" applyAlignment="1">
      <alignment wrapText="1"/>
    </xf>
    <xf numFmtId="164" fontId="0" fillId="0" borderId="3" xfId="1" applyNumberFormat="1" applyFont="1" applyFill="1" applyBorder="1"/>
    <xf numFmtId="169" fontId="0" fillId="0" borderId="3" xfId="5" applyNumberFormat="1" applyFont="1" applyFill="1" applyBorder="1"/>
    <xf numFmtId="44" fontId="0" fillId="0" borderId="8" xfId="0" applyNumberFormat="1" applyBorder="1"/>
    <xf numFmtId="44" fontId="0" fillId="0" borderId="10" xfId="0" applyNumberFormat="1" applyBorder="1"/>
    <xf numFmtId="44" fontId="2" fillId="0" borderId="8" xfId="0" applyNumberFormat="1" applyFont="1" applyBorder="1" applyAlignment="1">
      <alignment horizontal="right"/>
    </xf>
    <xf numFmtId="44" fontId="2" fillId="0" borderId="8" xfId="0" applyNumberFormat="1" applyFont="1" applyBorder="1"/>
    <xf numFmtId="44" fontId="2" fillId="0" borderId="10" xfId="0" applyNumberFormat="1" applyFont="1" applyBorder="1"/>
    <xf numFmtId="9" fontId="0" fillId="0" borderId="16" xfId="2" applyFont="1" applyBorder="1" applyAlignment="1">
      <alignment horizontal="left"/>
    </xf>
    <xf numFmtId="9" fontId="38" fillId="0" borderId="0" xfId="2" applyFont="1" applyFill="1" applyAlignment="1">
      <alignment horizontal="left"/>
    </xf>
    <xf numFmtId="9" fontId="22" fillId="0" borderId="0" xfId="2" applyFont="1"/>
    <xf numFmtId="43" fontId="22" fillId="0" borderId="0" xfId="1" applyFont="1" applyFill="1"/>
    <xf numFmtId="0" fontId="6" fillId="0" borderId="7" xfId="0" applyFont="1" applyBorder="1"/>
    <xf numFmtId="0" fontId="6" fillId="0" borderId="0" xfId="0" applyFont="1"/>
    <xf numFmtId="0" fontId="6" fillId="0" borderId="8" xfId="0" applyFont="1" applyBorder="1" applyAlignment="1">
      <alignment horizontal="right"/>
    </xf>
    <xf numFmtId="0" fontId="12" fillId="5" borderId="7" xfId="0" applyFont="1" applyFill="1" applyBorder="1" applyAlignment="1">
      <alignment horizontal="left"/>
    </xf>
    <xf numFmtId="165" fontId="0" fillId="5" borderId="8" xfId="0" applyNumberFormat="1" applyFill="1" applyBorder="1" applyAlignment="1">
      <alignment horizontal="right"/>
    </xf>
    <xf numFmtId="165" fontId="0" fillId="5" borderId="8" xfId="0" applyNumberFormat="1" applyFill="1" applyBorder="1"/>
    <xf numFmtId="0" fontId="14" fillId="5" borderId="11" xfId="0" applyFont="1" applyFill="1" applyBorder="1" applyAlignment="1">
      <alignment horizontal="left"/>
    </xf>
    <xf numFmtId="165" fontId="0" fillId="5" borderId="10" xfId="0" applyNumberFormat="1" applyFill="1" applyBorder="1"/>
    <xf numFmtId="165" fontId="6" fillId="0" borderId="8" xfId="0" applyNumberFormat="1" applyFont="1" applyBorder="1"/>
    <xf numFmtId="0" fontId="0" fillId="0" borderId="8" xfId="0" applyBorder="1"/>
    <xf numFmtId="0" fontId="34" fillId="4" borderId="11" xfId="0" applyFont="1" applyFill="1" applyBorder="1"/>
    <xf numFmtId="0" fontId="34" fillId="4" borderId="10" xfId="0" applyFont="1" applyFill="1" applyBorder="1"/>
    <xf numFmtId="0" fontId="0" fillId="0" borderId="7" xfId="0" applyBorder="1" applyAlignment="1">
      <alignment horizontal="center"/>
    </xf>
    <xf numFmtId="0" fontId="0" fillId="0" borderId="0" xfId="0" applyAlignment="1">
      <alignment horizontal="center"/>
    </xf>
    <xf numFmtId="0" fontId="0" fillId="0" borderId="8" xfId="0" applyBorder="1" applyAlignment="1">
      <alignment horizontal="center"/>
    </xf>
    <xf numFmtId="0" fontId="0" fillId="5" borderId="8" xfId="0" applyFill="1" applyBorder="1"/>
    <xf numFmtId="9" fontId="0" fillId="5" borderId="8" xfId="2" applyFont="1" applyFill="1" applyBorder="1"/>
    <xf numFmtId="9" fontId="0" fillId="0" borderId="8" xfId="2" applyFont="1" applyBorder="1"/>
    <xf numFmtId="165" fontId="0" fillId="5" borderId="0" xfId="5" applyNumberFormat="1" applyFont="1" applyFill="1" applyBorder="1"/>
    <xf numFmtId="9" fontId="0" fillId="5" borderId="10" xfId="2" applyFont="1" applyFill="1" applyBorder="1"/>
    <xf numFmtId="0" fontId="6" fillId="0" borderId="12" xfId="0" applyFont="1" applyBorder="1"/>
    <xf numFmtId="165" fontId="6" fillId="0" borderId="13" xfId="5" applyNumberFormat="1" applyFont="1" applyBorder="1"/>
    <xf numFmtId="166" fontId="0" fillId="0" borderId="0" xfId="0" applyNumberFormat="1"/>
    <xf numFmtId="3" fontId="22" fillId="0" borderId="0" xfId="0" applyNumberFormat="1" applyFont="1"/>
    <xf numFmtId="167" fontId="2" fillId="0" borderId="8" xfId="0" applyNumberFormat="1" applyFont="1" applyBorder="1"/>
    <xf numFmtId="44" fontId="2" fillId="0" borderId="1" xfId="5" applyFont="1" applyBorder="1"/>
    <xf numFmtId="43" fontId="0" fillId="0" borderId="8" xfId="1" applyFont="1" applyBorder="1" applyAlignment="1">
      <alignment horizontal="right"/>
    </xf>
    <xf numFmtId="43" fontId="0" fillId="0" borderId="10" xfId="1" applyFont="1" applyBorder="1" applyAlignment="1">
      <alignment horizontal="right"/>
    </xf>
    <xf numFmtId="43" fontId="0" fillId="0" borderId="8" xfId="1" applyFont="1" applyBorder="1"/>
    <xf numFmtId="43" fontId="0" fillId="0" borderId="10" xfId="1" applyFont="1" applyBorder="1"/>
    <xf numFmtId="169" fontId="0" fillId="0" borderId="0" xfId="5" applyNumberFormat="1" applyFont="1"/>
    <xf numFmtId="169" fontId="0" fillId="0" borderId="1" xfId="5" applyNumberFormat="1" applyFont="1" applyBorder="1"/>
    <xf numFmtId="169" fontId="2" fillId="0" borderId="0" xfId="5" applyNumberFormat="1" applyFont="1"/>
    <xf numFmtId="44" fontId="2" fillId="0" borderId="19" xfId="5" applyFont="1" applyBorder="1"/>
    <xf numFmtId="44" fontId="2" fillId="0" borderId="20" xfId="5" applyFont="1" applyBorder="1"/>
    <xf numFmtId="44" fontId="0" fillId="0" borderId="8" xfId="5" applyFont="1" applyBorder="1"/>
    <xf numFmtId="169" fontId="2" fillId="0" borderId="19" xfId="5" applyNumberFormat="1" applyFont="1" applyBorder="1"/>
    <xf numFmtId="44" fontId="0" fillId="0" borderId="0" xfId="5" applyFont="1" applyAlignment="1">
      <alignment horizontal="right"/>
    </xf>
    <xf numFmtId="44" fontId="0" fillId="0" borderId="7" xfId="5" applyFont="1" applyBorder="1"/>
    <xf numFmtId="169" fontId="0" fillId="0" borderId="0" xfId="5" applyNumberFormat="1" applyFont="1" applyAlignment="1">
      <alignment horizontal="right"/>
    </xf>
    <xf numFmtId="0" fontId="21" fillId="5" borderId="0" xfId="0" applyFont="1" applyFill="1"/>
    <xf numFmtId="9" fontId="0" fillId="5" borderId="14" xfId="2" applyFont="1" applyFill="1" applyBorder="1"/>
    <xf numFmtId="0" fontId="35" fillId="0" borderId="0" xfId="0" applyFont="1"/>
    <xf numFmtId="0" fontId="2" fillId="2" borderId="0" xfId="0" applyFont="1" applyFill="1"/>
    <xf numFmtId="1" fontId="2" fillId="2" borderId="0" xfId="0" applyNumberFormat="1" applyFont="1" applyFill="1"/>
    <xf numFmtId="164" fontId="0" fillId="0" borderId="0" xfId="1" applyNumberFormat="1" applyFont="1" applyBorder="1"/>
    <xf numFmtId="167" fontId="0" fillId="5" borderId="0" xfId="0" applyNumberFormat="1" applyFill="1"/>
    <xf numFmtId="0" fontId="33" fillId="4" borderId="4" xfId="0" applyFont="1" applyFill="1" applyBorder="1"/>
    <xf numFmtId="167" fontId="33" fillId="4" borderId="5" xfId="0" applyNumberFormat="1" applyFont="1" applyFill="1" applyBorder="1" applyAlignment="1">
      <alignment horizontal="right"/>
    </xf>
    <xf numFmtId="167" fontId="33" fillId="4" borderId="6" xfId="0" applyNumberFormat="1" applyFont="1" applyFill="1" applyBorder="1" applyAlignment="1">
      <alignment horizontal="right"/>
    </xf>
    <xf numFmtId="0" fontId="2" fillId="2" borderId="16" xfId="0" applyFont="1" applyFill="1" applyBorder="1"/>
    <xf numFmtId="1" fontId="2" fillId="2" borderId="9" xfId="0" applyNumberFormat="1" applyFont="1" applyFill="1" applyBorder="1"/>
    <xf numFmtId="0" fontId="0" fillId="0" borderId="16" xfId="0" applyBorder="1"/>
    <xf numFmtId="164" fontId="0" fillId="0" borderId="9" xfId="1" applyNumberFormat="1" applyFont="1" applyBorder="1"/>
    <xf numFmtId="169" fontId="0" fillId="0" borderId="9" xfId="5" applyNumberFormat="1" applyFont="1" applyBorder="1"/>
    <xf numFmtId="169" fontId="0" fillId="0" borderId="9" xfId="5" applyNumberFormat="1" applyFont="1" applyFill="1" applyBorder="1"/>
    <xf numFmtId="0" fontId="12" fillId="5" borderId="0" xfId="0" applyFont="1" applyFill="1" applyAlignment="1">
      <alignment horizontal="left"/>
    </xf>
    <xf numFmtId="165" fontId="0" fillId="0" borderId="8" xfId="0" applyNumberFormat="1" applyBorder="1" applyAlignment="1">
      <alignment horizontal="right"/>
    </xf>
    <xf numFmtId="0" fontId="14" fillId="5" borderId="12" xfId="0" applyFont="1" applyFill="1" applyBorder="1" applyAlignment="1">
      <alignment horizontal="left"/>
    </xf>
    <xf numFmtId="0" fontId="14" fillId="5" borderId="13" xfId="0" applyFont="1" applyFill="1" applyBorder="1" applyAlignment="1">
      <alignment horizontal="left"/>
    </xf>
    <xf numFmtId="165" fontId="0" fillId="0" borderId="14" xfId="0" applyNumberFormat="1" applyBorder="1"/>
    <xf numFmtId="0" fontId="24" fillId="0" borderId="7" xfId="0" applyFont="1" applyBorder="1"/>
    <xf numFmtId="0" fontId="6" fillId="0" borderId="8" xfId="0" applyFont="1" applyBorder="1"/>
    <xf numFmtId="0" fontId="21" fillId="0" borderId="7" xfId="0" applyFont="1" applyBorder="1"/>
    <xf numFmtId="167" fontId="21" fillId="0" borderId="0" xfId="0" applyNumberFormat="1" applyFont="1"/>
    <xf numFmtId="0" fontId="21" fillId="0" borderId="11" xfId="0" applyFont="1" applyBorder="1"/>
    <xf numFmtId="0" fontId="0" fillId="0" borderId="10" xfId="0" applyBorder="1"/>
    <xf numFmtId="0" fontId="0" fillId="0" borderId="32" xfId="0" applyBorder="1"/>
    <xf numFmtId="0" fontId="0" fillId="0" borderId="21" xfId="0" applyBorder="1"/>
    <xf numFmtId="0" fontId="0" fillId="0" borderId="33" xfId="0" applyBorder="1"/>
    <xf numFmtId="0" fontId="13" fillId="0" borderId="0" xfId="0" applyFont="1" applyAlignment="1">
      <alignment vertical="center" wrapText="1"/>
    </xf>
    <xf numFmtId="0" fontId="18" fillId="4" borderId="16" xfId="0" applyFont="1" applyFill="1" applyBorder="1"/>
    <xf numFmtId="0" fontId="18" fillId="4" borderId="3" xfId="0" applyFont="1" applyFill="1" applyBorder="1"/>
    <xf numFmtId="0" fontId="18" fillId="4" borderId="9" xfId="0" applyFont="1" applyFill="1" applyBorder="1"/>
    <xf numFmtId="0" fontId="15" fillId="4" borderId="16" xfId="0" applyFont="1" applyFill="1" applyBorder="1" applyAlignment="1">
      <alignment horizontal="center"/>
    </xf>
    <xf numFmtId="0" fontId="15" fillId="4" borderId="3" xfId="0" applyFont="1" applyFill="1" applyBorder="1" applyAlignment="1">
      <alignment horizontal="center"/>
    </xf>
    <xf numFmtId="0" fontId="15" fillId="4" borderId="9" xfId="0" applyFont="1" applyFill="1" applyBorder="1" applyAlignment="1">
      <alignment horizontal="center"/>
    </xf>
    <xf numFmtId="0" fontId="12" fillId="0" borderId="0" xfId="0" applyFont="1" applyAlignment="1">
      <alignment horizontal="right"/>
    </xf>
    <xf numFmtId="0" fontId="12" fillId="0" borderId="0" xfId="0" applyFont="1"/>
    <xf numFmtId="0" fontId="13" fillId="0" borderId="0" xfId="0" applyFont="1" applyAlignment="1">
      <alignment horizontal="left" vertical="top" wrapText="1"/>
    </xf>
    <xf numFmtId="0" fontId="40" fillId="5" borderId="15" xfId="4" applyFont="1" applyFill="1" applyBorder="1" applyAlignment="1">
      <alignment horizontal="center"/>
    </xf>
    <xf numFmtId="0" fontId="40" fillId="5" borderId="3" xfId="4" applyFont="1" applyFill="1" applyBorder="1" applyAlignment="1">
      <alignment horizontal="center"/>
    </xf>
    <xf numFmtId="0" fontId="40" fillId="5" borderId="17" xfId="4" applyFont="1" applyFill="1" applyBorder="1" applyAlignment="1">
      <alignment horizontal="center"/>
    </xf>
    <xf numFmtId="0" fontId="19" fillId="0" borderId="0" xfId="6" applyAlignment="1">
      <alignment horizontal="left" vertical="center" wrapText="1"/>
    </xf>
    <xf numFmtId="0" fontId="13" fillId="0" borderId="0" xfId="0" applyFont="1" applyAlignment="1">
      <alignment horizontal="left" vertical="center" wrapText="1"/>
    </xf>
    <xf numFmtId="0" fontId="0" fillId="0" borderId="0" xfId="0" applyAlignment="1">
      <alignment horizontal="left" vertical="top" wrapText="1"/>
    </xf>
    <xf numFmtId="0" fontId="34" fillId="4" borderId="26" xfId="0" applyFont="1" applyFill="1" applyBorder="1" applyAlignment="1">
      <alignment horizontal="left"/>
    </xf>
    <xf numFmtId="0" fontId="34" fillId="4" borderId="27" xfId="0" applyFont="1" applyFill="1" applyBorder="1" applyAlignment="1">
      <alignment horizontal="left"/>
    </xf>
    <xf numFmtId="0" fontId="34" fillId="4" borderId="28" xfId="0" applyFont="1" applyFill="1" applyBorder="1" applyAlignment="1">
      <alignment horizontal="left"/>
    </xf>
    <xf numFmtId="0" fontId="34" fillId="4" borderId="4" xfId="0" applyFont="1" applyFill="1" applyBorder="1" applyAlignment="1">
      <alignment horizontal="left"/>
    </xf>
    <xf numFmtId="0" fontId="34" fillId="4" borderId="5" xfId="0" applyFont="1" applyFill="1" applyBorder="1" applyAlignment="1">
      <alignment horizontal="left"/>
    </xf>
    <xf numFmtId="0" fontId="34" fillId="4" borderId="6" xfId="0" applyFont="1" applyFill="1" applyBorder="1" applyAlignment="1">
      <alignment horizontal="left"/>
    </xf>
    <xf numFmtId="0" fontId="21" fillId="0" borderId="12" xfId="0" applyFont="1" applyBorder="1" applyAlignment="1">
      <alignment horizontal="left" vertical="top" wrapText="1"/>
    </xf>
    <xf numFmtId="0" fontId="21" fillId="0" borderId="13" xfId="0" applyFont="1" applyBorder="1" applyAlignment="1">
      <alignment horizontal="left" vertical="top" wrapText="1"/>
    </xf>
    <xf numFmtId="0" fontId="21" fillId="0" borderId="14" xfId="0" applyFont="1" applyBorder="1" applyAlignment="1">
      <alignment horizontal="left" vertical="top" wrapText="1"/>
    </xf>
    <xf numFmtId="0" fontId="11" fillId="4" borderId="4" xfId="0" applyFont="1" applyFill="1" applyBorder="1" applyAlignment="1">
      <alignment horizontal="center"/>
    </xf>
    <xf numFmtId="0" fontId="11" fillId="4" borderId="5" xfId="0" applyFont="1" applyFill="1" applyBorder="1" applyAlignment="1">
      <alignment horizontal="center"/>
    </xf>
    <xf numFmtId="0" fontId="11" fillId="4" borderId="6" xfId="0" applyFont="1" applyFill="1" applyBorder="1" applyAlignment="1">
      <alignment horizontal="center"/>
    </xf>
    <xf numFmtId="0" fontId="20" fillId="0" borderId="1" xfId="0" applyFont="1" applyBorder="1" applyAlignment="1">
      <alignment horizontal="center"/>
    </xf>
    <xf numFmtId="8" fontId="20" fillId="0" borderId="11" xfId="0" applyNumberFormat="1" applyFont="1" applyBorder="1" applyAlignment="1">
      <alignment horizontal="center"/>
    </xf>
    <xf numFmtId="8" fontId="20" fillId="0" borderId="1" xfId="0" applyNumberFormat="1" applyFont="1" applyBorder="1" applyAlignment="1">
      <alignment horizontal="center"/>
    </xf>
    <xf numFmtId="8" fontId="20" fillId="0" borderId="10" xfId="0" applyNumberFormat="1" applyFont="1" applyBorder="1" applyAlignment="1">
      <alignment horizontal="center"/>
    </xf>
    <xf numFmtId="0" fontId="30" fillId="4" borderId="26" xfId="0" applyFont="1" applyFill="1" applyBorder="1" applyAlignment="1">
      <alignment horizontal="center"/>
    </xf>
    <xf numFmtId="0" fontId="30" fillId="4" borderId="27" xfId="0" applyFont="1" applyFill="1" applyBorder="1" applyAlignment="1">
      <alignment horizontal="center"/>
    </xf>
    <xf numFmtId="0" fontId="30" fillId="4" borderId="28" xfId="0" applyFont="1" applyFill="1" applyBorder="1" applyAlignment="1">
      <alignment horizontal="center"/>
    </xf>
    <xf numFmtId="0" fontId="30" fillId="4" borderId="7" xfId="0" applyFont="1" applyFill="1" applyBorder="1" applyAlignment="1">
      <alignment horizontal="center" vertical="center" textRotation="90"/>
    </xf>
    <xf numFmtId="0" fontId="30" fillId="4" borderId="12" xfId="0" applyFont="1" applyFill="1" applyBorder="1" applyAlignment="1">
      <alignment horizontal="center" vertical="center" textRotation="90"/>
    </xf>
  </cellXfs>
  <cellStyles count="7">
    <cellStyle name="Comma" xfId="1" builtinId="3"/>
    <cellStyle name="Currency" xfId="5" builtinId="4"/>
    <cellStyle name="Hyperlink" xfId="6" builtinId="8"/>
    <cellStyle name="Normal" xfId="0" builtinId="0"/>
    <cellStyle name="Normal 2" xfId="3" xr:uid="{00000000-0005-0000-0000-000004000000}"/>
    <cellStyle name="Output" xfId="4" builtinId="21"/>
    <cellStyle name="Percent" xfId="2" builtinId="5"/>
  </cellStyles>
  <dxfs count="78">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rgb="FFF1B82D"/>
        <name val="Segoe UI"/>
        <family val="2"/>
        <scheme val="minor"/>
      </font>
    </dxf>
  </dxfs>
  <tableStyles count="0" defaultTableStyle="TableStyleMedium2" defaultPivotStyle="PivotStyleLight16"/>
  <colors>
    <mruColors>
      <color rgb="FFFFFF66"/>
      <color rgb="FFF1B82D"/>
      <color rgb="FFD7D7D7"/>
      <color rgb="FFAEDC52"/>
      <color rgb="FFCFEA9A"/>
      <color rgb="FF69901D"/>
      <color rgb="FFDBD5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t>Modeled Potential Returns to Small Pecan Operation Years 1-75</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1994165509260669"/>
          <c:y val="0.11379740852975931"/>
          <c:w val="0.73989867907443807"/>
          <c:h val="0.67671911060232759"/>
        </c:manualLayout>
      </c:layout>
      <c:lineChart>
        <c:grouping val="standard"/>
        <c:varyColors val="0"/>
        <c:ser>
          <c:idx val="5"/>
          <c:order val="3"/>
          <c:tx>
            <c:strRef>
              <c:f>'Long-term Model Summary'!$J$26</c:f>
              <c:strCache>
                <c:ptCount val="1"/>
                <c:pt idx="0">
                  <c:v>Total costs*</c:v>
                </c:pt>
              </c:strCache>
            </c:strRef>
          </c:tx>
          <c:spPr>
            <a:ln w="28575" cap="rnd">
              <a:solidFill>
                <a:schemeClr val="accent6"/>
              </a:solidFill>
              <a:round/>
            </a:ln>
            <a:effectLst/>
          </c:spPr>
          <c:marker>
            <c:symbol val="none"/>
          </c:marker>
          <c:cat>
            <c:strRef>
              <c:f>'Long-term Model Summary'!$K$18:$CH$18</c:f>
              <c:strCache>
                <c:ptCount val="76"/>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pt idx="50">
                  <c:v>Year 51</c:v>
                </c:pt>
                <c:pt idx="51">
                  <c:v>Year 52</c:v>
                </c:pt>
                <c:pt idx="52">
                  <c:v>Year 53</c:v>
                </c:pt>
                <c:pt idx="53">
                  <c:v>Year 54</c:v>
                </c:pt>
                <c:pt idx="54">
                  <c:v>Year 55</c:v>
                </c:pt>
                <c:pt idx="55">
                  <c:v>Year 56</c:v>
                </c:pt>
                <c:pt idx="56">
                  <c:v>Year 57</c:v>
                </c:pt>
                <c:pt idx="57">
                  <c:v>Year 58</c:v>
                </c:pt>
                <c:pt idx="58">
                  <c:v>Year 59</c:v>
                </c:pt>
                <c:pt idx="59">
                  <c:v>Year 60</c:v>
                </c:pt>
                <c:pt idx="60">
                  <c:v>Year 61</c:v>
                </c:pt>
                <c:pt idx="61">
                  <c:v>Year 62</c:v>
                </c:pt>
                <c:pt idx="62">
                  <c:v>Year 63</c:v>
                </c:pt>
                <c:pt idx="63">
                  <c:v>Year 64</c:v>
                </c:pt>
                <c:pt idx="64">
                  <c:v>Year 65</c:v>
                </c:pt>
                <c:pt idx="65">
                  <c:v>Year 66</c:v>
                </c:pt>
                <c:pt idx="66">
                  <c:v>Year 67</c:v>
                </c:pt>
                <c:pt idx="67">
                  <c:v>Year 68</c:v>
                </c:pt>
                <c:pt idx="68">
                  <c:v>Year 69</c:v>
                </c:pt>
                <c:pt idx="69">
                  <c:v>Year 70</c:v>
                </c:pt>
                <c:pt idx="70">
                  <c:v>Year 71</c:v>
                </c:pt>
                <c:pt idx="71">
                  <c:v>Year 72</c:v>
                </c:pt>
                <c:pt idx="72">
                  <c:v>Year 73</c:v>
                </c:pt>
                <c:pt idx="73">
                  <c:v>Year 74</c:v>
                </c:pt>
                <c:pt idx="74">
                  <c:v>Year 75</c:v>
                </c:pt>
                <c:pt idx="75">
                  <c:v>Year 76</c:v>
                </c:pt>
              </c:strCache>
            </c:strRef>
          </c:cat>
          <c:val>
            <c:numRef>
              <c:f>'Long-term Model Summary'!$K$26:$CH$26</c:f>
              <c:numCache>
                <c:formatCode>_("$"* #,##0_);_("$"* \(#,##0\);_("$"* "-"??_);_(@_)</c:formatCode>
                <c:ptCount val="76"/>
                <c:pt idx="0">
                  <c:v>52600.265250000004</c:v>
                </c:pt>
                <c:pt idx="1">
                  <c:v>19504.96125</c:v>
                </c:pt>
                <c:pt idx="2">
                  <c:v>19504.96125</c:v>
                </c:pt>
                <c:pt idx="3">
                  <c:v>19504.96125</c:v>
                </c:pt>
                <c:pt idx="4">
                  <c:v>19504.96125</c:v>
                </c:pt>
                <c:pt idx="5">
                  <c:v>19504.96125</c:v>
                </c:pt>
                <c:pt idx="6">
                  <c:v>19504.96125</c:v>
                </c:pt>
                <c:pt idx="7">
                  <c:v>19504.96125</c:v>
                </c:pt>
                <c:pt idx="8">
                  <c:v>19504.96125</c:v>
                </c:pt>
                <c:pt idx="9">
                  <c:v>31917.60141349701</c:v>
                </c:pt>
                <c:pt idx="10">
                  <c:v>32171.00719914939</c:v>
                </c:pt>
                <c:pt idx="11">
                  <c:v>32505.502836210529</c:v>
                </c:pt>
                <c:pt idx="12">
                  <c:v>50870.220096248886</c:v>
                </c:pt>
                <c:pt idx="13">
                  <c:v>33317.64146038187</c:v>
                </c:pt>
                <c:pt idx="14">
                  <c:v>33908.237661037405</c:v>
                </c:pt>
                <c:pt idx="15">
                  <c:v>34687.824645902714</c:v>
                </c:pt>
                <c:pt idx="16">
                  <c:v>34816.456498405489</c:v>
                </c:pt>
                <c:pt idx="17">
                  <c:v>34950.233625008375</c:v>
                </c:pt>
                <c:pt idx="18">
                  <c:v>35089.361836675373</c:v>
                </c:pt>
                <c:pt idx="19">
                  <c:v>35234.055176809052</c:v>
                </c:pt>
                <c:pt idx="20">
                  <c:v>35384.536250548081</c:v>
                </c:pt>
                <c:pt idx="21">
                  <c:v>35541.036567236675</c:v>
                </c:pt>
                <c:pt idx="22">
                  <c:v>35703.796896592808</c:v>
                </c:pt>
                <c:pt idx="23">
                  <c:v>35873.067639123183</c:v>
                </c:pt>
                <c:pt idx="24">
                  <c:v>36049.109211354778</c:v>
                </c:pt>
                <c:pt idx="25">
                  <c:v>36232.192446475645</c:v>
                </c:pt>
                <c:pt idx="26">
                  <c:v>36422.599011001337</c:v>
                </c:pt>
                <c:pt idx="27">
                  <c:v>36620.621838108054</c:v>
                </c:pt>
                <c:pt idx="28">
                  <c:v>36826.565578299043</c:v>
                </c:pt>
                <c:pt idx="29">
                  <c:v>37040.747068097669</c:v>
                </c:pt>
                <c:pt idx="30">
                  <c:v>37263.495817488249</c:v>
                </c:pt>
                <c:pt idx="31">
                  <c:v>37321.4104923298</c:v>
                </c:pt>
                <c:pt idx="32">
                  <c:v>37379.90431391976</c:v>
                </c:pt>
                <c:pt idx="33">
                  <c:v>37438.983073725627</c:v>
                </c:pt>
                <c:pt idx="34">
                  <c:v>37498.652621129542</c:v>
                </c:pt>
                <c:pt idx="35">
                  <c:v>37558.918864007508</c:v>
                </c:pt>
                <c:pt idx="36">
                  <c:v>37619.787769314251</c:v>
                </c:pt>
                <c:pt idx="37">
                  <c:v>37681.265363674058</c:v>
                </c:pt>
                <c:pt idx="38">
                  <c:v>37743.357733977464</c:v>
                </c:pt>
                <c:pt idx="39">
                  <c:v>37806.071027983911</c:v>
                </c:pt>
                <c:pt idx="40">
                  <c:v>37869.411454930414</c:v>
                </c:pt>
                <c:pt idx="41">
                  <c:v>45844.753516182682</c:v>
                </c:pt>
                <c:pt idx="42">
                  <c:v>36902.809768011182</c:v>
                </c:pt>
                <c:pt idx="43">
                  <c:v>36961.446582357959</c:v>
                </c:pt>
                <c:pt idx="44">
                  <c:v>37020.669764848208</c:v>
                </c:pt>
                <c:pt idx="45">
                  <c:v>37080.485179163355</c:v>
                </c:pt>
                <c:pt idx="46">
                  <c:v>37140.898747621657</c:v>
                </c:pt>
                <c:pt idx="47">
                  <c:v>37201.91645176454</c:v>
                </c:pt>
                <c:pt idx="48">
                  <c:v>37263.544332948848</c:v>
                </c:pt>
                <c:pt idx="49">
                  <c:v>37325.788492945008</c:v>
                </c:pt>
                <c:pt idx="50">
                  <c:v>37388.655094541122</c:v>
                </c:pt>
                <c:pt idx="51">
                  <c:v>37452.150362153203</c:v>
                </c:pt>
                <c:pt idx="52">
                  <c:v>37516.280582441403</c:v>
                </c:pt>
                <c:pt idx="53">
                  <c:v>37581.052104932482</c:v>
                </c:pt>
                <c:pt idx="54">
                  <c:v>37646.471342648474</c:v>
                </c:pt>
                <c:pt idx="55">
                  <c:v>37712.544772741618</c:v>
                </c:pt>
                <c:pt idx="56">
                  <c:v>37779.278937135707</c:v>
                </c:pt>
                <c:pt idx="57">
                  <c:v>37846.680443173733</c:v>
                </c:pt>
                <c:pt idx="58">
                  <c:v>37914.755964272132</c:v>
                </c:pt>
                <c:pt idx="59">
                  <c:v>37983.51224058152</c:v>
                </c:pt>
                <c:pt idx="60">
                  <c:v>38052.956079654003</c:v>
                </c:pt>
                <c:pt idx="61">
                  <c:v>38052.956079654003</c:v>
                </c:pt>
                <c:pt idx="62">
                  <c:v>38052.956079654003</c:v>
                </c:pt>
                <c:pt idx="63">
                  <c:v>38052.956079654003</c:v>
                </c:pt>
                <c:pt idx="64">
                  <c:v>38052.956079654003</c:v>
                </c:pt>
                <c:pt idx="65">
                  <c:v>38052.956079654003</c:v>
                </c:pt>
                <c:pt idx="66">
                  <c:v>38052.956079654003</c:v>
                </c:pt>
                <c:pt idx="67">
                  <c:v>38052.956079654003</c:v>
                </c:pt>
                <c:pt idx="68">
                  <c:v>38052.956079654003</c:v>
                </c:pt>
                <c:pt idx="69">
                  <c:v>38052.956079654003</c:v>
                </c:pt>
                <c:pt idx="70">
                  <c:v>38052.956079654003</c:v>
                </c:pt>
                <c:pt idx="71">
                  <c:v>38052.956079654003</c:v>
                </c:pt>
                <c:pt idx="72">
                  <c:v>38052.956079654003</c:v>
                </c:pt>
                <c:pt idx="73">
                  <c:v>38052.956079654003</c:v>
                </c:pt>
                <c:pt idx="74">
                  <c:v>38052.956079654003</c:v>
                </c:pt>
                <c:pt idx="75">
                  <c:v>38052.956079654003</c:v>
                </c:pt>
              </c:numCache>
            </c:numRef>
          </c:val>
          <c:smooth val="0"/>
          <c:extLst>
            <c:ext xmlns:c16="http://schemas.microsoft.com/office/drawing/2014/chart" uri="{C3380CC4-5D6E-409C-BE32-E72D297353CC}">
              <c16:uniqueId val="{00000005-9BC3-4C23-8166-D08DDB415D83}"/>
            </c:ext>
          </c:extLst>
        </c:ser>
        <c:ser>
          <c:idx val="6"/>
          <c:order val="4"/>
          <c:tx>
            <c:strRef>
              <c:f>'Long-term Model Summary'!$J$27</c:f>
              <c:strCache>
                <c:ptCount val="1"/>
                <c:pt idx="0">
                  <c:v>Net income, by year*</c:v>
                </c:pt>
              </c:strCache>
            </c:strRef>
          </c:tx>
          <c:spPr>
            <a:ln w="28575" cap="rnd">
              <a:solidFill>
                <a:schemeClr val="accent1">
                  <a:lumMod val="60000"/>
                </a:schemeClr>
              </a:solidFill>
              <a:round/>
            </a:ln>
            <a:effectLst/>
          </c:spPr>
          <c:marker>
            <c:symbol val="none"/>
          </c:marker>
          <c:cat>
            <c:strRef>
              <c:f>'Long-term Model Summary'!$K$18:$CH$18</c:f>
              <c:strCache>
                <c:ptCount val="76"/>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pt idx="50">
                  <c:v>Year 51</c:v>
                </c:pt>
                <c:pt idx="51">
                  <c:v>Year 52</c:v>
                </c:pt>
                <c:pt idx="52">
                  <c:v>Year 53</c:v>
                </c:pt>
                <c:pt idx="53">
                  <c:v>Year 54</c:v>
                </c:pt>
                <c:pt idx="54">
                  <c:v>Year 55</c:v>
                </c:pt>
                <c:pt idx="55">
                  <c:v>Year 56</c:v>
                </c:pt>
                <c:pt idx="56">
                  <c:v>Year 57</c:v>
                </c:pt>
                <c:pt idx="57">
                  <c:v>Year 58</c:v>
                </c:pt>
                <c:pt idx="58">
                  <c:v>Year 59</c:v>
                </c:pt>
                <c:pt idx="59">
                  <c:v>Year 60</c:v>
                </c:pt>
                <c:pt idx="60">
                  <c:v>Year 61</c:v>
                </c:pt>
                <c:pt idx="61">
                  <c:v>Year 62</c:v>
                </c:pt>
                <c:pt idx="62">
                  <c:v>Year 63</c:v>
                </c:pt>
                <c:pt idx="63">
                  <c:v>Year 64</c:v>
                </c:pt>
                <c:pt idx="64">
                  <c:v>Year 65</c:v>
                </c:pt>
                <c:pt idx="65">
                  <c:v>Year 66</c:v>
                </c:pt>
                <c:pt idx="66">
                  <c:v>Year 67</c:v>
                </c:pt>
                <c:pt idx="67">
                  <c:v>Year 68</c:v>
                </c:pt>
                <c:pt idx="68">
                  <c:v>Year 69</c:v>
                </c:pt>
                <c:pt idx="69">
                  <c:v>Year 70</c:v>
                </c:pt>
                <c:pt idx="70">
                  <c:v>Year 71</c:v>
                </c:pt>
                <c:pt idx="71">
                  <c:v>Year 72</c:v>
                </c:pt>
                <c:pt idx="72">
                  <c:v>Year 73</c:v>
                </c:pt>
                <c:pt idx="73">
                  <c:v>Year 74</c:v>
                </c:pt>
                <c:pt idx="74">
                  <c:v>Year 75</c:v>
                </c:pt>
                <c:pt idx="75">
                  <c:v>Year 76</c:v>
                </c:pt>
              </c:strCache>
            </c:strRef>
          </c:cat>
          <c:val>
            <c:numRef>
              <c:f>'Long-term Model Summary'!$K$27:$CH$27</c:f>
              <c:numCache>
                <c:formatCode>_("$"* #,##0_);_("$"* \(#,##0\);_("$"* "-"??_);_(@_)</c:formatCode>
                <c:ptCount val="76"/>
                <c:pt idx="0">
                  <c:v>-52600.265250000004</c:v>
                </c:pt>
                <c:pt idx="1">
                  <c:v>-19504.96125</c:v>
                </c:pt>
                <c:pt idx="2">
                  <c:v>-19504.96125</c:v>
                </c:pt>
                <c:pt idx="3">
                  <c:v>-19504.96125</c:v>
                </c:pt>
                <c:pt idx="4">
                  <c:v>-19504.96125</c:v>
                </c:pt>
                <c:pt idx="5">
                  <c:v>-19504.96125</c:v>
                </c:pt>
                <c:pt idx="6">
                  <c:v>-19504.96125</c:v>
                </c:pt>
                <c:pt idx="7">
                  <c:v>-19504.96125</c:v>
                </c:pt>
                <c:pt idx="8">
                  <c:v>-19504.96125</c:v>
                </c:pt>
                <c:pt idx="9">
                  <c:v>-20210.02933097315</c:v>
                </c:pt>
                <c:pt idx="10">
                  <c:v>-16717.012050217894</c:v>
                </c:pt>
                <c:pt idx="11">
                  <c:v>-12106.229239620952</c:v>
                </c:pt>
                <c:pt idx="12">
                  <c:v>-30198.956185038118</c:v>
                </c:pt>
                <c:pt idx="13">
                  <c:v>-6031.5730975836559</c:v>
                </c:pt>
                <c:pt idx="14">
                  <c:v>2109.3725778562439</c:v>
                </c:pt>
                <c:pt idx="15">
                  <c:v>12855.420869436901</c:v>
                </c:pt>
                <c:pt idx="16">
                  <c:v>14628.518837547708</c:v>
                </c:pt>
                <c:pt idx="17">
                  <c:v>16472.540724382947</c:v>
                </c:pt>
                <c:pt idx="18">
                  <c:v>18390.32348669161</c:v>
                </c:pt>
                <c:pt idx="19">
                  <c:v>20384.817559492614</c:v>
                </c:pt>
                <c:pt idx="20">
                  <c:v>22459.091395205651</c:v>
                </c:pt>
                <c:pt idx="21">
                  <c:v>24616.336184347216</c:v>
                </c:pt>
                <c:pt idx="22">
                  <c:v>26859.870765054446</c:v>
                </c:pt>
                <c:pt idx="23">
                  <c:v>29193.146728989967</c:v>
                </c:pt>
                <c:pt idx="24">
                  <c:v>31619.75373148291</c:v>
                </c:pt>
                <c:pt idx="25">
                  <c:v>34143.425014075532</c:v>
                </c:pt>
                <c:pt idx="26">
                  <c:v>36768.043147971897</c:v>
                </c:pt>
                <c:pt idx="27">
                  <c:v>39497.646007224103</c:v>
                </c:pt>
                <c:pt idx="28">
                  <c:v>42336.432980846403</c:v>
                </c:pt>
                <c:pt idx="29">
                  <c:v>45288.771433413596</c:v>
                </c:pt>
                <c:pt idx="30">
                  <c:v>48359.203424083491</c:v>
                </c:pt>
                <c:pt idx="31">
                  <c:v>49157.51574165764</c:v>
                </c:pt>
                <c:pt idx="32">
                  <c:v>49963.81118240756</c:v>
                </c:pt>
                <c:pt idx="33">
                  <c:v>50778.169577564957</c:v>
                </c:pt>
                <c:pt idx="34">
                  <c:v>51600.671556673944</c:v>
                </c:pt>
                <c:pt idx="35">
                  <c:v>52431.398555574015</c:v>
                </c:pt>
                <c:pt idx="36">
                  <c:v>53270.432824463089</c:v>
                </c:pt>
                <c:pt idx="37">
                  <c:v>54117.857436041071</c:v>
                </c:pt>
                <c:pt idx="38">
                  <c:v>54973.756293734798</c:v>
                </c:pt>
                <c:pt idx="39">
                  <c:v>55838.214140005482</c:v>
                </c:pt>
                <c:pt idx="40">
                  <c:v>56711.316564738874</c:v>
                </c:pt>
                <c:pt idx="41">
                  <c:v>39987.257161667221</c:v>
                </c:pt>
                <c:pt idx="42">
                  <c:v>49787.521016617218</c:v>
                </c:pt>
                <c:pt idx="43">
                  <c:v>50595.787510116723</c:v>
                </c:pt>
                <c:pt idx="44">
                  <c:v>51412.136668551218</c:v>
                </c:pt>
                <c:pt idx="45">
                  <c:v>52236.649318570082</c:v>
                </c:pt>
                <c:pt idx="46">
                  <c:v>53069.407095089104</c:v>
                </c:pt>
                <c:pt idx="47">
                  <c:v>53910.492449373327</c:v>
                </c:pt>
                <c:pt idx="48">
                  <c:v>54759.988657200403</c:v>
                </c:pt>
                <c:pt idx="49">
                  <c:v>55617.979827105752</c:v>
                </c:pt>
                <c:pt idx="50">
                  <c:v>56484.550908710145</c:v>
                </c:pt>
                <c:pt idx="51">
                  <c:v>57359.787701130568</c:v>
                </c:pt>
                <c:pt idx="52">
                  <c:v>58243.776861475206</c:v>
                </c:pt>
                <c:pt idx="53">
                  <c:v>59136.6059134233</c:v>
                </c:pt>
                <c:pt idx="54">
                  <c:v>60038.363255890865</c:v>
                </c:pt>
                <c:pt idx="55">
                  <c:v>60949.13817178311</c:v>
                </c:pt>
                <c:pt idx="56">
                  <c:v>61869.020836834272</c:v>
                </c:pt>
                <c:pt idx="57">
                  <c:v>62798.102328535948</c:v>
                </c:pt>
                <c:pt idx="58">
                  <c:v>63736.474635154649</c:v>
                </c:pt>
                <c:pt idx="59">
                  <c:v>64684.230664839532</c:v>
                </c:pt>
                <c:pt idx="60">
                  <c:v>65641.464254821272</c:v>
                </c:pt>
                <c:pt idx="61">
                  <c:v>65641.464254821272</c:v>
                </c:pt>
                <c:pt idx="62">
                  <c:v>65641.464254821272</c:v>
                </c:pt>
                <c:pt idx="63">
                  <c:v>65641.464254821272</c:v>
                </c:pt>
                <c:pt idx="64">
                  <c:v>65641.464254821272</c:v>
                </c:pt>
                <c:pt idx="65">
                  <c:v>65641.464254821272</c:v>
                </c:pt>
                <c:pt idx="66">
                  <c:v>65641.464254821272</c:v>
                </c:pt>
                <c:pt idx="67">
                  <c:v>65641.464254821272</c:v>
                </c:pt>
                <c:pt idx="68">
                  <c:v>65641.464254821272</c:v>
                </c:pt>
                <c:pt idx="69">
                  <c:v>65641.464254821272</c:v>
                </c:pt>
                <c:pt idx="70">
                  <c:v>65641.464254821272</c:v>
                </c:pt>
                <c:pt idx="71">
                  <c:v>65641.464254821272</c:v>
                </c:pt>
                <c:pt idx="72">
                  <c:v>65641.464254821272</c:v>
                </c:pt>
                <c:pt idx="73">
                  <c:v>65641.464254821272</c:v>
                </c:pt>
                <c:pt idx="74">
                  <c:v>65641.464254821272</c:v>
                </c:pt>
                <c:pt idx="75">
                  <c:v>65641.464254821272</c:v>
                </c:pt>
              </c:numCache>
            </c:numRef>
          </c:val>
          <c:smooth val="0"/>
          <c:extLst>
            <c:ext xmlns:c16="http://schemas.microsoft.com/office/drawing/2014/chart" uri="{C3380CC4-5D6E-409C-BE32-E72D297353CC}">
              <c16:uniqueId val="{00000007-9BC3-4C23-8166-D08DDB415D83}"/>
            </c:ext>
          </c:extLst>
        </c:ser>
        <c:dLbls>
          <c:showLegendKey val="0"/>
          <c:showVal val="0"/>
          <c:showCatName val="0"/>
          <c:showSerName val="0"/>
          <c:showPercent val="0"/>
          <c:showBubbleSize val="0"/>
        </c:dLbls>
        <c:marker val="1"/>
        <c:smooth val="0"/>
        <c:axId val="1967722879"/>
        <c:axId val="1967719999"/>
        <c:extLst>
          <c:ext xmlns:c15="http://schemas.microsoft.com/office/drawing/2012/chart" uri="{02D57815-91ED-43cb-92C2-25804820EDAC}">
            <c15:filteredLineSeries>
              <c15:ser>
                <c:idx val="2"/>
                <c:order val="0"/>
                <c:tx>
                  <c:strRef>
                    <c:extLst>
                      <c:ext uri="{02D57815-91ED-43cb-92C2-25804820EDAC}">
                        <c15:formulaRef>
                          <c15:sqref>'Long-term Model Summary'!$J$21</c15:sqref>
                        </c15:formulaRef>
                      </c:ext>
                    </c:extLst>
                    <c:strCache>
                      <c:ptCount val="1"/>
                      <c:pt idx="0">
                        <c:v>Revenue by year*</c:v>
                      </c:pt>
                    </c:strCache>
                  </c:strRef>
                </c:tx>
                <c:spPr>
                  <a:ln w="28575" cap="rnd">
                    <a:solidFill>
                      <a:schemeClr val="accent3"/>
                    </a:solidFill>
                    <a:round/>
                  </a:ln>
                  <a:effectLst/>
                </c:spPr>
                <c:marker>
                  <c:symbol val="none"/>
                </c:marker>
                <c:cat>
                  <c:strRef>
                    <c:extLst>
                      <c:ext uri="{02D57815-91ED-43cb-92C2-25804820EDAC}">
                        <c15:formulaRef>
                          <c15:sqref>'Long-term Model Summary'!$K$18:$CH$18</c15:sqref>
                        </c15:formulaRef>
                      </c:ext>
                    </c:extLst>
                    <c:strCache>
                      <c:ptCount val="76"/>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pt idx="50">
                        <c:v>Year 51</c:v>
                      </c:pt>
                      <c:pt idx="51">
                        <c:v>Year 52</c:v>
                      </c:pt>
                      <c:pt idx="52">
                        <c:v>Year 53</c:v>
                      </c:pt>
                      <c:pt idx="53">
                        <c:v>Year 54</c:v>
                      </c:pt>
                      <c:pt idx="54">
                        <c:v>Year 55</c:v>
                      </c:pt>
                      <c:pt idx="55">
                        <c:v>Year 56</c:v>
                      </c:pt>
                      <c:pt idx="56">
                        <c:v>Year 57</c:v>
                      </c:pt>
                      <c:pt idx="57">
                        <c:v>Year 58</c:v>
                      </c:pt>
                      <c:pt idx="58">
                        <c:v>Year 59</c:v>
                      </c:pt>
                      <c:pt idx="59">
                        <c:v>Year 60</c:v>
                      </c:pt>
                      <c:pt idx="60">
                        <c:v>Year 61</c:v>
                      </c:pt>
                      <c:pt idx="61">
                        <c:v>Year 62</c:v>
                      </c:pt>
                      <c:pt idx="62">
                        <c:v>Year 63</c:v>
                      </c:pt>
                      <c:pt idx="63">
                        <c:v>Year 64</c:v>
                      </c:pt>
                      <c:pt idx="64">
                        <c:v>Year 65</c:v>
                      </c:pt>
                      <c:pt idx="65">
                        <c:v>Year 66</c:v>
                      </c:pt>
                      <c:pt idx="66">
                        <c:v>Year 67</c:v>
                      </c:pt>
                      <c:pt idx="67">
                        <c:v>Year 68</c:v>
                      </c:pt>
                      <c:pt idx="68">
                        <c:v>Year 69</c:v>
                      </c:pt>
                      <c:pt idx="69">
                        <c:v>Year 70</c:v>
                      </c:pt>
                      <c:pt idx="70">
                        <c:v>Year 71</c:v>
                      </c:pt>
                      <c:pt idx="71">
                        <c:v>Year 72</c:v>
                      </c:pt>
                      <c:pt idx="72">
                        <c:v>Year 73</c:v>
                      </c:pt>
                      <c:pt idx="73">
                        <c:v>Year 74</c:v>
                      </c:pt>
                      <c:pt idx="74">
                        <c:v>Year 75</c:v>
                      </c:pt>
                      <c:pt idx="75">
                        <c:v>Year 76</c:v>
                      </c:pt>
                    </c:strCache>
                  </c:strRef>
                </c:cat>
                <c:val>
                  <c:numRef>
                    <c:extLst>
                      <c:ext uri="{02D57815-91ED-43cb-92C2-25804820EDAC}">
                        <c15:formulaRef>
                          <c15:sqref>'Long-term Model Summary'!$K$21:$CH$21</c15:sqref>
                        </c15:formulaRef>
                      </c:ext>
                    </c:extLst>
                    <c:numCache>
                      <c:formatCode>_("$"* #,##0_);_("$"* \(#,##0\);_("$"* "-"??_);_(@_)</c:formatCode>
                      <c:ptCount val="76"/>
                      <c:pt idx="0">
                        <c:v>0</c:v>
                      </c:pt>
                      <c:pt idx="1">
                        <c:v>0</c:v>
                      </c:pt>
                      <c:pt idx="2">
                        <c:v>0</c:v>
                      </c:pt>
                      <c:pt idx="3">
                        <c:v>0</c:v>
                      </c:pt>
                      <c:pt idx="4">
                        <c:v>0</c:v>
                      </c:pt>
                      <c:pt idx="5">
                        <c:v>0</c:v>
                      </c:pt>
                      <c:pt idx="6">
                        <c:v>0</c:v>
                      </c:pt>
                      <c:pt idx="7">
                        <c:v>0</c:v>
                      </c:pt>
                      <c:pt idx="8">
                        <c:v>0</c:v>
                      </c:pt>
                      <c:pt idx="9">
                        <c:v>11707.572082523859</c:v>
                      </c:pt>
                      <c:pt idx="10">
                        <c:v>15453.995148931495</c:v>
                      </c:pt>
                      <c:pt idx="11">
                        <c:v>20399.273596589577</c:v>
                      </c:pt>
                      <c:pt idx="12">
                        <c:v>20671.263911210768</c:v>
                      </c:pt>
                      <c:pt idx="13">
                        <c:v>27286.068362798214</c:v>
                      </c:pt>
                      <c:pt idx="14">
                        <c:v>36017.610238893649</c:v>
                      </c:pt>
                      <c:pt idx="15">
                        <c:v>47543.245515339615</c:v>
                      </c:pt>
                      <c:pt idx="16">
                        <c:v>49444.975335953197</c:v>
                      </c:pt>
                      <c:pt idx="17">
                        <c:v>51422.774349391322</c:v>
                      </c:pt>
                      <c:pt idx="18">
                        <c:v>53479.685323366983</c:v>
                      </c:pt>
                      <c:pt idx="19">
                        <c:v>55618.872736301666</c:v>
                      </c:pt>
                      <c:pt idx="20">
                        <c:v>57843.627645753731</c:v>
                      </c:pt>
                      <c:pt idx="21">
                        <c:v>60157.372751583891</c:v>
                      </c:pt>
                      <c:pt idx="22">
                        <c:v>62563.667661647254</c:v>
                      </c:pt>
                      <c:pt idx="23">
                        <c:v>65066.214368113149</c:v>
                      </c:pt>
                      <c:pt idx="24">
                        <c:v>67668.862942837688</c:v>
                      </c:pt>
                      <c:pt idx="25">
                        <c:v>70375.617460551177</c:v>
                      </c:pt>
                      <c:pt idx="26">
                        <c:v>73190.642158973234</c:v>
                      </c:pt>
                      <c:pt idx="27">
                        <c:v>76118.267845332157</c:v>
                      </c:pt>
                      <c:pt idx="28">
                        <c:v>79162.998559145446</c:v>
                      </c:pt>
                      <c:pt idx="29">
                        <c:v>82329.518501511266</c:v>
                      </c:pt>
                      <c:pt idx="30">
                        <c:v>85622.69924157174</c:v>
                      </c:pt>
                      <c:pt idx="31">
                        <c:v>86478.92623398744</c:v>
                      </c:pt>
                      <c:pt idx="32">
                        <c:v>87343.715496327321</c:v>
                      </c:pt>
                      <c:pt idx="33">
                        <c:v>88217.152651290584</c:v>
                      </c:pt>
                      <c:pt idx="34">
                        <c:v>89099.324177803486</c:v>
                      </c:pt>
                      <c:pt idx="35">
                        <c:v>89990.317419581523</c:v>
                      </c:pt>
                      <c:pt idx="36">
                        <c:v>90890.22059377734</c:v>
                      </c:pt>
                      <c:pt idx="37">
                        <c:v>91799.122799715129</c:v>
                      </c:pt>
                      <c:pt idx="38">
                        <c:v>92717.114027712261</c:v>
                      </c:pt>
                      <c:pt idx="39">
                        <c:v>93644.285167989394</c:v>
                      </c:pt>
                      <c:pt idx="40">
                        <c:v>94580.728019669288</c:v>
                      </c:pt>
                      <c:pt idx="41">
                        <c:v>85832.010677849903</c:v>
                      </c:pt>
                      <c:pt idx="42">
                        <c:v>86690.330784628401</c:v>
                      </c:pt>
                      <c:pt idx="43">
                        <c:v>87557.234092474682</c:v>
                      </c:pt>
                      <c:pt idx="44">
                        <c:v>88432.806433399426</c:v>
                      </c:pt>
                      <c:pt idx="45">
                        <c:v>89317.134497733437</c:v>
                      </c:pt>
                      <c:pt idx="46">
                        <c:v>90210.305842710761</c:v>
                      </c:pt>
                      <c:pt idx="47">
                        <c:v>91112.408901137867</c:v>
                      </c:pt>
                      <c:pt idx="48">
                        <c:v>92023.532990149251</c:v>
                      </c:pt>
                      <c:pt idx="49">
                        <c:v>92943.76832005076</c:v>
                      </c:pt>
                      <c:pt idx="50">
                        <c:v>93873.206003251267</c:v>
                      </c:pt>
                      <c:pt idx="51">
                        <c:v>94811.938063283771</c:v>
                      </c:pt>
                      <c:pt idx="52">
                        <c:v>95760.057443916608</c:v>
                      </c:pt>
                      <c:pt idx="53">
                        <c:v>96717.658018355782</c:v>
                      </c:pt>
                      <c:pt idx="54">
                        <c:v>97684.834598539339</c:v>
                      </c:pt>
                      <c:pt idx="55">
                        <c:v>98661.682944524728</c:v>
                      </c:pt>
                      <c:pt idx="56">
                        <c:v>99648.299773969979</c:v>
                      </c:pt>
                      <c:pt idx="57">
                        <c:v>100644.78277170968</c:v>
                      </c:pt>
                      <c:pt idx="58">
                        <c:v>101651.23059942678</c:v>
                      </c:pt>
                      <c:pt idx="59">
                        <c:v>102667.74290542105</c:v>
                      </c:pt>
                      <c:pt idx="60">
                        <c:v>103694.42033447528</c:v>
                      </c:pt>
                      <c:pt idx="61">
                        <c:v>103694.42033447528</c:v>
                      </c:pt>
                      <c:pt idx="62">
                        <c:v>103694.42033447528</c:v>
                      </c:pt>
                      <c:pt idx="63">
                        <c:v>103694.42033447528</c:v>
                      </c:pt>
                      <c:pt idx="64">
                        <c:v>103694.42033447528</c:v>
                      </c:pt>
                      <c:pt idx="65">
                        <c:v>103694.42033447528</c:v>
                      </c:pt>
                      <c:pt idx="66">
                        <c:v>103694.42033447528</c:v>
                      </c:pt>
                      <c:pt idx="67">
                        <c:v>103694.42033447528</c:v>
                      </c:pt>
                      <c:pt idx="68">
                        <c:v>103694.42033447528</c:v>
                      </c:pt>
                      <c:pt idx="69">
                        <c:v>103694.42033447528</c:v>
                      </c:pt>
                      <c:pt idx="70">
                        <c:v>103694.42033447528</c:v>
                      </c:pt>
                      <c:pt idx="71">
                        <c:v>103694.42033447528</c:v>
                      </c:pt>
                      <c:pt idx="72">
                        <c:v>103694.42033447528</c:v>
                      </c:pt>
                      <c:pt idx="73">
                        <c:v>103694.42033447528</c:v>
                      </c:pt>
                      <c:pt idx="74">
                        <c:v>103694.42033447528</c:v>
                      </c:pt>
                      <c:pt idx="75">
                        <c:v>103694.42033447528</c:v>
                      </c:pt>
                    </c:numCache>
                  </c:numRef>
                </c:val>
                <c:smooth val="0"/>
                <c:extLst>
                  <c:ext xmlns:c16="http://schemas.microsoft.com/office/drawing/2014/chart" uri="{C3380CC4-5D6E-409C-BE32-E72D297353CC}">
                    <c16:uniqueId val="{00000002-9BC3-4C23-8166-D08DDB415D83}"/>
                  </c:ext>
                </c:extLst>
              </c15:ser>
            </c15:filteredLineSeries>
            <c15:filteredLineSeries>
              <c15:ser>
                <c:idx val="3"/>
                <c:order val="1"/>
                <c:tx>
                  <c:strRef>
                    <c:extLst xmlns:c15="http://schemas.microsoft.com/office/drawing/2012/chart">
                      <c:ext xmlns:c15="http://schemas.microsoft.com/office/drawing/2012/chart" uri="{02D57815-91ED-43cb-92C2-25804820EDAC}">
                        <c15:formulaRef>
                          <c15:sqref>'Long-term Model Summary'!$J$24</c15:sqref>
                        </c15:formulaRef>
                      </c:ext>
                    </c:extLst>
                    <c:strCache>
                      <c:ptCount val="1"/>
                      <c:pt idx="0">
                        <c:v>Harvest driven operating costs*</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'Long-term Model Summary'!$K$18:$CH$18</c15:sqref>
                        </c15:formulaRef>
                      </c:ext>
                    </c:extLst>
                    <c:strCache>
                      <c:ptCount val="76"/>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pt idx="50">
                        <c:v>Year 51</c:v>
                      </c:pt>
                      <c:pt idx="51">
                        <c:v>Year 52</c:v>
                      </c:pt>
                      <c:pt idx="52">
                        <c:v>Year 53</c:v>
                      </c:pt>
                      <c:pt idx="53">
                        <c:v>Year 54</c:v>
                      </c:pt>
                      <c:pt idx="54">
                        <c:v>Year 55</c:v>
                      </c:pt>
                      <c:pt idx="55">
                        <c:v>Year 56</c:v>
                      </c:pt>
                      <c:pt idx="56">
                        <c:v>Year 57</c:v>
                      </c:pt>
                      <c:pt idx="57">
                        <c:v>Year 58</c:v>
                      </c:pt>
                      <c:pt idx="58">
                        <c:v>Year 59</c:v>
                      </c:pt>
                      <c:pt idx="59">
                        <c:v>Year 60</c:v>
                      </c:pt>
                      <c:pt idx="60">
                        <c:v>Year 61</c:v>
                      </c:pt>
                      <c:pt idx="61">
                        <c:v>Year 62</c:v>
                      </c:pt>
                      <c:pt idx="62">
                        <c:v>Year 63</c:v>
                      </c:pt>
                      <c:pt idx="63">
                        <c:v>Year 64</c:v>
                      </c:pt>
                      <c:pt idx="64">
                        <c:v>Year 65</c:v>
                      </c:pt>
                      <c:pt idx="65">
                        <c:v>Year 66</c:v>
                      </c:pt>
                      <c:pt idx="66">
                        <c:v>Year 67</c:v>
                      </c:pt>
                      <c:pt idx="67">
                        <c:v>Year 68</c:v>
                      </c:pt>
                      <c:pt idx="68">
                        <c:v>Year 69</c:v>
                      </c:pt>
                      <c:pt idx="69">
                        <c:v>Year 70</c:v>
                      </c:pt>
                      <c:pt idx="70">
                        <c:v>Year 71</c:v>
                      </c:pt>
                      <c:pt idx="71">
                        <c:v>Year 72</c:v>
                      </c:pt>
                      <c:pt idx="72">
                        <c:v>Year 73</c:v>
                      </c:pt>
                      <c:pt idx="73">
                        <c:v>Year 74</c:v>
                      </c:pt>
                      <c:pt idx="74">
                        <c:v>Year 75</c:v>
                      </c:pt>
                      <c:pt idx="75">
                        <c:v>Year 76</c:v>
                      </c:pt>
                    </c:strCache>
                  </c:strRef>
                </c:cat>
                <c:val>
                  <c:numRef>
                    <c:extLst xmlns:c15="http://schemas.microsoft.com/office/drawing/2012/chart">
                      <c:ext xmlns:c15="http://schemas.microsoft.com/office/drawing/2012/chart" uri="{02D57815-91ED-43cb-92C2-25804820EDAC}">
                        <c15:formulaRef>
                          <c15:sqref>'Long-term Model Summary'!$K$24:$CH$24</c15:sqref>
                        </c15:formulaRef>
                      </c:ext>
                    </c:extLst>
                    <c:numCache>
                      <c:formatCode>_("$"* #,##0_);_("$"* \(#,##0\);_("$"* "-"??_);_(@_)</c:formatCode>
                      <c:ptCount val="76"/>
                      <c:pt idx="0">
                        <c:v>0</c:v>
                      </c:pt>
                      <c:pt idx="1">
                        <c:v>0</c:v>
                      </c:pt>
                      <c:pt idx="2">
                        <c:v>0</c:v>
                      </c:pt>
                      <c:pt idx="3">
                        <c:v>0</c:v>
                      </c:pt>
                      <c:pt idx="4">
                        <c:v>0</c:v>
                      </c:pt>
                      <c:pt idx="5">
                        <c:v>0</c:v>
                      </c:pt>
                      <c:pt idx="6">
                        <c:v>0</c:v>
                      </c:pt>
                      <c:pt idx="7">
                        <c:v>0</c:v>
                      </c:pt>
                      <c:pt idx="8">
                        <c:v>0</c:v>
                      </c:pt>
                      <c:pt idx="9">
                        <c:v>11289.061360030937</c:v>
                      </c:pt>
                      <c:pt idx="10">
                        <c:v>11542.467145683317</c:v>
                      </c:pt>
                      <c:pt idx="11">
                        <c:v>11876.962782744456</c:v>
                      </c:pt>
                      <c:pt idx="12">
                        <c:v>11895.360042782817</c:v>
                      </c:pt>
                      <c:pt idx="13">
                        <c:v>12342.781406915799</c:v>
                      </c:pt>
                      <c:pt idx="14">
                        <c:v>12933.37760757133</c:v>
                      </c:pt>
                      <c:pt idx="15">
                        <c:v>13712.964592436638</c:v>
                      </c:pt>
                      <c:pt idx="16">
                        <c:v>13841.596444939412</c:v>
                      </c:pt>
                      <c:pt idx="17">
                        <c:v>13975.373571542299</c:v>
                      </c:pt>
                      <c:pt idx="18">
                        <c:v>14114.5017832093</c:v>
                      </c:pt>
                      <c:pt idx="19">
                        <c:v>14259.195123342983</c:v>
                      </c:pt>
                      <c:pt idx="20">
                        <c:v>14409.67619708201</c:v>
                      </c:pt>
                      <c:pt idx="21">
                        <c:v>14566.176513770604</c:v>
                      </c:pt>
                      <c:pt idx="22">
                        <c:v>14728.936843126738</c:v>
                      </c:pt>
                      <c:pt idx="23">
                        <c:v>14898.207585657114</c:v>
                      </c:pt>
                      <c:pt idx="24">
                        <c:v>15074.249157888709</c:v>
                      </c:pt>
                      <c:pt idx="25">
                        <c:v>15257.332393009568</c:v>
                      </c:pt>
                      <c:pt idx="26">
                        <c:v>15447.738957535261</c:v>
                      </c:pt>
                      <c:pt idx="27">
                        <c:v>15645.76178464198</c:v>
                      </c:pt>
                      <c:pt idx="28">
                        <c:v>15851.705524832971</c:v>
                      </c:pt>
                      <c:pt idx="29">
                        <c:v>16065.887014631599</c:v>
                      </c:pt>
                      <c:pt idx="30">
                        <c:v>16288.635764022174</c:v>
                      </c:pt>
                      <c:pt idx="31">
                        <c:v>16346.550438863724</c:v>
                      </c:pt>
                      <c:pt idx="32">
                        <c:v>16405.044260453691</c:v>
                      </c:pt>
                      <c:pt idx="33">
                        <c:v>16464.123020259551</c:v>
                      </c:pt>
                      <c:pt idx="34">
                        <c:v>16523.79256766347</c:v>
                      </c:pt>
                      <c:pt idx="35">
                        <c:v>16584.058810541435</c:v>
                      </c:pt>
                      <c:pt idx="36">
                        <c:v>16644.927715848178</c:v>
                      </c:pt>
                      <c:pt idx="37">
                        <c:v>16706.405310207989</c:v>
                      </c:pt>
                      <c:pt idx="38">
                        <c:v>16768.497680511395</c:v>
                      </c:pt>
                      <c:pt idx="39">
                        <c:v>16831.210974517839</c:v>
                      </c:pt>
                      <c:pt idx="40">
                        <c:v>16894.551401464341</c:v>
                      </c:pt>
                      <c:pt idx="41">
                        <c:v>16302.793462716611</c:v>
                      </c:pt>
                      <c:pt idx="42">
                        <c:v>16360.849714545109</c:v>
                      </c:pt>
                      <c:pt idx="43">
                        <c:v>16419.486528891885</c:v>
                      </c:pt>
                      <c:pt idx="44">
                        <c:v>16478.709711382133</c:v>
                      </c:pt>
                      <c:pt idx="45">
                        <c:v>16538.525125697277</c:v>
                      </c:pt>
                      <c:pt idx="46">
                        <c:v>16598.938694155579</c:v>
                      </c:pt>
                      <c:pt idx="47">
                        <c:v>16659.956398298462</c:v>
                      </c:pt>
                      <c:pt idx="48">
                        <c:v>16721.584279482777</c:v>
                      </c:pt>
                      <c:pt idx="49">
                        <c:v>16783.828439478933</c:v>
                      </c:pt>
                      <c:pt idx="50">
                        <c:v>16846.695041075047</c:v>
                      </c:pt>
                      <c:pt idx="51">
                        <c:v>16910.190308687124</c:v>
                      </c:pt>
                      <c:pt idx="52">
                        <c:v>16974.320528975328</c:v>
                      </c:pt>
                      <c:pt idx="53">
                        <c:v>17039.092051466407</c:v>
                      </c:pt>
                      <c:pt idx="54">
                        <c:v>17104.511289182399</c:v>
                      </c:pt>
                      <c:pt idx="55">
                        <c:v>17170.584719275546</c:v>
                      </c:pt>
                      <c:pt idx="56">
                        <c:v>17237.318883669632</c:v>
                      </c:pt>
                      <c:pt idx="57">
                        <c:v>17304.720389707658</c:v>
                      </c:pt>
                      <c:pt idx="58">
                        <c:v>17372.79591080606</c:v>
                      </c:pt>
                      <c:pt idx="59">
                        <c:v>17441.552187115449</c:v>
                      </c:pt>
                      <c:pt idx="60">
                        <c:v>17510.996026187928</c:v>
                      </c:pt>
                      <c:pt idx="61">
                        <c:v>17510.996026187928</c:v>
                      </c:pt>
                      <c:pt idx="62">
                        <c:v>17510.996026187928</c:v>
                      </c:pt>
                      <c:pt idx="63">
                        <c:v>17510.996026187928</c:v>
                      </c:pt>
                      <c:pt idx="64">
                        <c:v>17510.996026187928</c:v>
                      </c:pt>
                      <c:pt idx="65">
                        <c:v>17510.996026187928</c:v>
                      </c:pt>
                      <c:pt idx="66">
                        <c:v>17510.996026187928</c:v>
                      </c:pt>
                      <c:pt idx="67">
                        <c:v>17510.996026187928</c:v>
                      </c:pt>
                      <c:pt idx="68">
                        <c:v>17510.996026187928</c:v>
                      </c:pt>
                      <c:pt idx="69">
                        <c:v>17510.996026187928</c:v>
                      </c:pt>
                      <c:pt idx="70">
                        <c:v>17510.996026187928</c:v>
                      </c:pt>
                      <c:pt idx="71">
                        <c:v>17510.996026187928</c:v>
                      </c:pt>
                      <c:pt idx="72">
                        <c:v>17510.996026187928</c:v>
                      </c:pt>
                      <c:pt idx="73">
                        <c:v>17510.996026187928</c:v>
                      </c:pt>
                      <c:pt idx="74">
                        <c:v>17510.996026187928</c:v>
                      </c:pt>
                      <c:pt idx="75">
                        <c:v>17510.996026187928</c:v>
                      </c:pt>
                    </c:numCache>
                  </c:numRef>
                </c:val>
                <c:smooth val="0"/>
                <c:extLst xmlns:c15="http://schemas.microsoft.com/office/drawing/2012/chart">
                  <c:ext xmlns:c16="http://schemas.microsoft.com/office/drawing/2014/chart" uri="{C3380CC4-5D6E-409C-BE32-E72D297353CC}">
                    <c16:uniqueId val="{00000003-9BC3-4C23-8166-D08DDB415D83}"/>
                  </c:ext>
                </c:extLst>
              </c15:ser>
            </c15:filteredLineSeries>
            <c15:filteredLineSeries>
              <c15:ser>
                <c:idx val="4"/>
                <c:order val="2"/>
                <c:tx>
                  <c:strRef>
                    <c:extLst xmlns:c15="http://schemas.microsoft.com/office/drawing/2012/chart">
                      <c:ext xmlns:c15="http://schemas.microsoft.com/office/drawing/2012/chart" uri="{02D57815-91ED-43cb-92C2-25804820EDAC}">
                        <c15:formulaRef>
                          <c15:sqref>'Long-term Model Summary'!$J$25</c15:sqref>
                        </c15:formulaRef>
                      </c:ext>
                    </c:extLst>
                    <c:strCache>
                      <c:ptCount val="1"/>
                      <c:pt idx="0">
                        <c:v>All costs except harvesting costs*</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'Long-term Model Summary'!$K$18:$CH$18</c15:sqref>
                        </c15:formulaRef>
                      </c:ext>
                    </c:extLst>
                    <c:strCache>
                      <c:ptCount val="76"/>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pt idx="50">
                        <c:v>Year 51</c:v>
                      </c:pt>
                      <c:pt idx="51">
                        <c:v>Year 52</c:v>
                      </c:pt>
                      <c:pt idx="52">
                        <c:v>Year 53</c:v>
                      </c:pt>
                      <c:pt idx="53">
                        <c:v>Year 54</c:v>
                      </c:pt>
                      <c:pt idx="54">
                        <c:v>Year 55</c:v>
                      </c:pt>
                      <c:pt idx="55">
                        <c:v>Year 56</c:v>
                      </c:pt>
                      <c:pt idx="56">
                        <c:v>Year 57</c:v>
                      </c:pt>
                      <c:pt idx="57">
                        <c:v>Year 58</c:v>
                      </c:pt>
                      <c:pt idx="58">
                        <c:v>Year 59</c:v>
                      </c:pt>
                      <c:pt idx="59">
                        <c:v>Year 60</c:v>
                      </c:pt>
                      <c:pt idx="60">
                        <c:v>Year 61</c:v>
                      </c:pt>
                      <c:pt idx="61">
                        <c:v>Year 62</c:v>
                      </c:pt>
                      <c:pt idx="62">
                        <c:v>Year 63</c:v>
                      </c:pt>
                      <c:pt idx="63">
                        <c:v>Year 64</c:v>
                      </c:pt>
                      <c:pt idx="64">
                        <c:v>Year 65</c:v>
                      </c:pt>
                      <c:pt idx="65">
                        <c:v>Year 66</c:v>
                      </c:pt>
                      <c:pt idx="66">
                        <c:v>Year 67</c:v>
                      </c:pt>
                      <c:pt idx="67">
                        <c:v>Year 68</c:v>
                      </c:pt>
                      <c:pt idx="68">
                        <c:v>Year 69</c:v>
                      </c:pt>
                      <c:pt idx="69">
                        <c:v>Year 70</c:v>
                      </c:pt>
                      <c:pt idx="70">
                        <c:v>Year 71</c:v>
                      </c:pt>
                      <c:pt idx="71">
                        <c:v>Year 72</c:v>
                      </c:pt>
                      <c:pt idx="72">
                        <c:v>Year 73</c:v>
                      </c:pt>
                      <c:pt idx="73">
                        <c:v>Year 74</c:v>
                      </c:pt>
                      <c:pt idx="74">
                        <c:v>Year 75</c:v>
                      </c:pt>
                      <c:pt idx="75">
                        <c:v>Year 76</c:v>
                      </c:pt>
                    </c:strCache>
                  </c:strRef>
                </c:cat>
                <c:val>
                  <c:numRef>
                    <c:extLst xmlns:c15="http://schemas.microsoft.com/office/drawing/2012/chart">
                      <c:ext xmlns:c15="http://schemas.microsoft.com/office/drawing/2012/chart" uri="{02D57815-91ED-43cb-92C2-25804820EDAC}">
                        <c15:formulaRef>
                          <c15:sqref>'Long-term Model Summary'!$K$25:$CH$25</c15:sqref>
                        </c15:formulaRef>
                      </c:ext>
                    </c:extLst>
                    <c:numCache>
                      <c:formatCode>_("$"* #,##0_);_("$"* \(#,##0\);_("$"* "-"??_);_(@_)</c:formatCode>
                      <c:ptCount val="76"/>
                      <c:pt idx="0">
                        <c:v>52600.265250000004</c:v>
                      </c:pt>
                      <c:pt idx="1">
                        <c:v>19504.96125</c:v>
                      </c:pt>
                      <c:pt idx="2">
                        <c:v>19504.96125</c:v>
                      </c:pt>
                      <c:pt idx="3">
                        <c:v>19504.96125</c:v>
                      </c:pt>
                      <c:pt idx="4">
                        <c:v>19504.96125</c:v>
                      </c:pt>
                      <c:pt idx="5">
                        <c:v>19504.96125</c:v>
                      </c:pt>
                      <c:pt idx="6">
                        <c:v>19504.96125</c:v>
                      </c:pt>
                      <c:pt idx="7">
                        <c:v>19504.96125</c:v>
                      </c:pt>
                      <c:pt idx="8">
                        <c:v>19504.96125</c:v>
                      </c:pt>
                      <c:pt idx="9">
                        <c:v>20628.540053466073</c:v>
                      </c:pt>
                      <c:pt idx="10">
                        <c:v>20628.540053466073</c:v>
                      </c:pt>
                      <c:pt idx="11">
                        <c:v>20628.540053466073</c:v>
                      </c:pt>
                      <c:pt idx="12">
                        <c:v>20974.860053466073</c:v>
                      </c:pt>
                      <c:pt idx="13">
                        <c:v>20974.860053466073</c:v>
                      </c:pt>
                      <c:pt idx="14">
                        <c:v>20974.860053466073</c:v>
                      </c:pt>
                      <c:pt idx="15">
                        <c:v>20974.860053466073</c:v>
                      </c:pt>
                      <c:pt idx="16">
                        <c:v>20974.860053466073</c:v>
                      </c:pt>
                      <c:pt idx="17">
                        <c:v>20974.860053466073</c:v>
                      </c:pt>
                      <c:pt idx="18">
                        <c:v>20974.860053466073</c:v>
                      </c:pt>
                      <c:pt idx="19">
                        <c:v>20974.860053466073</c:v>
                      </c:pt>
                      <c:pt idx="20">
                        <c:v>20974.860053466073</c:v>
                      </c:pt>
                      <c:pt idx="21">
                        <c:v>20974.860053466073</c:v>
                      </c:pt>
                      <c:pt idx="22">
                        <c:v>20974.860053466073</c:v>
                      </c:pt>
                      <c:pt idx="23">
                        <c:v>20974.860053466073</c:v>
                      </c:pt>
                      <c:pt idx="24">
                        <c:v>20974.860053466073</c:v>
                      </c:pt>
                      <c:pt idx="25">
                        <c:v>20974.860053466073</c:v>
                      </c:pt>
                      <c:pt idx="26">
                        <c:v>20974.860053466073</c:v>
                      </c:pt>
                      <c:pt idx="27">
                        <c:v>20974.860053466073</c:v>
                      </c:pt>
                      <c:pt idx="28">
                        <c:v>20974.860053466073</c:v>
                      </c:pt>
                      <c:pt idx="29">
                        <c:v>20974.860053466073</c:v>
                      </c:pt>
                      <c:pt idx="30">
                        <c:v>20974.860053466073</c:v>
                      </c:pt>
                      <c:pt idx="31">
                        <c:v>20974.860053466073</c:v>
                      </c:pt>
                      <c:pt idx="32">
                        <c:v>20974.860053466073</c:v>
                      </c:pt>
                      <c:pt idx="33">
                        <c:v>20974.860053466073</c:v>
                      </c:pt>
                      <c:pt idx="34">
                        <c:v>20974.860053466073</c:v>
                      </c:pt>
                      <c:pt idx="35">
                        <c:v>20974.860053466073</c:v>
                      </c:pt>
                      <c:pt idx="36">
                        <c:v>20974.860053466073</c:v>
                      </c:pt>
                      <c:pt idx="37">
                        <c:v>20974.860053466073</c:v>
                      </c:pt>
                      <c:pt idx="38">
                        <c:v>20974.860053466073</c:v>
                      </c:pt>
                      <c:pt idx="39">
                        <c:v>20974.860053466073</c:v>
                      </c:pt>
                      <c:pt idx="40">
                        <c:v>20974.860053466073</c:v>
                      </c:pt>
                      <c:pt idx="41">
                        <c:v>20541.960053466075</c:v>
                      </c:pt>
                      <c:pt idx="42">
                        <c:v>20541.960053466075</c:v>
                      </c:pt>
                      <c:pt idx="43">
                        <c:v>20541.960053466075</c:v>
                      </c:pt>
                      <c:pt idx="44">
                        <c:v>20541.960053466075</c:v>
                      </c:pt>
                      <c:pt idx="45">
                        <c:v>20541.960053466075</c:v>
                      </c:pt>
                      <c:pt idx="46">
                        <c:v>20541.960053466075</c:v>
                      </c:pt>
                      <c:pt idx="47">
                        <c:v>20541.960053466075</c:v>
                      </c:pt>
                      <c:pt idx="48">
                        <c:v>20541.960053466075</c:v>
                      </c:pt>
                      <c:pt idx="49">
                        <c:v>20541.960053466075</c:v>
                      </c:pt>
                      <c:pt idx="50">
                        <c:v>20541.960053466075</c:v>
                      </c:pt>
                      <c:pt idx="51">
                        <c:v>20541.960053466075</c:v>
                      </c:pt>
                      <c:pt idx="52">
                        <c:v>20541.960053466075</c:v>
                      </c:pt>
                      <c:pt idx="53">
                        <c:v>20541.960053466075</c:v>
                      </c:pt>
                      <c:pt idx="54">
                        <c:v>20541.960053466075</c:v>
                      </c:pt>
                      <c:pt idx="55">
                        <c:v>20541.960053466075</c:v>
                      </c:pt>
                      <c:pt idx="56">
                        <c:v>20541.960053466075</c:v>
                      </c:pt>
                      <c:pt idx="57">
                        <c:v>20541.960053466075</c:v>
                      </c:pt>
                      <c:pt idx="58">
                        <c:v>20541.960053466075</c:v>
                      </c:pt>
                      <c:pt idx="59">
                        <c:v>20541.960053466075</c:v>
                      </c:pt>
                      <c:pt idx="60">
                        <c:v>20541.960053466075</c:v>
                      </c:pt>
                      <c:pt idx="61">
                        <c:v>20541.960053466075</c:v>
                      </c:pt>
                      <c:pt idx="62">
                        <c:v>20541.960053466075</c:v>
                      </c:pt>
                      <c:pt idx="63">
                        <c:v>20541.960053466075</c:v>
                      </c:pt>
                      <c:pt idx="64">
                        <c:v>20541.960053466075</c:v>
                      </c:pt>
                      <c:pt idx="65">
                        <c:v>20541.960053466075</c:v>
                      </c:pt>
                      <c:pt idx="66">
                        <c:v>20541.960053466075</c:v>
                      </c:pt>
                      <c:pt idx="67">
                        <c:v>20541.960053466075</c:v>
                      </c:pt>
                      <c:pt idx="68">
                        <c:v>20541.960053466075</c:v>
                      </c:pt>
                      <c:pt idx="69">
                        <c:v>20541.960053466075</c:v>
                      </c:pt>
                      <c:pt idx="70">
                        <c:v>20541.960053466075</c:v>
                      </c:pt>
                      <c:pt idx="71">
                        <c:v>20541.960053466075</c:v>
                      </c:pt>
                      <c:pt idx="72">
                        <c:v>20541.960053466075</c:v>
                      </c:pt>
                      <c:pt idx="73">
                        <c:v>20541.960053466075</c:v>
                      </c:pt>
                      <c:pt idx="74">
                        <c:v>20541.960053466075</c:v>
                      </c:pt>
                      <c:pt idx="75">
                        <c:v>20541.960053466075</c:v>
                      </c:pt>
                    </c:numCache>
                  </c:numRef>
                </c:val>
                <c:smooth val="0"/>
                <c:extLst xmlns:c15="http://schemas.microsoft.com/office/drawing/2012/chart">
                  <c:ext xmlns:c16="http://schemas.microsoft.com/office/drawing/2014/chart" uri="{C3380CC4-5D6E-409C-BE32-E72D297353CC}">
                    <c16:uniqueId val="{00000004-9BC3-4C23-8166-D08DDB415D83}"/>
                  </c:ext>
                </c:extLst>
              </c15:ser>
            </c15:filteredLineSeries>
          </c:ext>
        </c:extLst>
      </c:lineChart>
      <c:lineChart>
        <c:grouping val="standard"/>
        <c:varyColors val="0"/>
        <c:ser>
          <c:idx val="7"/>
          <c:order val="5"/>
          <c:tx>
            <c:strRef>
              <c:f>'Long-term Model Summary'!$J$28</c:f>
              <c:strCache>
                <c:ptCount val="1"/>
                <c:pt idx="0">
                  <c:v>Cumulative return to enterprise**</c:v>
                </c:pt>
              </c:strCache>
            </c:strRef>
          </c:tx>
          <c:spPr>
            <a:ln w="50800" cap="rnd">
              <a:solidFill>
                <a:srgbClr val="FF0000"/>
              </a:solidFill>
              <a:prstDash val="dash"/>
              <a:round/>
            </a:ln>
            <a:effectLst/>
          </c:spPr>
          <c:marker>
            <c:symbol val="none"/>
          </c:marker>
          <c:val>
            <c:numRef>
              <c:f>'Long-term Model Summary'!$K$28:$CH$28</c:f>
              <c:numCache>
                <c:formatCode>_("$"* #,##0_);_("$"* \(#,##0\);_("$"* "-"??_);_(@_)</c:formatCode>
                <c:ptCount val="76"/>
                <c:pt idx="0">
                  <c:v>-52600.265250000004</c:v>
                </c:pt>
                <c:pt idx="1">
                  <c:v>-72105.226500000004</c:v>
                </c:pt>
                <c:pt idx="2">
                  <c:v>-91610.187750000012</c:v>
                </c:pt>
                <c:pt idx="3">
                  <c:v>-111115.149</c:v>
                </c:pt>
                <c:pt idx="4">
                  <c:v>-130620.11025</c:v>
                </c:pt>
                <c:pt idx="5">
                  <c:v>-150125.07149999999</c:v>
                </c:pt>
                <c:pt idx="6">
                  <c:v>-169630.03274999998</c:v>
                </c:pt>
                <c:pt idx="7">
                  <c:v>-189134.99399999998</c:v>
                </c:pt>
                <c:pt idx="8">
                  <c:v>-208639.95524999997</c:v>
                </c:pt>
                <c:pt idx="9">
                  <c:v>-228849.98458097311</c:v>
                </c:pt>
                <c:pt idx="10">
                  <c:v>-245566.996631191</c:v>
                </c:pt>
                <c:pt idx="11">
                  <c:v>-257673.22587081196</c:v>
                </c:pt>
                <c:pt idx="12">
                  <c:v>-287872.18205585011</c:v>
                </c:pt>
                <c:pt idx="13">
                  <c:v>-293903.75515343377</c:v>
                </c:pt>
                <c:pt idx="14">
                  <c:v>-291794.38257557753</c:v>
                </c:pt>
                <c:pt idx="15">
                  <c:v>-278938.96170614066</c:v>
                </c:pt>
                <c:pt idx="16">
                  <c:v>-264310.44286859297</c:v>
                </c:pt>
                <c:pt idx="17">
                  <c:v>-247837.90214421003</c:v>
                </c:pt>
                <c:pt idx="18">
                  <c:v>-229447.57865751843</c:v>
                </c:pt>
                <c:pt idx="19">
                  <c:v>-209062.76109802583</c:v>
                </c:pt>
                <c:pt idx="20">
                  <c:v>-186603.66970282019</c:v>
                </c:pt>
                <c:pt idx="21">
                  <c:v>-161987.33351847297</c:v>
                </c:pt>
                <c:pt idx="22">
                  <c:v>-135127.46275341851</c:v>
                </c:pt>
                <c:pt idx="23">
                  <c:v>-105934.31602442855</c:v>
                </c:pt>
                <c:pt idx="24">
                  <c:v>-74314.562292945644</c:v>
                </c:pt>
                <c:pt idx="25">
                  <c:v>-40171.137278870112</c:v>
                </c:pt>
                <c:pt idx="26">
                  <c:v>-3403.0941308982146</c:v>
                </c:pt>
                <c:pt idx="27">
                  <c:v>36094.551876325888</c:v>
                </c:pt>
                <c:pt idx="28">
                  <c:v>78430.984857172298</c:v>
                </c:pt>
                <c:pt idx="29">
                  <c:v>123719.75629058589</c:v>
                </c:pt>
                <c:pt idx="30">
                  <c:v>172078.95971466938</c:v>
                </c:pt>
                <c:pt idx="31">
                  <c:v>221236.47545632703</c:v>
                </c:pt>
                <c:pt idx="32">
                  <c:v>271200.28663873457</c:v>
                </c:pt>
                <c:pt idx="33">
                  <c:v>321978.45621629956</c:v>
                </c:pt>
                <c:pt idx="34">
                  <c:v>373579.1277729735</c:v>
                </c:pt>
                <c:pt idx="35">
                  <c:v>426010.52632854751</c:v>
                </c:pt>
                <c:pt idx="36">
                  <c:v>479280.95915301063</c:v>
                </c:pt>
                <c:pt idx="37">
                  <c:v>533398.81658905174</c:v>
                </c:pt>
                <c:pt idx="38">
                  <c:v>588372.57288278651</c:v>
                </c:pt>
                <c:pt idx="39">
                  <c:v>644210.78702279204</c:v>
                </c:pt>
                <c:pt idx="40">
                  <c:v>700922.1035875309</c:v>
                </c:pt>
                <c:pt idx="41">
                  <c:v>740909.36074919812</c:v>
                </c:pt>
                <c:pt idx="42">
                  <c:v>790696.88176581531</c:v>
                </c:pt>
                <c:pt idx="43">
                  <c:v>841292.66927593201</c:v>
                </c:pt>
                <c:pt idx="44">
                  <c:v>892704.80594448326</c:v>
                </c:pt>
                <c:pt idx="45">
                  <c:v>944941.4552630533</c:v>
                </c:pt>
                <c:pt idx="46">
                  <c:v>998010.86235814239</c:v>
                </c:pt>
                <c:pt idx="47">
                  <c:v>1051921.3548075156</c:v>
                </c:pt>
                <c:pt idx="48">
                  <c:v>1106681.3434647161</c:v>
                </c:pt>
                <c:pt idx="49">
                  <c:v>1162299.3232918219</c:v>
                </c:pt>
                <c:pt idx="50">
                  <c:v>1218783.874200532</c:v>
                </c:pt>
                <c:pt idx="51">
                  <c:v>1276143.6619016626</c:v>
                </c:pt>
                <c:pt idx="52">
                  <c:v>1334387.4387631379</c:v>
                </c:pt>
                <c:pt idx="53">
                  <c:v>1393524.0446765611</c:v>
                </c:pt>
                <c:pt idx="54">
                  <c:v>1453562.4079324519</c:v>
                </c:pt>
                <c:pt idx="55">
                  <c:v>1514511.5461042351</c:v>
                </c:pt>
                <c:pt idx="56">
                  <c:v>1576380.5669410694</c:v>
                </c:pt>
                <c:pt idx="57">
                  <c:v>1639178.6692696053</c:v>
                </c:pt>
                <c:pt idx="58">
                  <c:v>1702915.14390476</c:v>
                </c:pt>
                <c:pt idx="59">
                  <c:v>1767599.3745695995</c:v>
                </c:pt>
                <c:pt idx="60">
                  <c:v>1833240.8388244207</c:v>
                </c:pt>
                <c:pt idx="61">
                  <c:v>1898882.3030792419</c:v>
                </c:pt>
                <c:pt idx="62">
                  <c:v>1964523.7673340631</c:v>
                </c:pt>
                <c:pt idx="63">
                  <c:v>2030165.2315888843</c:v>
                </c:pt>
                <c:pt idx="64">
                  <c:v>2095806.6958437054</c:v>
                </c:pt>
                <c:pt idx="65">
                  <c:v>2161448.1600985266</c:v>
                </c:pt>
                <c:pt idx="66">
                  <c:v>2227089.6243533478</c:v>
                </c:pt>
                <c:pt idx="67">
                  <c:v>2292731.088608169</c:v>
                </c:pt>
                <c:pt idx="68">
                  <c:v>2358372.5528629902</c:v>
                </c:pt>
                <c:pt idx="69">
                  <c:v>2424014.0171178114</c:v>
                </c:pt>
                <c:pt idx="70">
                  <c:v>2489655.4813726326</c:v>
                </c:pt>
                <c:pt idx="71">
                  <c:v>2555296.9456274537</c:v>
                </c:pt>
                <c:pt idx="72">
                  <c:v>2620938.4098822749</c:v>
                </c:pt>
                <c:pt idx="73">
                  <c:v>2686579.8741370961</c:v>
                </c:pt>
                <c:pt idx="74">
                  <c:v>2752221.3383919173</c:v>
                </c:pt>
                <c:pt idx="75">
                  <c:v>2817862.8026467385</c:v>
                </c:pt>
              </c:numCache>
            </c:numRef>
          </c:val>
          <c:smooth val="0"/>
          <c:extLst>
            <c:ext xmlns:c16="http://schemas.microsoft.com/office/drawing/2014/chart" uri="{C3380CC4-5D6E-409C-BE32-E72D297353CC}">
              <c16:uniqueId val="{00000009-9BC3-4C23-8166-D08DDB415D83}"/>
            </c:ext>
          </c:extLst>
        </c:ser>
        <c:dLbls>
          <c:showLegendKey val="0"/>
          <c:showVal val="0"/>
          <c:showCatName val="0"/>
          <c:showSerName val="0"/>
          <c:showPercent val="0"/>
          <c:showBubbleSize val="0"/>
        </c:dLbls>
        <c:marker val="1"/>
        <c:smooth val="0"/>
        <c:axId val="2040214975"/>
        <c:axId val="2040215935"/>
      </c:lineChart>
      <c:catAx>
        <c:axId val="1967722879"/>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67719999"/>
        <c:crosses val="autoZero"/>
        <c:auto val="1"/>
        <c:lblAlgn val="ctr"/>
        <c:lblOffset val="0"/>
        <c:noMultiLvlLbl val="0"/>
      </c:catAx>
      <c:valAx>
        <c:axId val="19677199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Annual Costs and Net</a:t>
                </a:r>
                <a:r>
                  <a:rPr lang="en-US" baseline="0"/>
                  <a:t> Income (2025 $)</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967722879"/>
        <c:crossesAt val="0"/>
        <c:crossBetween val="between"/>
      </c:valAx>
      <c:valAx>
        <c:axId val="2040215935"/>
        <c:scaling>
          <c:orientation val="minMax"/>
        </c:scaling>
        <c:delete val="0"/>
        <c:axPos val="r"/>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US" sz="1050"/>
                  <a:t>Cumulative</a:t>
                </a:r>
                <a:r>
                  <a:rPr lang="en-US" sz="1050" baseline="0"/>
                  <a:t> return to enterprise (2025 $)</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040214975"/>
        <c:crosses val="max"/>
        <c:crossBetween val="between"/>
      </c:valAx>
      <c:catAx>
        <c:axId val="2040214975"/>
        <c:scaling>
          <c:orientation val="minMax"/>
        </c:scaling>
        <c:delete val="1"/>
        <c:axPos val="t"/>
        <c:majorTickMark val="out"/>
        <c:minorTickMark val="none"/>
        <c:tickLblPos val="nextTo"/>
        <c:crossAx val="2040215935"/>
        <c:crosses val="max"/>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t>75 Year</a:t>
            </a:r>
            <a:r>
              <a:rPr lang="en-US" b="1" baseline="0"/>
              <a:t> </a:t>
            </a:r>
            <a:r>
              <a:rPr lang="en-US" b="1"/>
              <a:t>Model of Potential Annual</a:t>
            </a:r>
            <a:r>
              <a:rPr lang="en-US" b="1" baseline="0"/>
              <a:t> Orchard Performance</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1091270703231061"/>
          <c:y val="0.11379740852975931"/>
          <c:w val="0.78865232147705677"/>
          <c:h val="0.67671911060232759"/>
        </c:manualLayout>
      </c:layout>
      <c:lineChart>
        <c:grouping val="standard"/>
        <c:varyColors val="0"/>
        <c:ser>
          <c:idx val="5"/>
          <c:order val="4"/>
          <c:tx>
            <c:strRef>
              <c:f>'Long-term Model Summary'!$J$26</c:f>
              <c:strCache>
                <c:ptCount val="1"/>
                <c:pt idx="0">
                  <c:v>Total costs*</c:v>
                </c:pt>
              </c:strCache>
            </c:strRef>
          </c:tx>
          <c:spPr>
            <a:ln w="28575" cap="rnd">
              <a:solidFill>
                <a:schemeClr val="accent6"/>
              </a:solidFill>
              <a:round/>
            </a:ln>
            <a:effectLst/>
          </c:spPr>
          <c:marker>
            <c:symbol val="none"/>
          </c:marker>
          <c:cat>
            <c:strRef>
              <c:extLst>
                <c:ext xmlns:c15="http://schemas.microsoft.com/office/drawing/2012/chart" uri="{02D57815-91ED-43cb-92C2-25804820EDAC}">
                  <c15:fullRef>
                    <c15:sqref>'Long-term Model Summary'!$K$18:$CH$18</c15:sqref>
                  </c15:fullRef>
                </c:ext>
              </c:extLst>
              <c:f>'Long-term Model Summary'!$O$18:$CH$18</c:f>
              <c:strCache>
                <c:ptCount val="72"/>
                <c:pt idx="0">
                  <c:v>Year 5</c:v>
                </c:pt>
                <c:pt idx="1">
                  <c:v>Year 6</c:v>
                </c:pt>
                <c:pt idx="2">
                  <c:v>Year 7</c:v>
                </c:pt>
                <c:pt idx="3">
                  <c:v>Year 8</c:v>
                </c:pt>
                <c:pt idx="4">
                  <c:v>Year 9</c:v>
                </c:pt>
                <c:pt idx="5">
                  <c:v>Year 10</c:v>
                </c:pt>
                <c:pt idx="6">
                  <c:v>Year 11</c:v>
                </c:pt>
                <c:pt idx="7">
                  <c:v>Year 12</c:v>
                </c:pt>
                <c:pt idx="8">
                  <c:v>Year 13</c:v>
                </c:pt>
                <c:pt idx="9">
                  <c:v>Year 14</c:v>
                </c:pt>
                <c:pt idx="10">
                  <c:v>Year 15</c:v>
                </c:pt>
                <c:pt idx="11">
                  <c:v>Year 16</c:v>
                </c:pt>
                <c:pt idx="12">
                  <c:v>Year 17</c:v>
                </c:pt>
                <c:pt idx="13">
                  <c:v>Year 18</c:v>
                </c:pt>
                <c:pt idx="14">
                  <c:v>Year 19</c:v>
                </c:pt>
                <c:pt idx="15">
                  <c:v>Year 20</c:v>
                </c:pt>
                <c:pt idx="16">
                  <c:v>Year 21</c:v>
                </c:pt>
                <c:pt idx="17">
                  <c:v>Year 22</c:v>
                </c:pt>
                <c:pt idx="18">
                  <c:v>Year 23</c:v>
                </c:pt>
                <c:pt idx="19">
                  <c:v>Year 24</c:v>
                </c:pt>
                <c:pt idx="20">
                  <c:v>Year 25</c:v>
                </c:pt>
                <c:pt idx="21">
                  <c:v>Year 26</c:v>
                </c:pt>
                <c:pt idx="22">
                  <c:v>Year 27</c:v>
                </c:pt>
                <c:pt idx="23">
                  <c:v>Year 28</c:v>
                </c:pt>
                <c:pt idx="24">
                  <c:v>Year 29</c:v>
                </c:pt>
                <c:pt idx="25">
                  <c:v>Year 30</c:v>
                </c:pt>
                <c:pt idx="26">
                  <c:v>Year 31</c:v>
                </c:pt>
                <c:pt idx="27">
                  <c:v>Year 32</c:v>
                </c:pt>
                <c:pt idx="28">
                  <c:v>Year 33</c:v>
                </c:pt>
                <c:pt idx="29">
                  <c:v>Year 34</c:v>
                </c:pt>
                <c:pt idx="30">
                  <c:v>Year 35</c:v>
                </c:pt>
                <c:pt idx="31">
                  <c:v>Year 36</c:v>
                </c:pt>
                <c:pt idx="32">
                  <c:v>Year 37</c:v>
                </c:pt>
                <c:pt idx="33">
                  <c:v>Year 38</c:v>
                </c:pt>
                <c:pt idx="34">
                  <c:v>Year 39</c:v>
                </c:pt>
                <c:pt idx="35">
                  <c:v>Year 40</c:v>
                </c:pt>
                <c:pt idx="36">
                  <c:v>Year 41</c:v>
                </c:pt>
                <c:pt idx="37">
                  <c:v>Year 42</c:v>
                </c:pt>
                <c:pt idx="38">
                  <c:v>Year 43</c:v>
                </c:pt>
                <c:pt idx="39">
                  <c:v>Year 44</c:v>
                </c:pt>
                <c:pt idx="40">
                  <c:v>Year 45</c:v>
                </c:pt>
                <c:pt idx="41">
                  <c:v>Year 46</c:v>
                </c:pt>
                <c:pt idx="42">
                  <c:v>Year 47</c:v>
                </c:pt>
                <c:pt idx="43">
                  <c:v>Year 48</c:v>
                </c:pt>
                <c:pt idx="44">
                  <c:v>Year 49</c:v>
                </c:pt>
                <c:pt idx="45">
                  <c:v>Year 50</c:v>
                </c:pt>
                <c:pt idx="46">
                  <c:v>Year 51</c:v>
                </c:pt>
                <c:pt idx="47">
                  <c:v>Year 52</c:v>
                </c:pt>
                <c:pt idx="48">
                  <c:v>Year 53</c:v>
                </c:pt>
                <c:pt idx="49">
                  <c:v>Year 54</c:v>
                </c:pt>
                <c:pt idx="50">
                  <c:v>Year 55</c:v>
                </c:pt>
                <c:pt idx="51">
                  <c:v>Year 56</c:v>
                </c:pt>
                <c:pt idx="52">
                  <c:v>Year 57</c:v>
                </c:pt>
                <c:pt idx="53">
                  <c:v>Year 58</c:v>
                </c:pt>
                <c:pt idx="54">
                  <c:v>Year 59</c:v>
                </c:pt>
                <c:pt idx="55">
                  <c:v>Year 60</c:v>
                </c:pt>
                <c:pt idx="56">
                  <c:v>Year 61</c:v>
                </c:pt>
                <c:pt idx="57">
                  <c:v>Year 62</c:v>
                </c:pt>
                <c:pt idx="58">
                  <c:v>Year 63</c:v>
                </c:pt>
                <c:pt idx="59">
                  <c:v>Year 64</c:v>
                </c:pt>
                <c:pt idx="60">
                  <c:v>Year 65</c:v>
                </c:pt>
                <c:pt idx="61">
                  <c:v>Year 66</c:v>
                </c:pt>
                <c:pt idx="62">
                  <c:v>Year 67</c:v>
                </c:pt>
                <c:pt idx="63">
                  <c:v>Year 68</c:v>
                </c:pt>
                <c:pt idx="64">
                  <c:v>Year 69</c:v>
                </c:pt>
                <c:pt idx="65">
                  <c:v>Year 70</c:v>
                </c:pt>
                <c:pt idx="66">
                  <c:v>Year 71</c:v>
                </c:pt>
                <c:pt idx="67">
                  <c:v>Year 72</c:v>
                </c:pt>
                <c:pt idx="68">
                  <c:v>Year 73</c:v>
                </c:pt>
                <c:pt idx="69">
                  <c:v>Year 74</c:v>
                </c:pt>
                <c:pt idx="70">
                  <c:v>Year 75</c:v>
                </c:pt>
                <c:pt idx="71">
                  <c:v>Year 76</c:v>
                </c:pt>
              </c:strCache>
            </c:strRef>
          </c:cat>
          <c:val>
            <c:numRef>
              <c:extLst>
                <c:ext xmlns:c15="http://schemas.microsoft.com/office/drawing/2012/chart" uri="{02D57815-91ED-43cb-92C2-25804820EDAC}">
                  <c15:fullRef>
                    <c15:sqref>'Long-term Model Summary'!$K$26:$CH$26</c15:sqref>
                  </c15:fullRef>
                </c:ext>
              </c:extLst>
              <c:f>'Long-term Model Summary'!$O$26:$CH$26</c:f>
              <c:numCache>
                <c:formatCode>_("$"* #,##0_);_("$"* \(#,##0\);_("$"* "-"??_);_(@_)</c:formatCode>
                <c:ptCount val="72"/>
                <c:pt idx="0">
                  <c:v>19504.96125</c:v>
                </c:pt>
                <c:pt idx="1">
                  <c:v>19504.96125</c:v>
                </c:pt>
                <c:pt idx="2">
                  <c:v>19504.96125</c:v>
                </c:pt>
                <c:pt idx="3">
                  <c:v>19504.96125</c:v>
                </c:pt>
                <c:pt idx="4">
                  <c:v>19504.96125</c:v>
                </c:pt>
                <c:pt idx="5">
                  <c:v>31917.60141349701</c:v>
                </c:pt>
                <c:pt idx="6">
                  <c:v>32171.00719914939</c:v>
                </c:pt>
                <c:pt idx="7">
                  <c:v>32505.502836210529</c:v>
                </c:pt>
                <c:pt idx="8">
                  <c:v>50870.220096248886</c:v>
                </c:pt>
                <c:pt idx="9">
                  <c:v>33317.64146038187</c:v>
                </c:pt>
                <c:pt idx="10">
                  <c:v>33908.237661037405</c:v>
                </c:pt>
                <c:pt idx="11">
                  <c:v>34687.824645902714</c:v>
                </c:pt>
                <c:pt idx="12">
                  <c:v>34816.456498405489</c:v>
                </c:pt>
                <c:pt idx="13">
                  <c:v>34950.233625008375</c:v>
                </c:pt>
                <c:pt idx="14">
                  <c:v>35089.361836675373</c:v>
                </c:pt>
                <c:pt idx="15">
                  <c:v>35234.055176809052</c:v>
                </c:pt>
                <c:pt idx="16">
                  <c:v>35384.536250548081</c:v>
                </c:pt>
                <c:pt idx="17">
                  <c:v>35541.036567236675</c:v>
                </c:pt>
                <c:pt idx="18">
                  <c:v>35703.796896592808</c:v>
                </c:pt>
                <c:pt idx="19">
                  <c:v>35873.067639123183</c:v>
                </c:pt>
                <c:pt idx="20">
                  <c:v>36049.109211354778</c:v>
                </c:pt>
                <c:pt idx="21">
                  <c:v>36232.192446475645</c:v>
                </c:pt>
                <c:pt idx="22">
                  <c:v>36422.599011001337</c:v>
                </c:pt>
                <c:pt idx="23">
                  <c:v>36620.621838108054</c:v>
                </c:pt>
                <c:pt idx="24">
                  <c:v>36826.565578299043</c:v>
                </c:pt>
                <c:pt idx="25">
                  <c:v>37040.747068097669</c:v>
                </c:pt>
                <c:pt idx="26">
                  <c:v>37263.495817488249</c:v>
                </c:pt>
                <c:pt idx="27">
                  <c:v>37321.4104923298</c:v>
                </c:pt>
                <c:pt idx="28">
                  <c:v>37379.90431391976</c:v>
                </c:pt>
                <c:pt idx="29">
                  <c:v>37438.983073725627</c:v>
                </c:pt>
                <c:pt idx="30">
                  <c:v>37498.652621129542</c:v>
                </c:pt>
                <c:pt idx="31">
                  <c:v>37558.918864007508</c:v>
                </c:pt>
                <c:pt idx="32">
                  <c:v>37619.787769314251</c:v>
                </c:pt>
                <c:pt idx="33">
                  <c:v>37681.265363674058</c:v>
                </c:pt>
                <c:pt idx="34">
                  <c:v>37743.357733977464</c:v>
                </c:pt>
                <c:pt idx="35">
                  <c:v>37806.071027983911</c:v>
                </c:pt>
                <c:pt idx="36">
                  <c:v>37869.411454930414</c:v>
                </c:pt>
                <c:pt idx="37">
                  <c:v>45844.753516182682</c:v>
                </c:pt>
                <c:pt idx="38">
                  <c:v>36902.809768011182</c:v>
                </c:pt>
                <c:pt idx="39">
                  <c:v>36961.446582357959</c:v>
                </c:pt>
                <c:pt idx="40">
                  <c:v>37020.669764848208</c:v>
                </c:pt>
                <c:pt idx="41">
                  <c:v>37080.485179163355</c:v>
                </c:pt>
                <c:pt idx="42">
                  <c:v>37140.898747621657</c:v>
                </c:pt>
                <c:pt idx="43">
                  <c:v>37201.91645176454</c:v>
                </c:pt>
                <c:pt idx="44">
                  <c:v>37263.544332948848</c:v>
                </c:pt>
                <c:pt idx="45">
                  <c:v>37325.788492945008</c:v>
                </c:pt>
                <c:pt idx="46">
                  <c:v>37388.655094541122</c:v>
                </c:pt>
                <c:pt idx="47">
                  <c:v>37452.150362153203</c:v>
                </c:pt>
                <c:pt idx="48">
                  <c:v>37516.280582441403</c:v>
                </c:pt>
                <c:pt idx="49">
                  <c:v>37581.052104932482</c:v>
                </c:pt>
                <c:pt idx="50">
                  <c:v>37646.471342648474</c:v>
                </c:pt>
                <c:pt idx="51">
                  <c:v>37712.544772741618</c:v>
                </c:pt>
                <c:pt idx="52">
                  <c:v>37779.278937135707</c:v>
                </c:pt>
                <c:pt idx="53">
                  <c:v>37846.680443173733</c:v>
                </c:pt>
                <c:pt idx="54">
                  <c:v>37914.755964272132</c:v>
                </c:pt>
                <c:pt idx="55">
                  <c:v>37983.51224058152</c:v>
                </c:pt>
                <c:pt idx="56">
                  <c:v>38052.956079654003</c:v>
                </c:pt>
                <c:pt idx="57">
                  <c:v>38052.956079654003</c:v>
                </c:pt>
                <c:pt idx="58">
                  <c:v>38052.956079654003</c:v>
                </c:pt>
                <c:pt idx="59">
                  <c:v>38052.956079654003</c:v>
                </c:pt>
                <c:pt idx="60">
                  <c:v>38052.956079654003</c:v>
                </c:pt>
                <c:pt idx="61">
                  <c:v>38052.956079654003</c:v>
                </c:pt>
                <c:pt idx="62">
                  <c:v>38052.956079654003</c:v>
                </c:pt>
                <c:pt idx="63">
                  <c:v>38052.956079654003</c:v>
                </c:pt>
                <c:pt idx="64">
                  <c:v>38052.956079654003</c:v>
                </c:pt>
                <c:pt idx="65">
                  <c:v>38052.956079654003</c:v>
                </c:pt>
                <c:pt idx="66">
                  <c:v>38052.956079654003</c:v>
                </c:pt>
                <c:pt idx="67">
                  <c:v>38052.956079654003</c:v>
                </c:pt>
                <c:pt idx="68">
                  <c:v>38052.956079654003</c:v>
                </c:pt>
                <c:pt idx="69">
                  <c:v>38052.956079654003</c:v>
                </c:pt>
                <c:pt idx="70">
                  <c:v>38052.956079654003</c:v>
                </c:pt>
                <c:pt idx="71">
                  <c:v>38052.956079654003</c:v>
                </c:pt>
              </c:numCache>
            </c:numRef>
          </c:val>
          <c:smooth val="0"/>
          <c:extLst>
            <c:ext xmlns:c16="http://schemas.microsoft.com/office/drawing/2014/chart" uri="{C3380CC4-5D6E-409C-BE32-E72D297353CC}">
              <c16:uniqueId val="{00000001-A065-46CB-9C47-34F01C4DB87C}"/>
            </c:ext>
          </c:extLst>
        </c:ser>
        <c:ser>
          <c:idx val="6"/>
          <c:order val="5"/>
          <c:tx>
            <c:strRef>
              <c:f>'Long-term Model Summary'!$J$27</c:f>
              <c:strCache>
                <c:ptCount val="1"/>
                <c:pt idx="0">
                  <c:v>Net income, by year*</c:v>
                </c:pt>
              </c:strCache>
            </c:strRef>
          </c:tx>
          <c:spPr>
            <a:ln w="28575" cap="rnd">
              <a:solidFill>
                <a:schemeClr val="accent1">
                  <a:lumMod val="60000"/>
                </a:schemeClr>
              </a:solidFill>
              <a:round/>
            </a:ln>
            <a:effectLst/>
          </c:spPr>
          <c:marker>
            <c:symbol val="none"/>
          </c:marker>
          <c:cat>
            <c:strRef>
              <c:extLst>
                <c:ext xmlns:c15="http://schemas.microsoft.com/office/drawing/2012/chart" uri="{02D57815-91ED-43cb-92C2-25804820EDAC}">
                  <c15:fullRef>
                    <c15:sqref>'Long-term Model Summary'!$K$18:$CH$18</c15:sqref>
                  </c15:fullRef>
                </c:ext>
              </c:extLst>
              <c:f>'Long-term Model Summary'!$O$18:$CH$18</c:f>
              <c:strCache>
                <c:ptCount val="72"/>
                <c:pt idx="0">
                  <c:v>Year 5</c:v>
                </c:pt>
                <c:pt idx="1">
                  <c:v>Year 6</c:v>
                </c:pt>
                <c:pt idx="2">
                  <c:v>Year 7</c:v>
                </c:pt>
                <c:pt idx="3">
                  <c:v>Year 8</c:v>
                </c:pt>
                <c:pt idx="4">
                  <c:v>Year 9</c:v>
                </c:pt>
                <c:pt idx="5">
                  <c:v>Year 10</c:v>
                </c:pt>
                <c:pt idx="6">
                  <c:v>Year 11</c:v>
                </c:pt>
                <c:pt idx="7">
                  <c:v>Year 12</c:v>
                </c:pt>
                <c:pt idx="8">
                  <c:v>Year 13</c:v>
                </c:pt>
                <c:pt idx="9">
                  <c:v>Year 14</c:v>
                </c:pt>
                <c:pt idx="10">
                  <c:v>Year 15</c:v>
                </c:pt>
                <c:pt idx="11">
                  <c:v>Year 16</c:v>
                </c:pt>
                <c:pt idx="12">
                  <c:v>Year 17</c:v>
                </c:pt>
                <c:pt idx="13">
                  <c:v>Year 18</c:v>
                </c:pt>
                <c:pt idx="14">
                  <c:v>Year 19</c:v>
                </c:pt>
                <c:pt idx="15">
                  <c:v>Year 20</c:v>
                </c:pt>
                <c:pt idx="16">
                  <c:v>Year 21</c:v>
                </c:pt>
                <c:pt idx="17">
                  <c:v>Year 22</c:v>
                </c:pt>
                <c:pt idx="18">
                  <c:v>Year 23</c:v>
                </c:pt>
                <c:pt idx="19">
                  <c:v>Year 24</c:v>
                </c:pt>
                <c:pt idx="20">
                  <c:v>Year 25</c:v>
                </c:pt>
                <c:pt idx="21">
                  <c:v>Year 26</c:v>
                </c:pt>
                <c:pt idx="22">
                  <c:v>Year 27</c:v>
                </c:pt>
                <c:pt idx="23">
                  <c:v>Year 28</c:v>
                </c:pt>
                <c:pt idx="24">
                  <c:v>Year 29</c:v>
                </c:pt>
                <c:pt idx="25">
                  <c:v>Year 30</c:v>
                </c:pt>
                <c:pt idx="26">
                  <c:v>Year 31</c:v>
                </c:pt>
                <c:pt idx="27">
                  <c:v>Year 32</c:v>
                </c:pt>
                <c:pt idx="28">
                  <c:v>Year 33</c:v>
                </c:pt>
                <c:pt idx="29">
                  <c:v>Year 34</c:v>
                </c:pt>
                <c:pt idx="30">
                  <c:v>Year 35</c:v>
                </c:pt>
                <c:pt idx="31">
                  <c:v>Year 36</c:v>
                </c:pt>
                <c:pt idx="32">
                  <c:v>Year 37</c:v>
                </c:pt>
                <c:pt idx="33">
                  <c:v>Year 38</c:v>
                </c:pt>
                <c:pt idx="34">
                  <c:v>Year 39</c:v>
                </c:pt>
                <c:pt idx="35">
                  <c:v>Year 40</c:v>
                </c:pt>
                <c:pt idx="36">
                  <c:v>Year 41</c:v>
                </c:pt>
                <c:pt idx="37">
                  <c:v>Year 42</c:v>
                </c:pt>
                <c:pt idx="38">
                  <c:v>Year 43</c:v>
                </c:pt>
                <c:pt idx="39">
                  <c:v>Year 44</c:v>
                </c:pt>
                <c:pt idx="40">
                  <c:v>Year 45</c:v>
                </c:pt>
                <c:pt idx="41">
                  <c:v>Year 46</c:v>
                </c:pt>
                <c:pt idx="42">
                  <c:v>Year 47</c:v>
                </c:pt>
                <c:pt idx="43">
                  <c:v>Year 48</c:v>
                </c:pt>
                <c:pt idx="44">
                  <c:v>Year 49</c:v>
                </c:pt>
                <c:pt idx="45">
                  <c:v>Year 50</c:v>
                </c:pt>
                <c:pt idx="46">
                  <c:v>Year 51</c:v>
                </c:pt>
                <c:pt idx="47">
                  <c:v>Year 52</c:v>
                </c:pt>
                <c:pt idx="48">
                  <c:v>Year 53</c:v>
                </c:pt>
                <c:pt idx="49">
                  <c:v>Year 54</c:v>
                </c:pt>
                <c:pt idx="50">
                  <c:v>Year 55</c:v>
                </c:pt>
                <c:pt idx="51">
                  <c:v>Year 56</c:v>
                </c:pt>
                <c:pt idx="52">
                  <c:v>Year 57</c:v>
                </c:pt>
                <c:pt idx="53">
                  <c:v>Year 58</c:v>
                </c:pt>
                <c:pt idx="54">
                  <c:v>Year 59</c:v>
                </c:pt>
                <c:pt idx="55">
                  <c:v>Year 60</c:v>
                </c:pt>
                <c:pt idx="56">
                  <c:v>Year 61</c:v>
                </c:pt>
                <c:pt idx="57">
                  <c:v>Year 62</c:v>
                </c:pt>
                <c:pt idx="58">
                  <c:v>Year 63</c:v>
                </c:pt>
                <c:pt idx="59">
                  <c:v>Year 64</c:v>
                </c:pt>
                <c:pt idx="60">
                  <c:v>Year 65</c:v>
                </c:pt>
                <c:pt idx="61">
                  <c:v>Year 66</c:v>
                </c:pt>
                <c:pt idx="62">
                  <c:v>Year 67</c:v>
                </c:pt>
                <c:pt idx="63">
                  <c:v>Year 68</c:v>
                </c:pt>
                <c:pt idx="64">
                  <c:v>Year 69</c:v>
                </c:pt>
                <c:pt idx="65">
                  <c:v>Year 70</c:v>
                </c:pt>
                <c:pt idx="66">
                  <c:v>Year 71</c:v>
                </c:pt>
                <c:pt idx="67">
                  <c:v>Year 72</c:v>
                </c:pt>
                <c:pt idx="68">
                  <c:v>Year 73</c:v>
                </c:pt>
                <c:pt idx="69">
                  <c:v>Year 74</c:v>
                </c:pt>
                <c:pt idx="70">
                  <c:v>Year 75</c:v>
                </c:pt>
                <c:pt idx="71">
                  <c:v>Year 76</c:v>
                </c:pt>
              </c:strCache>
            </c:strRef>
          </c:cat>
          <c:val>
            <c:numRef>
              <c:extLst>
                <c:ext xmlns:c15="http://schemas.microsoft.com/office/drawing/2012/chart" uri="{02D57815-91ED-43cb-92C2-25804820EDAC}">
                  <c15:fullRef>
                    <c15:sqref>'Long-term Model Summary'!$K$27:$CH$27</c15:sqref>
                  </c15:fullRef>
                </c:ext>
              </c:extLst>
              <c:f>'Long-term Model Summary'!$O$27:$CH$27</c:f>
              <c:numCache>
                <c:formatCode>_("$"* #,##0_);_("$"* \(#,##0\);_("$"* "-"??_);_(@_)</c:formatCode>
                <c:ptCount val="72"/>
                <c:pt idx="0">
                  <c:v>-19504.96125</c:v>
                </c:pt>
                <c:pt idx="1">
                  <c:v>-19504.96125</c:v>
                </c:pt>
                <c:pt idx="2">
                  <c:v>-19504.96125</c:v>
                </c:pt>
                <c:pt idx="3">
                  <c:v>-19504.96125</c:v>
                </c:pt>
                <c:pt idx="4">
                  <c:v>-19504.96125</c:v>
                </c:pt>
                <c:pt idx="5">
                  <c:v>-20210.02933097315</c:v>
                </c:pt>
                <c:pt idx="6">
                  <c:v>-16717.012050217894</c:v>
                </c:pt>
                <c:pt idx="7">
                  <c:v>-12106.229239620952</c:v>
                </c:pt>
                <c:pt idx="8">
                  <c:v>-30198.956185038118</c:v>
                </c:pt>
                <c:pt idx="9">
                  <c:v>-6031.5730975836559</c:v>
                </c:pt>
                <c:pt idx="10">
                  <c:v>2109.3725778562439</c:v>
                </c:pt>
                <c:pt idx="11">
                  <c:v>12855.420869436901</c:v>
                </c:pt>
                <c:pt idx="12">
                  <c:v>14628.518837547708</c:v>
                </c:pt>
                <c:pt idx="13">
                  <c:v>16472.540724382947</c:v>
                </c:pt>
                <c:pt idx="14">
                  <c:v>18390.32348669161</c:v>
                </c:pt>
                <c:pt idx="15">
                  <c:v>20384.817559492614</c:v>
                </c:pt>
                <c:pt idx="16">
                  <c:v>22459.091395205651</c:v>
                </c:pt>
                <c:pt idx="17">
                  <c:v>24616.336184347216</c:v>
                </c:pt>
                <c:pt idx="18">
                  <c:v>26859.870765054446</c:v>
                </c:pt>
                <c:pt idx="19">
                  <c:v>29193.146728989967</c:v>
                </c:pt>
                <c:pt idx="20">
                  <c:v>31619.75373148291</c:v>
                </c:pt>
                <c:pt idx="21">
                  <c:v>34143.425014075532</c:v>
                </c:pt>
                <c:pt idx="22">
                  <c:v>36768.043147971897</c:v>
                </c:pt>
                <c:pt idx="23">
                  <c:v>39497.646007224103</c:v>
                </c:pt>
                <c:pt idx="24">
                  <c:v>42336.432980846403</c:v>
                </c:pt>
                <c:pt idx="25">
                  <c:v>45288.771433413596</c:v>
                </c:pt>
                <c:pt idx="26">
                  <c:v>48359.203424083491</c:v>
                </c:pt>
                <c:pt idx="27">
                  <c:v>49157.51574165764</c:v>
                </c:pt>
                <c:pt idx="28">
                  <c:v>49963.81118240756</c:v>
                </c:pt>
                <c:pt idx="29">
                  <c:v>50778.169577564957</c:v>
                </c:pt>
                <c:pt idx="30">
                  <c:v>51600.671556673944</c:v>
                </c:pt>
                <c:pt idx="31">
                  <c:v>52431.398555574015</c:v>
                </c:pt>
                <c:pt idx="32">
                  <c:v>53270.432824463089</c:v>
                </c:pt>
                <c:pt idx="33">
                  <c:v>54117.857436041071</c:v>
                </c:pt>
                <c:pt idx="34">
                  <c:v>54973.756293734798</c:v>
                </c:pt>
                <c:pt idx="35">
                  <c:v>55838.214140005482</c:v>
                </c:pt>
                <c:pt idx="36">
                  <c:v>56711.316564738874</c:v>
                </c:pt>
                <c:pt idx="37">
                  <c:v>39987.257161667221</c:v>
                </c:pt>
                <c:pt idx="38">
                  <c:v>49787.521016617218</c:v>
                </c:pt>
                <c:pt idx="39">
                  <c:v>50595.787510116723</c:v>
                </c:pt>
                <c:pt idx="40">
                  <c:v>51412.136668551218</c:v>
                </c:pt>
                <c:pt idx="41">
                  <c:v>52236.649318570082</c:v>
                </c:pt>
                <c:pt idx="42">
                  <c:v>53069.407095089104</c:v>
                </c:pt>
                <c:pt idx="43">
                  <c:v>53910.492449373327</c:v>
                </c:pt>
                <c:pt idx="44">
                  <c:v>54759.988657200403</c:v>
                </c:pt>
                <c:pt idx="45">
                  <c:v>55617.979827105752</c:v>
                </c:pt>
                <c:pt idx="46">
                  <c:v>56484.550908710145</c:v>
                </c:pt>
                <c:pt idx="47">
                  <c:v>57359.787701130568</c:v>
                </c:pt>
                <c:pt idx="48">
                  <c:v>58243.776861475206</c:v>
                </c:pt>
                <c:pt idx="49">
                  <c:v>59136.6059134233</c:v>
                </c:pt>
                <c:pt idx="50">
                  <c:v>60038.363255890865</c:v>
                </c:pt>
                <c:pt idx="51">
                  <c:v>60949.13817178311</c:v>
                </c:pt>
                <c:pt idx="52">
                  <c:v>61869.020836834272</c:v>
                </c:pt>
                <c:pt idx="53">
                  <c:v>62798.102328535948</c:v>
                </c:pt>
                <c:pt idx="54">
                  <c:v>63736.474635154649</c:v>
                </c:pt>
                <c:pt idx="55">
                  <c:v>64684.230664839532</c:v>
                </c:pt>
                <c:pt idx="56">
                  <c:v>65641.464254821272</c:v>
                </c:pt>
                <c:pt idx="57">
                  <c:v>65641.464254821272</c:v>
                </c:pt>
                <c:pt idx="58">
                  <c:v>65641.464254821272</c:v>
                </c:pt>
                <c:pt idx="59">
                  <c:v>65641.464254821272</c:v>
                </c:pt>
                <c:pt idx="60">
                  <c:v>65641.464254821272</c:v>
                </c:pt>
                <c:pt idx="61">
                  <c:v>65641.464254821272</c:v>
                </c:pt>
                <c:pt idx="62">
                  <c:v>65641.464254821272</c:v>
                </c:pt>
                <c:pt idx="63">
                  <c:v>65641.464254821272</c:v>
                </c:pt>
                <c:pt idx="64">
                  <c:v>65641.464254821272</c:v>
                </c:pt>
                <c:pt idx="65">
                  <c:v>65641.464254821272</c:v>
                </c:pt>
                <c:pt idx="66">
                  <c:v>65641.464254821272</c:v>
                </c:pt>
                <c:pt idx="67">
                  <c:v>65641.464254821272</c:v>
                </c:pt>
                <c:pt idx="68">
                  <c:v>65641.464254821272</c:v>
                </c:pt>
                <c:pt idx="69">
                  <c:v>65641.464254821272</c:v>
                </c:pt>
                <c:pt idx="70">
                  <c:v>65641.464254821272</c:v>
                </c:pt>
                <c:pt idx="71">
                  <c:v>65641.464254821272</c:v>
                </c:pt>
              </c:numCache>
            </c:numRef>
          </c:val>
          <c:smooth val="0"/>
          <c:extLst>
            <c:ext xmlns:c16="http://schemas.microsoft.com/office/drawing/2014/chart" uri="{C3380CC4-5D6E-409C-BE32-E72D297353CC}">
              <c16:uniqueId val="{00000002-A065-46CB-9C47-34F01C4DB87C}"/>
            </c:ext>
          </c:extLst>
        </c:ser>
        <c:dLbls>
          <c:showLegendKey val="0"/>
          <c:showVal val="0"/>
          <c:showCatName val="0"/>
          <c:showSerName val="0"/>
          <c:showPercent val="0"/>
          <c:showBubbleSize val="0"/>
        </c:dLbls>
        <c:marker val="1"/>
        <c:smooth val="0"/>
        <c:axId val="1967722879"/>
        <c:axId val="1967719999"/>
        <c:extLst>
          <c:ext xmlns:c15="http://schemas.microsoft.com/office/drawing/2012/chart" uri="{02D57815-91ED-43cb-92C2-25804820EDAC}">
            <c15:filteredLineSeries>
              <c15:ser>
                <c:idx val="2"/>
                <c:order val="1"/>
                <c:tx>
                  <c:strRef>
                    <c:extLst>
                      <c:ext uri="{02D57815-91ED-43cb-92C2-25804820EDAC}">
                        <c15:formulaRef>
                          <c15:sqref>'Long-term Model Summary'!$J$21</c15:sqref>
                        </c15:formulaRef>
                      </c:ext>
                    </c:extLst>
                    <c:strCache>
                      <c:ptCount val="1"/>
                      <c:pt idx="0">
                        <c:v>Revenue by year*</c:v>
                      </c:pt>
                    </c:strCache>
                  </c:strRef>
                </c:tx>
                <c:spPr>
                  <a:ln w="28575" cap="rnd">
                    <a:solidFill>
                      <a:schemeClr val="accent3"/>
                    </a:solidFill>
                    <a:round/>
                  </a:ln>
                  <a:effectLst/>
                </c:spPr>
                <c:marker>
                  <c:symbol val="none"/>
                </c:marker>
                <c:cat>
                  <c:strRef>
                    <c:extLst>
                      <c:ext uri="{02D57815-91ED-43cb-92C2-25804820EDAC}">
                        <c15:fullRef>
                          <c15:sqref>'Long-term Model Summary'!$K$18:$CH$18</c15:sqref>
                        </c15:fullRef>
                        <c15:formulaRef>
                          <c15:sqref>'Long-term Model Summary'!$O$18:$CH$18</c15:sqref>
                        </c15:formulaRef>
                      </c:ext>
                    </c:extLst>
                    <c:strCache>
                      <c:ptCount val="72"/>
                      <c:pt idx="0">
                        <c:v>Year 5</c:v>
                      </c:pt>
                      <c:pt idx="1">
                        <c:v>Year 6</c:v>
                      </c:pt>
                      <c:pt idx="2">
                        <c:v>Year 7</c:v>
                      </c:pt>
                      <c:pt idx="3">
                        <c:v>Year 8</c:v>
                      </c:pt>
                      <c:pt idx="4">
                        <c:v>Year 9</c:v>
                      </c:pt>
                      <c:pt idx="5">
                        <c:v>Year 10</c:v>
                      </c:pt>
                      <c:pt idx="6">
                        <c:v>Year 11</c:v>
                      </c:pt>
                      <c:pt idx="7">
                        <c:v>Year 12</c:v>
                      </c:pt>
                      <c:pt idx="8">
                        <c:v>Year 13</c:v>
                      </c:pt>
                      <c:pt idx="9">
                        <c:v>Year 14</c:v>
                      </c:pt>
                      <c:pt idx="10">
                        <c:v>Year 15</c:v>
                      </c:pt>
                      <c:pt idx="11">
                        <c:v>Year 16</c:v>
                      </c:pt>
                      <c:pt idx="12">
                        <c:v>Year 17</c:v>
                      </c:pt>
                      <c:pt idx="13">
                        <c:v>Year 18</c:v>
                      </c:pt>
                      <c:pt idx="14">
                        <c:v>Year 19</c:v>
                      </c:pt>
                      <c:pt idx="15">
                        <c:v>Year 20</c:v>
                      </c:pt>
                      <c:pt idx="16">
                        <c:v>Year 21</c:v>
                      </c:pt>
                      <c:pt idx="17">
                        <c:v>Year 22</c:v>
                      </c:pt>
                      <c:pt idx="18">
                        <c:v>Year 23</c:v>
                      </c:pt>
                      <c:pt idx="19">
                        <c:v>Year 24</c:v>
                      </c:pt>
                      <c:pt idx="20">
                        <c:v>Year 25</c:v>
                      </c:pt>
                      <c:pt idx="21">
                        <c:v>Year 26</c:v>
                      </c:pt>
                      <c:pt idx="22">
                        <c:v>Year 27</c:v>
                      </c:pt>
                      <c:pt idx="23">
                        <c:v>Year 28</c:v>
                      </c:pt>
                      <c:pt idx="24">
                        <c:v>Year 29</c:v>
                      </c:pt>
                      <c:pt idx="25">
                        <c:v>Year 30</c:v>
                      </c:pt>
                      <c:pt idx="26">
                        <c:v>Year 31</c:v>
                      </c:pt>
                      <c:pt idx="27">
                        <c:v>Year 32</c:v>
                      </c:pt>
                      <c:pt idx="28">
                        <c:v>Year 33</c:v>
                      </c:pt>
                      <c:pt idx="29">
                        <c:v>Year 34</c:v>
                      </c:pt>
                      <c:pt idx="30">
                        <c:v>Year 35</c:v>
                      </c:pt>
                      <c:pt idx="31">
                        <c:v>Year 36</c:v>
                      </c:pt>
                      <c:pt idx="32">
                        <c:v>Year 37</c:v>
                      </c:pt>
                      <c:pt idx="33">
                        <c:v>Year 38</c:v>
                      </c:pt>
                      <c:pt idx="34">
                        <c:v>Year 39</c:v>
                      </c:pt>
                      <c:pt idx="35">
                        <c:v>Year 40</c:v>
                      </c:pt>
                      <c:pt idx="36">
                        <c:v>Year 41</c:v>
                      </c:pt>
                      <c:pt idx="37">
                        <c:v>Year 42</c:v>
                      </c:pt>
                      <c:pt idx="38">
                        <c:v>Year 43</c:v>
                      </c:pt>
                      <c:pt idx="39">
                        <c:v>Year 44</c:v>
                      </c:pt>
                      <c:pt idx="40">
                        <c:v>Year 45</c:v>
                      </c:pt>
                      <c:pt idx="41">
                        <c:v>Year 46</c:v>
                      </c:pt>
                      <c:pt idx="42">
                        <c:v>Year 47</c:v>
                      </c:pt>
                      <c:pt idx="43">
                        <c:v>Year 48</c:v>
                      </c:pt>
                      <c:pt idx="44">
                        <c:v>Year 49</c:v>
                      </c:pt>
                      <c:pt idx="45">
                        <c:v>Year 50</c:v>
                      </c:pt>
                      <c:pt idx="46">
                        <c:v>Year 51</c:v>
                      </c:pt>
                      <c:pt idx="47">
                        <c:v>Year 52</c:v>
                      </c:pt>
                      <c:pt idx="48">
                        <c:v>Year 53</c:v>
                      </c:pt>
                      <c:pt idx="49">
                        <c:v>Year 54</c:v>
                      </c:pt>
                      <c:pt idx="50">
                        <c:v>Year 55</c:v>
                      </c:pt>
                      <c:pt idx="51">
                        <c:v>Year 56</c:v>
                      </c:pt>
                      <c:pt idx="52">
                        <c:v>Year 57</c:v>
                      </c:pt>
                      <c:pt idx="53">
                        <c:v>Year 58</c:v>
                      </c:pt>
                      <c:pt idx="54">
                        <c:v>Year 59</c:v>
                      </c:pt>
                      <c:pt idx="55">
                        <c:v>Year 60</c:v>
                      </c:pt>
                      <c:pt idx="56">
                        <c:v>Year 61</c:v>
                      </c:pt>
                      <c:pt idx="57">
                        <c:v>Year 62</c:v>
                      </c:pt>
                      <c:pt idx="58">
                        <c:v>Year 63</c:v>
                      </c:pt>
                      <c:pt idx="59">
                        <c:v>Year 64</c:v>
                      </c:pt>
                      <c:pt idx="60">
                        <c:v>Year 65</c:v>
                      </c:pt>
                      <c:pt idx="61">
                        <c:v>Year 66</c:v>
                      </c:pt>
                      <c:pt idx="62">
                        <c:v>Year 67</c:v>
                      </c:pt>
                      <c:pt idx="63">
                        <c:v>Year 68</c:v>
                      </c:pt>
                      <c:pt idx="64">
                        <c:v>Year 69</c:v>
                      </c:pt>
                      <c:pt idx="65">
                        <c:v>Year 70</c:v>
                      </c:pt>
                      <c:pt idx="66">
                        <c:v>Year 71</c:v>
                      </c:pt>
                      <c:pt idx="67">
                        <c:v>Year 72</c:v>
                      </c:pt>
                      <c:pt idx="68">
                        <c:v>Year 73</c:v>
                      </c:pt>
                      <c:pt idx="69">
                        <c:v>Year 74</c:v>
                      </c:pt>
                      <c:pt idx="70">
                        <c:v>Year 75</c:v>
                      </c:pt>
                      <c:pt idx="71">
                        <c:v>Year 76</c:v>
                      </c:pt>
                    </c:strCache>
                  </c:strRef>
                </c:cat>
                <c:val>
                  <c:numRef>
                    <c:extLst>
                      <c:ext uri="{02D57815-91ED-43cb-92C2-25804820EDAC}">
                        <c15:fullRef>
                          <c15:sqref>'Long-term Model Summary'!$K$21:$CH$21</c15:sqref>
                        </c15:fullRef>
                        <c15:formulaRef>
                          <c15:sqref>'Long-term Model Summary'!$O$21:$CH$21</c15:sqref>
                        </c15:formulaRef>
                      </c:ext>
                    </c:extLst>
                    <c:numCache>
                      <c:formatCode>_("$"* #,##0_);_("$"* \(#,##0\);_("$"* "-"??_);_(@_)</c:formatCode>
                      <c:ptCount val="72"/>
                      <c:pt idx="0">
                        <c:v>0</c:v>
                      </c:pt>
                      <c:pt idx="1">
                        <c:v>0</c:v>
                      </c:pt>
                      <c:pt idx="2">
                        <c:v>0</c:v>
                      </c:pt>
                      <c:pt idx="3">
                        <c:v>0</c:v>
                      </c:pt>
                      <c:pt idx="4">
                        <c:v>0</c:v>
                      </c:pt>
                      <c:pt idx="5">
                        <c:v>11707.572082523859</c:v>
                      </c:pt>
                      <c:pt idx="6">
                        <c:v>15453.995148931495</c:v>
                      </c:pt>
                      <c:pt idx="7">
                        <c:v>20399.273596589577</c:v>
                      </c:pt>
                      <c:pt idx="8">
                        <c:v>20671.263911210768</c:v>
                      </c:pt>
                      <c:pt idx="9">
                        <c:v>27286.068362798214</c:v>
                      </c:pt>
                      <c:pt idx="10">
                        <c:v>36017.610238893649</c:v>
                      </c:pt>
                      <c:pt idx="11">
                        <c:v>47543.245515339615</c:v>
                      </c:pt>
                      <c:pt idx="12">
                        <c:v>49444.975335953197</c:v>
                      </c:pt>
                      <c:pt idx="13">
                        <c:v>51422.774349391322</c:v>
                      </c:pt>
                      <c:pt idx="14">
                        <c:v>53479.685323366983</c:v>
                      </c:pt>
                      <c:pt idx="15">
                        <c:v>55618.872736301666</c:v>
                      </c:pt>
                      <c:pt idx="16">
                        <c:v>57843.627645753731</c:v>
                      </c:pt>
                      <c:pt idx="17">
                        <c:v>60157.372751583891</c:v>
                      </c:pt>
                      <c:pt idx="18">
                        <c:v>62563.667661647254</c:v>
                      </c:pt>
                      <c:pt idx="19">
                        <c:v>65066.214368113149</c:v>
                      </c:pt>
                      <c:pt idx="20">
                        <c:v>67668.862942837688</c:v>
                      </c:pt>
                      <c:pt idx="21">
                        <c:v>70375.617460551177</c:v>
                      </c:pt>
                      <c:pt idx="22">
                        <c:v>73190.642158973234</c:v>
                      </c:pt>
                      <c:pt idx="23">
                        <c:v>76118.267845332157</c:v>
                      </c:pt>
                      <c:pt idx="24">
                        <c:v>79162.998559145446</c:v>
                      </c:pt>
                      <c:pt idx="25">
                        <c:v>82329.518501511266</c:v>
                      </c:pt>
                      <c:pt idx="26">
                        <c:v>85622.69924157174</c:v>
                      </c:pt>
                      <c:pt idx="27">
                        <c:v>86478.92623398744</c:v>
                      </c:pt>
                      <c:pt idx="28">
                        <c:v>87343.715496327321</c:v>
                      </c:pt>
                      <c:pt idx="29">
                        <c:v>88217.152651290584</c:v>
                      </c:pt>
                      <c:pt idx="30">
                        <c:v>89099.324177803486</c:v>
                      </c:pt>
                      <c:pt idx="31">
                        <c:v>89990.317419581523</c:v>
                      </c:pt>
                      <c:pt idx="32">
                        <c:v>90890.22059377734</c:v>
                      </c:pt>
                      <c:pt idx="33">
                        <c:v>91799.122799715129</c:v>
                      </c:pt>
                      <c:pt idx="34">
                        <c:v>92717.114027712261</c:v>
                      </c:pt>
                      <c:pt idx="35">
                        <c:v>93644.285167989394</c:v>
                      </c:pt>
                      <c:pt idx="36">
                        <c:v>94580.728019669288</c:v>
                      </c:pt>
                      <c:pt idx="37">
                        <c:v>85832.010677849903</c:v>
                      </c:pt>
                      <c:pt idx="38">
                        <c:v>86690.330784628401</c:v>
                      </c:pt>
                      <c:pt idx="39">
                        <c:v>87557.234092474682</c:v>
                      </c:pt>
                      <c:pt idx="40">
                        <c:v>88432.806433399426</c:v>
                      </c:pt>
                      <c:pt idx="41">
                        <c:v>89317.134497733437</c:v>
                      </c:pt>
                      <c:pt idx="42">
                        <c:v>90210.305842710761</c:v>
                      </c:pt>
                      <c:pt idx="43">
                        <c:v>91112.408901137867</c:v>
                      </c:pt>
                      <c:pt idx="44">
                        <c:v>92023.532990149251</c:v>
                      </c:pt>
                      <c:pt idx="45">
                        <c:v>92943.76832005076</c:v>
                      </c:pt>
                      <c:pt idx="46">
                        <c:v>93873.206003251267</c:v>
                      </c:pt>
                      <c:pt idx="47">
                        <c:v>94811.938063283771</c:v>
                      </c:pt>
                      <c:pt idx="48">
                        <c:v>95760.057443916608</c:v>
                      </c:pt>
                      <c:pt idx="49">
                        <c:v>96717.658018355782</c:v>
                      </c:pt>
                      <c:pt idx="50">
                        <c:v>97684.834598539339</c:v>
                      </c:pt>
                      <c:pt idx="51">
                        <c:v>98661.682944524728</c:v>
                      </c:pt>
                      <c:pt idx="52">
                        <c:v>99648.299773969979</c:v>
                      </c:pt>
                      <c:pt idx="53">
                        <c:v>100644.78277170968</c:v>
                      </c:pt>
                      <c:pt idx="54">
                        <c:v>101651.23059942678</c:v>
                      </c:pt>
                      <c:pt idx="55">
                        <c:v>102667.74290542105</c:v>
                      </c:pt>
                      <c:pt idx="56">
                        <c:v>103694.42033447528</c:v>
                      </c:pt>
                      <c:pt idx="57">
                        <c:v>103694.42033447528</c:v>
                      </c:pt>
                      <c:pt idx="58">
                        <c:v>103694.42033447528</c:v>
                      </c:pt>
                      <c:pt idx="59">
                        <c:v>103694.42033447528</c:v>
                      </c:pt>
                      <c:pt idx="60">
                        <c:v>103694.42033447528</c:v>
                      </c:pt>
                      <c:pt idx="61">
                        <c:v>103694.42033447528</c:v>
                      </c:pt>
                      <c:pt idx="62">
                        <c:v>103694.42033447528</c:v>
                      </c:pt>
                      <c:pt idx="63">
                        <c:v>103694.42033447528</c:v>
                      </c:pt>
                      <c:pt idx="64">
                        <c:v>103694.42033447528</c:v>
                      </c:pt>
                      <c:pt idx="65">
                        <c:v>103694.42033447528</c:v>
                      </c:pt>
                      <c:pt idx="66">
                        <c:v>103694.42033447528</c:v>
                      </c:pt>
                      <c:pt idx="67">
                        <c:v>103694.42033447528</c:v>
                      </c:pt>
                      <c:pt idx="68">
                        <c:v>103694.42033447528</c:v>
                      </c:pt>
                      <c:pt idx="69">
                        <c:v>103694.42033447528</c:v>
                      </c:pt>
                      <c:pt idx="70">
                        <c:v>103694.42033447528</c:v>
                      </c:pt>
                      <c:pt idx="71">
                        <c:v>103694.42033447528</c:v>
                      </c:pt>
                    </c:numCache>
                  </c:numRef>
                </c:val>
                <c:smooth val="0"/>
                <c:extLst>
                  <c:ext xmlns:c16="http://schemas.microsoft.com/office/drawing/2014/chart" uri="{C3380CC4-5D6E-409C-BE32-E72D297353CC}">
                    <c16:uniqueId val="{00000004-A065-46CB-9C47-34F01C4DB87C}"/>
                  </c:ext>
                </c:extLst>
              </c15:ser>
            </c15:filteredLineSeries>
            <c15:filteredLineSeries>
              <c15:ser>
                <c:idx val="3"/>
                <c:order val="2"/>
                <c:tx>
                  <c:strRef>
                    <c:extLst xmlns:c15="http://schemas.microsoft.com/office/drawing/2012/chart">
                      <c:ext xmlns:c15="http://schemas.microsoft.com/office/drawing/2012/chart" uri="{02D57815-91ED-43cb-92C2-25804820EDAC}">
                        <c15:formulaRef>
                          <c15:sqref>'Long-term Model Summary'!$J$24</c15:sqref>
                        </c15:formulaRef>
                      </c:ext>
                    </c:extLst>
                    <c:strCache>
                      <c:ptCount val="1"/>
                      <c:pt idx="0">
                        <c:v>Harvest driven operating costs*</c:v>
                      </c:pt>
                    </c:strCache>
                  </c:strRef>
                </c:tx>
                <c:spPr>
                  <a:ln w="28575" cap="rnd">
                    <a:solidFill>
                      <a:schemeClr val="accent4"/>
                    </a:solidFill>
                    <a:round/>
                  </a:ln>
                  <a:effectLst/>
                </c:spPr>
                <c:marker>
                  <c:symbol val="none"/>
                </c:marker>
                <c:cat>
                  <c:strRef>
                    <c:extLst>
                      <c:ext xmlns:c15="http://schemas.microsoft.com/office/drawing/2012/chart" uri="{02D57815-91ED-43cb-92C2-25804820EDAC}">
                        <c15:fullRef>
                          <c15:sqref>'Long-term Model Summary'!$K$18:$CH$18</c15:sqref>
                        </c15:fullRef>
                        <c15:formulaRef>
                          <c15:sqref>'Long-term Model Summary'!$O$18:$CH$18</c15:sqref>
                        </c15:formulaRef>
                      </c:ext>
                    </c:extLst>
                    <c:strCache>
                      <c:ptCount val="72"/>
                      <c:pt idx="0">
                        <c:v>Year 5</c:v>
                      </c:pt>
                      <c:pt idx="1">
                        <c:v>Year 6</c:v>
                      </c:pt>
                      <c:pt idx="2">
                        <c:v>Year 7</c:v>
                      </c:pt>
                      <c:pt idx="3">
                        <c:v>Year 8</c:v>
                      </c:pt>
                      <c:pt idx="4">
                        <c:v>Year 9</c:v>
                      </c:pt>
                      <c:pt idx="5">
                        <c:v>Year 10</c:v>
                      </c:pt>
                      <c:pt idx="6">
                        <c:v>Year 11</c:v>
                      </c:pt>
                      <c:pt idx="7">
                        <c:v>Year 12</c:v>
                      </c:pt>
                      <c:pt idx="8">
                        <c:v>Year 13</c:v>
                      </c:pt>
                      <c:pt idx="9">
                        <c:v>Year 14</c:v>
                      </c:pt>
                      <c:pt idx="10">
                        <c:v>Year 15</c:v>
                      </c:pt>
                      <c:pt idx="11">
                        <c:v>Year 16</c:v>
                      </c:pt>
                      <c:pt idx="12">
                        <c:v>Year 17</c:v>
                      </c:pt>
                      <c:pt idx="13">
                        <c:v>Year 18</c:v>
                      </c:pt>
                      <c:pt idx="14">
                        <c:v>Year 19</c:v>
                      </c:pt>
                      <c:pt idx="15">
                        <c:v>Year 20</c:v>
                      </c:pt>
                      <c:pt idx="16">
                        <c:v>Year 21</c:v>
                      </c:pt>
                      <c:pt idx="17">
                        <c:v>Year 22</c:v>
                      </c:pt>
                      <c:pt idx="18">
                        <c:v>Year 23</c:v>
                      </c:pt>
                      <c:pt idx="19">
                        <c:v>Year 24</c:v>
                      </c:pt>
                      <c:pt idx="20">
                        <c:v>Year 25</c:v>
                      </c:pt>
                      <c:pt idx="21">
                        <c:v>Year 26</c:v>
                      </c:pt>
                      <c:pt idx="22">
                        <c:v>Year 27</c:v>
                      </c:pt>
                      <c:pt idx="23">
                        <c:v>Year 28</c:v>
                      </c:pt>
                      <c:pt idx="24">
                        <c:v>Year 29</c:v>
                      </c:pt>
                      <c:pt idx="25">
                        <c:v>Year 30</c:v>
                      </c:pt>
                      <c:pt idx="26">
                        <c:v>Year 31</c:v>
                      </c:pt>
                      <c:pt idx="27">
                        <c:v>Year 32</c:v>
                      </c:pt>
                      <c:pt idx="28">
                        <c:v>Year 33</c:v>
                      </c:pt>
                      <c:pt idx="29">
                        <c:v>Year 34</c:v>
                      </c:pt>
                      <c:pt idx="30">
                        <c:v>Year 35</c:v>
                      </c:pt>
                      <c:pt idx="31">
                        <c:v>Year 36</c:v>
                      </c:pt>
                      <c:pt idx="32">
                        <c:v>Year 37</c:v>
                      </c:pt>
                      <c:pt idx="33">
                        <c:v>Year 38</c:v>
                      </c:pt>
                      <c:pt idx="34">
                        <c:v>Year 39</c:v>
                      </c:pt>
                      <c:pt idx="35">
                        <c:v>Year 40</c:v>
                      </c:pt>
                      <c:pt idx="36">
                        <c:v>Year 41</c:v>
                      </c:pt>
                      <c:pt idx="37">
                        <c:v>Year 42</c:v>
                      </c:pt>
                      <c:pt idx="38">
                        <c:v>Year 43</c:v>
                      </c:pt>
                      <c:pt idx="39">
                        <c:v>Year 44</c:v>
                      </c:pt>
                      <c:pt idx="40">
                        <c:v>Year 45</c:v>
                      </c:pt>
                      <c:pt idx="41">
                        <c:v>Year 46</c:v>
                      </c:pt>
                      <c:pt idx="42">
                        <c:v>Year 47</c:v>
                      </c:pt>
                      <c:pt idx="43">
                        <c:v>Year 48</c:v>
                      </c:pt>
                      <c:pt idx="44">
                        <c:v>Year 49</c:v>
                      </c:pt>
                      <c:pt idx="45">
                        <c:v>Year 50</c:v>
                      </c:pt>
                      <c:pt idx="46">
                        <c:v>Year 51</c:v>
                      </c:pt>
                      <c:pt idx="47">
                        <c:v>Year 52</c:v>
                      </c:pt>
                      <c:pt idx="48">
                        <c:v>Year 53</c:v>
                      </c:pt>
                      <c:pt idx="49">
                        <c:v>Year 54</c:v>
                      </c:pt>
                      <c:pt idx="50">
                        <c:v>Year 55</c:v>
                      </c:pt>
                      <c:pt idx="51">
                        <c:v>Year 56</c:v>
                      </c:pt>
                      <c:pt idx="52">
                        <c:v>Year 57</c:v>
                      </c:pt>
                      <c:pt idx="53">
                        <c:v>Year 58</c:v>
                      </c:pt>
                      <c:pt idx="54">
                        <c:v>Year 59</c:v>
                      </c:pt>
                      <c:pt idx="55">
                        <c:v>Year 60</c:v>
                      </c:pt>
                      <c:pt idx="56">
                        <c:v>Year 61</c:v>
                      </c:pt>
                      <c:pt idx="57">
                        <c:v>Year 62</c:v>
                      </c:pt>
                      <c:pt idx="58">
                        <c:v>Year 63</c:v>
                      </c:pt>
                      <c:pt idx="59">
                        <c:v>Year 64</c:v>
                      </c:pt>
                      <c:pt idx="60">
                        <c:v>Year 65</c:v>
                      </c:pt>
                      <c:pt idx="61">
                        <c:v>Year 66</c:v>
                      </c:pt>
                      <c:pt idx="62">
                        <c:v>Year 67</c:v>
                      </c:pt>
                      <c:pt idx="63">
                        <c:v>Year 68</c:v>
                      </c:pt>
                      <c:pt idx="64">
                        <c:v>Year 69</c:v>
                      </c:pt>
                      <c:pt idx="65">
                        <c:v>Year 70</c:v>
                      </c:pt>
                      <c:pt idx="66">
                        <c:v>Year 71</c:v>
                      </c:pt>
                      <c:pt idx="67">
                        <c:v>Year 72</c:v>
                      </c:pt>
                      <c:pt idx="68">
                        <c:v>Year 73</c:v>
                      </c:pt>
                      <c:pt idx="69">
                        <c:v>Year 74</c:v>
                      </c:pt>
                      <c:pt idx="70">
                        <c:v>Year 75</c:v>
                      </c:pt>
                      <c:pt idx="71">
                        <c:v>Year 76</c:v>
                      </c:pt>
                    </c:strCache>
                  </c:strRef>
                </c:cat>
                <c:val>
                  <c:numRef>
                    <c:extLst>
                      <c:ext xmlns:c15="http://schemas.microsoft.com/office/drawing/2012/chart" uri="{02D57815-91ED-43cb-92C2-25804820EDAC}">
                        <c15:fullRef>
                          <c15:sqref>'Long-term Model Summary'!$K$24:$CH$24</c15:sqref>
                        </c15:fullRef>
                        <c15:formulaRef>
                          <c15:sqref>'Long-term Model Summary'!$O$24:$CH$24</c15:sqref>
                        </c15:formulaRef>
                      </c:ext>
                    </c:extLst>
                    <c:numCache>
                      <c:formatCode>_("$"* #,##0_);_("$"* \(#,##0\);_("$"* "-"??_);_(@_)</c:formatCode>
                      <c:ptCount val="72"/>
                      <c:pt idx="0">
                        <c:v>0</c:v>
                      </c:pt>
                      <c:pt idx="1">
                        <c:v>0</c:v>
                      </c:pt>
                      <c:pt idx="2">
                        <c:v>0</c:v>
                      </c:pt>
                      <c:pt idx="3">
                        <c:v>0</c:v>
                      </c:pt>
                      <c:pt idx="4">
                        <c:v>0</c:v>
                      </c:pt>
                      <c:pt idx="5">
                        <c:v>11289.061360030937</c:v>
                      </c:pt>
                      <c:pt idx="6">
                        <c:v>11542.467145683317</c:v>
                      </c:pt>
                      <c:pt idx="7">
                        <c:v>11876.962782744456</c:v>
                      </c:pt>
                      <c:pt idx="8">
                        <c:v>11895.360042782817</c:v>
                      </c:pt>
                      <c:pt idx="9">
                        <c:v>12342.781406915799</c:v>
                      </c:pt>
                      <c:pt idx="10">
                        <c:v>12933.37760757133</c:v>
                      </c:pt>
                      <c:pt idx="11">
                        <c:v>13712.964592436638</c:v>
                      </c:pt>
                      <c:pt idx="12">
                        <c:v>13841.596444939412</c:v>
                      </c:pt>
                      <c:pt idx="13">
                        <c:v>13975.373571542299</c:v>
                      </c:pt>
                      <c:pt idx="14">
                        <c:v>14114.5017832093</c:v>
                      </c:pt>
                      <c:pt idx="15">
                        <c:v>14259.195123342983</c:v>
                      </c:pt>
                      <c:pt idx="16">
                        <c:v>14409.67619708201</c:v>
                      </c:pt>
                      <c:pt idx="17">
                        <c:v>14566.176513770604</c:v>
                      </c:pt>
                      <c:pt idx="18">
                        <c:v>14728.936843126738</c:v>
                      </c:pt>
                      <c:pt idx="19">
                        <c:v>14898.207585657114</c:v>
                      </c:pt>
                      <c:pt idx="20">
                        <c:v>15074.249157888709</c:v>
                      </c:pt>
                      <c:pt idx="21">
                        <c:v>15257.332393009568</c:v>
                      </c:pt>
                      <c:pt idx="22">
                        <c:v>15447.738957535261</c:v>
                      </c:pt>
                      <c:pt idx="23">
                        <c:v>15645.76178464198</c:v>
                      </c:pt>
                      <c:pt idx="24">
                        <c:v>15851.705524832971</c:v>
                      </c:pt>
                      <c:pt idx="25">
                        <c:v>16065.887014631599</c:v>
                      </c:pt>
                      <c:pt idx="26">
                        <c:v>16288.635764022174</c:v>
                      </c:pt>
                      <c:pt idx="27">
                        <c:v>16346.550438863724</c:v>
                      </c:pt>
                      <c:pt idx="28">
                        <c:v>16405.044260453691</c:v>
                      </c:pt>
                      <c:pt idx="29">
                        <c:v>16464.123020259551</c:v>
                      </c:pt>
                      <c:pt idx="30">
                        <c:v>16523.79256766347</c:v>
                      </c:pt>
                      <c:pt idx="31">
                        <c:v>16584.058810541435</c:v>
                      </c:pt>
                      <c:pt idx="32">
                        <c:v>16644.927715848178</c:v>
                      </c:pt>
                      <c:pt idx="33">
                        <c:v>16706.405310207989</c:v>
                      </c:pt>
                      <c:pt idx="34">
                        <c:v>16768.497680511395</c:v>
                      </c:pt>
                      <c:pt idx="35">
                        <c:v>16831.210974517839</c:v>
                      </c:pt>
                      <c:pt idx="36">
                        <c:v>16894.551401464341</c:v>
                      </c:pt>
                      <c:pt idx="37">
                        <c:v>16302.793462716611</c:v>
                      </c:pt>
                      <c:pt idx="38">
                        <c:v>16360.849714545109</c:v>
                      </c:pt>
                      <c:pt idx="39">
                        <c:v>16419.486528891885</c:v>
                      </c:pt>
                      <c:pt idx="40">
                        <c:v>16478.709711382133</c:v>
                      </c:pt>
                      <c:pt idx="41">
                        <c:v>16538.525125697277</c:v>
                      </c:pt>
                      <c:pt idx="42">
                        <c:v>16598.938694155579</c:v>
                      </c:pt>
                      <c:pt idx="43">
                        <c:v>16659.956398298462</c:v>
                      </c:pt>
                      <c:pt idx="44">
                        <c:v>16721.584279482777</c:v>
                      </c:pt>
                      <c:pt idx="45">
                        <c:v>16783.828439478933</c:v>
                      </c:pt>
                      <c:pt idx="46">
                        <c:v>16846.695041075047</c:v>
                      </c:pt>
                      <c:pt idx="47">
                        <c:v>16910.190308687124</c:v>
                      </c:pt>
                      <c:pt idx="48">
                        <c:v>16974.320528975328</c:v>
                      </c:pt>
                      <c:pt idx="49">
                        <c:v>17039.092051466407</c:v>
                      </c:pt>
                      <c:pt idx="50">
                        <c:v>17104.511289182399</c:v>
                      </c:pt>
                      <c:pt idx="51">
                        <c:v>17170.584719275546</c:v>
                      </c:pt>
                      <c:pt idx="52">
                        <c:v>17237.318883669632</c:v>
                      </c:pt>
                      <c:pt idx="53">
                        <c:v>17304.720389707658</c:v>
                      </c:pt>
                      <c:pt idx="54">
                        <c:v>17372.79591080606</c:v>
                      </c:pt>
                      <c:pt idx="55">
                        <c:v>17441.552187115449</c:v>
                      </c:pt>
                      <c:pt idx="56">
                        <c:v>17510.996026187928</c:v>
                      </c:pt>
                      <c:pt idx="57">
                        <c:v>17510.996026187928</c:v>
                      </c:pt>
                      <c:pt idx="58">
                        <c:v>17510.996026187928</c:v>
                      </c:pt>
                      <c:pt idx="59">
                        <c:v>17510.996026187928</c:v>
                      </c:pt>
                      <c:pt idx="60">
                        <c:v>17510.996026187928</c:v>
                      </c:pt>
                      <c:pt idx="61">
                        <c:v>17510.996026187928</c:v>
                      </c:pt>
                      <c:pt idx="62">
                        <c:v>17510.996026187928</c:v>
                      </c:pt>
                      <c:pt idx="63">
                        <c:v>17510.996026187928</c:v>
                      </c:pt>
                      <c:pt idx="64">
                        <c:v>17510.996026187928</c:v>
                      </c:pt>
                      <c:pt idx="65">
                        <c:v>17510.996026187928</c:v>
                      </c:pt>
                      <c:pt idx="66">
                        <c:v>17510.996026187928</c:v>
                      </c:pt>
                      <c:pt idx="67">
                        <c:v>17510.996026187928</c:v>
                      </c:pt>
                      <c:pt idx="68">
                        <c:v>17510.996026187928</c:v>
                      </c:pt>
                      <c:pt idx="69">
                        <c:v>17510.996026187928</c:v>
                      </c:pt>
                      <c:pt idx="70">
                        <c:v>17510.996026187928</c:v>
                      </c:pt>
                      <c:pt idx="71">
                        <c:v>17510.996026187928</c:v>
                      </c:pt>
                    </c:numCache>
                  </c:numRef>
                </c:val>
                <c:smooth val="0"/>
                <c:extLst xmlns:c15="http://schemas.microsoft.com/office/drawing/2012/chart">
                  <c:ext xmlns:c16="http://schemas.microsoft.com/office/drawing/2014/chart" uri="{C3380CC4-5D6E-409C-BE32-E72D297353CC}">
                    <c16:uniqueId val="{00000005-A065-46CB-9C47-34F01C4DB87C}"/>
                  </c:ext>
                </c:extLst>
              </c15:ser>
            </c15:filteredLineSeries>
            <c15:filteredLineSeries>
              <c15:ser>
                <c:idx val="4"/>
                <c:order val="3"/>
                <c:tx>
                  <c:strRef>
                    <c:extLst xmlns:c15="http://schemas.microsoft.com/office/drawing/2012/chart">
                      <c:ext xmlns:c15="http://schemas.microsoft.com/office/drawing/2012/chart" uri="{02D57815-91ED-43cb-92C2-25804820EDAC}">
                        <c15:formulaRef>
                          <c15:sqref>'Long-term Model Summary'!$J$25</c15:sqref>
                        </c15:formulaRef>
                      </c:ext>
                    </c:extLst>
                    <c:strCache>
                      <c:ptCount val="1"/>
                      <c:pt idx="0">
                        <c:v>All costs except harvesting costs*</c:v>
                      </c:pt>
                    </c:strCache>
                  </c:strRef>
                </c:tx>
                <c:spPr>
                  <a:ln w="28575" cap="rnd">
                    <a:solidFill>
                      <a:schemeClr val="accent5"/>
                    </a:solidFill>
                    <a:round/>
                  </a:ln>
                  <a:effectLst/>
                </c:spPr>
                <c:marker>
                  <c:symbol val="none"/>
                </c:marker>
                <c:cat>
                  <c:strRef>
                    <c:extLst>
                      <c:ext xmlns:c15="http://schemas.microsoft.com/office/drawing/2012/chart" uri="{02D57815-91ED-43cb-92C2-25804820EDAC}">
                        <c15:fullRef>
                          <c15:sqref>'Long-term Model Summary'!$K$18:$CH$18</c15:sqref>
                        </c15:fullRef>
                        <c15:formulaRef>
                          <c15:sqref>'Long-term Model Summary'!$O$18:$CH$18</c15:sqref>
                        </c15:formulaRef>
                      </c:ext>
                    </c:extLst>
                    <c:strCache>
                      <c:ptCount val="72"/>
                      <c:pt idx="0">
                        <c:v>Year 5</c:v>
                      </c:pt>
                      <c:pt idx="1">
                        <c:v>Year 6</c:v>
                      </c:pt>
                      <c:pt idx="2">
                        <c:v>Year 7</c:v>
                      </c:pt>
                      <c:pt idx="3">
                        <c:v>Year 8</c:v>
                      </c:pt>
                      <c:pt idx="4">
                        <c:v>Year 9</c:v>
                      </c:pt>
                      <c:pt idx="5">
                        <c:v>Year 10</c:v>
                      </c:pt>
                      <c:pt idx="6">
                        <c:v>Year 11</c:v>
                      </c:pt>
                      <c:pt idx="7">
                        <c:v>Year 12</c:v>
                      </c:pt>
                      <c:pt idx="8">
                        <c:v>Year 13</c:v>
                      </c:pt>
                      <c:pt idx="9">
                        <c:v>Year 14</c:v>
                      </c:pt>
                      <c:pt idx="10">
                        <c:v>Year 15</c:v>
                      </c:pt>
                      <c:pt idx="11">
                        <c:v>Year 16</c:v>
                      </c:pt>
                      <c:pt idx="12">
                        <c:v>Year 17</c:v>
                      </c:pt>
                      <c:pt idx="13">
                        <c:v>Year 18</c:v>
                      </c:pt>
                      <c:pt idx="14">
                        <c:v>Year 19</c:v>
                      </c:pt>
                      <c:pt idx="15">
                        <c:v>Year 20</c:v>
                      </c:pt>
                      <c:pt idx="16">
                        <c:v>Year 21</c:v>
                      </c:pt>
                      <c:pt idx="17">
                        <c:v>Year 22</c:v>
                      </c:pt>
                      <c:pt idx="18">
                        <c:v>Year 23</c:v>
                      </c:pt>
                      <c:pt idx="19">
                        <c:v>Year 24</c:v>
                      </c:pt>
                      <c:pt idx="20">
                        <c:v>Year 25</c:v>
                      </c:pt>
                      <c:pt idx="21">
                        <c:v>Year 26</c:v>
                      </c:pt>
                      <c:pt idx="22">
                        <c:v>Year 27</c:v>
                      </c:pt>
                      <c:pt idx="23">
                        <c:v>Year 28</c:v>
                      </c:pt>
                      <c:pt idx="24">
                        <c:v>Year 29</c:v>
                      </c:pt>
                      <c:pt idx="25">
                        <c:v>Year 30</c:v>
                      </c:pt>
                      <c:pt idx="26">
                        <c:v>Year 31</c:v>
                      </c:pt>
                      <c:pt idx="27">
                        <c:v>Year 32</c:v>
                      </c:pt>
                      <c:pt idx="28">
                        <c:v>Year 33</c:v>
                      </c:pt>
                      <c:pt idx="29">
                        <c:v>Year 34</c:v>
                      </c:pt>
                      <c:pt idx="30">
                        <c:v>Year 35</c:v>
                      </c:pt>
                      <c:pt idx="31">
                        <c:v>Year 36</c:v>
                      </c:pt>
                      <c:pt idx="32">
                        <c:v>Year 37</c:v>
                      </c:pt>
                      <c:pt idx="33">
                        <c:v>Year 38</c:v>
                      </c:pt>
                      <c:pt idx="34">
                        <c:v>Year 39</c:v>
                      </c:pt>
                      <c:pt idx="35">
                        <c:v>Year 40</c:v>
                      </c:pt>
                      <c:pt idx="36">
                        <c:v>Year 41</c:v>
                      </c:pt>
                      <c:pt idx="37">
                        <c:v>Year 42</c:v>
                      </c:pt>
                      <c:pt idx="38">
                        <c:v>Year 43</c:v>
                      </c:pt>
                      <c:pt idx="39">
                        <c:v>Year 44</c:v>
                      </c:pt>
                      <c:pt idx="40">
                        <c:v>Year 45</c:v>
                      </c:pt>
                      <c:pt idx="41">
                        <c:v>Year 46</c:v>
                      </c:pt>
                      <c:pt idx="42">
                        <c:v>Year 47</c:v>
                      </c:pt>
                      <c:pt idx="43">
                        <c:v>Year 48</c:v>
                      </c:pt>
                      <c:pt idx="44">
                        <c:v>Year 49</c:v>
                      </c:pt>
                      <c:pt idx="45">
                        <c:v>Year 50</c:v>
                      </c:pt>
                      <c:pt idx="46">
                        <c:v>Year 51</c:v>
                      </c:pt>
                      <c:pt idx="47">
                        <c:v>Year 52</c:v>
                      </c:pt>
                      <c:pt idx="48">
                        <c:v>Year 53</c:v>
                      </c:pt>
                      <c:pt idx="49">
                        <c:v>Year 54</c:v>
                      </c:pt>
                      <c:pt idx="50">
                        <c:v>Year 55</c:v>
                      </c:pt>
                      <c:pt idx="51">
                        <c:v>Year 56</c:v>
                      </c:pt>
                      <c:pt idx="52">
                        <c:v>Year 57</c:v>
                      </c:pt>
                      <c:pt idx="53">
                        <c:v>Year 58</c:v>
                      </c:pt>
                      <c:pt idx="54">
                        <c:v>Year 59</c:v>
                      </c:pt>
                      <c:pt idx="55">
                        <c:v>Year 60</c:v>
                      </c:pt>
                      <c:pt idx="56">
                        <c:v>Year 61</c:v>
                      </c:pt>
                      <c:pt idx="57">
                        <c:v>Year 62</c:v>
                      </c:pt>
                      <c:pt idx="58">
                        <c:v>Year 63</c:v>
                      </c:pt>
                      <c:pt idx="59">
                        <c:v>Year 64</c:v>
                      </c:pt>
                      <c:pt idx="60">
                        <c:v>Year 65</c:v>
                      </c:pt>
                      <c:pt idx="61">
                        <c:v>Year 66</c:v>
                      </c:pt>
                      <c:pt idx="62">
                        <c:v>Year 67</c:v>
                      </c:pt>
                      <c:pt idx="63">
                        <c:v>Year 68</c:v>
                      </c:pt>
                      <c:pt idx="64">
                        <c:v>Year 69</c:v>
                      </c:pt>
                      <c:pt idx="65">
                        <c:v>Year 70</c:v>
                      </c:pt>
                      <c:pt idx="66">
                        <c:v>Year 71</c:v>
                      </c:pt>
                      <c:pt idx="67">
                        <c:v>Year 72</c:v>
                      </c:pt>
                      <c:pt idx="68">
                        <c:v>Year 73</c:v>
                      </c:pt>
                      <c:pt idx="69">
                        <c:v>Year 74</c:v>
                      </c:pt>
                      <c:pt idx="70">
                        <c:v>Year 75</c:v>
                      </c:pt>
                      <c:pt idx="71">
                        <c:v>Year 76</c:v>
                      </c:pt>
                    </c:strCache>
                  </c:strRef>
                </c:cat>
                <c:val>
                  <c:numRef>
                    <c:extLst>
                      <c:ext xmlns:c15="http://schemas.microsoft.com/office/drawing/2012/chart" uri="{02D57815-91ED-43cb-92C2-25804820EDAC}">
                        <c15:fullRef>
                          <c15:sqref>'Long-term Model Summary'!$K$25:$CH$25</c15:sqref>
                        </c15:fullRef>
                        <c15:formulaRef>
                          <c15:sqref>'Long-term Model Summary'!$O$25:$CH$25</c15:sqref>
                        </c15:formulaRef>
                      </c:ext>
                    </c:extLst>
                    <c:numCache>
                      <c:formatCode>_("$"* #,##0_);_("$"* \(#,##0\);_("$"* "-"??_);_(@_)</c:formatCode>
                      <c:ptCount val="72"/>
                      <c:pt idx="0">
                        <c:v>19504.96125</c:v>
                      </c:pt>
                      <c:pt idx="1">
                        <c:v>19504.96125</c:v>
                      </c:pt>
                      <c:pt idx="2">
                        <c:v>19504.96125</c:v>
                      </c:pt>
                      <c:pt idx="3">
                        <c:v>19504.96125</c:v>
                      </c:pt>
                      <c:pt idx="4">
                        <c:v>19504.96125</c:v>
                      </c:pt>
                      <c:pt idx="5">
                        <c:v>20628.540053466073</c:v>
                      </c:pt>
                      <c:pt idx="6">
                        <c:v>20628.540053466073</c:v>
                      </c:pt>
                      <c:pt idx="7">
                        <c:v>20628.540053466073</c:v>
                      </c:pt>
                      <c:pt idx="8">
                        <c:v>20974.860053466073</c:v>
                      </c:pt>
                      <c:pt idx="9">
                        <c:v>20974.860053466073</c:v>
                      </c:pt>
                      <c:pt idx="10">
                        <c:v>20974.860053466073</c:v>
                      </c:pt>
                      <c:pt idx="11">
                        <c:v>20974.860053466073</c:v>
                      </c:pt>
                      <c:pt idx="12">
                        <c:v>20974.860053466073</c:v>
                      </c:pt>
                      <c:pt idx="13">
                        <c:v>20974.860053466073</c:v>
                      </c:pt>
                      <c:pt idx="14">
                        <c:v>20974.860053466073</c:v>
                      </c:pt>
                      <c:pt idx="15">
                        <c:v>20974.860053466073</c:v>
                      </c:pt>
                      <c:pt idx="16">
                        <c:v>20974.860053466073</c:v>
                      </c:pt>
                      <c:pt idx="17">
                        <c:v>20974.860053466073</c:v>
                      </c:pt>
                      <c:pt idx="18">
                        <c:v>20974.860053466073</c:v>
                      </c:pt>
                      <c:pt idx="19">
                        <c:v>20974.860053466073</c:v>
                      </c:pt>
                      <c:pt idx="20">
                        <c:v>20974.860053466073</c:v>
                      </c:pt>
                      <c:pt idx="21">
                        <c:v>20974.860053466073</c:v>
                      </c:pt>
                      <c:pt idx="22">
                        <c:v>20974.860053466073</c:v>
                      </c:pt>
                      <c:pt idx="23">
                        <c:v>20974.860053466073</c:v>
                      </c:pt>
                      <c:pt idx="24">
                        <c:v>20974.860053466073</c:v>
                      </c:pt>
                      <c:pt idx="25">
                        <c:v>20974.860053466073</c:v>
                      </c:pt>
                      <c:pt idx="26">
                        <c:v>20974.860053466073</c:v>
                      </c:pt>
                      <c:pt idx="27">
                        <c:v>20974.860053466073</c:v>
                      </c:pt>
                      <c:pt idx="28">
                        <c:v>20974.860053466073</c:v>
                      </c:pt>
                      <c:pt idx="29">
                        <c:v>20974.860053466073</c:v>
                      </c:pt>
                      <c:pt idx="30">
                        <c:v>20974.860053466073</c:v>
                      </c:pt>
                      <c:pt idx="31">
                        <c:v>20974.860053466073</c:v>
                      </c:pt>
                      <c:pt idx="32">
                        <c:v>20974.860053466073</c:v>
                      </c:pt>
                      <c:pt idx="33">
                        <c:v>20974.860053466073</c:v>
                      </c:pt>
                      <c:pt idx="34">
                        <c:v>20974.860053466073</c:v>
                      </c:pt>
                      <c:pt idx="35">
                        <c:v>20974.860053466073</c:v>
                      </c:pt>
                      <c:pt idx="36">
                        <c:v>20974.860053466073</c:v>
                      </c:pt>
                      <c:pt idx="37">
                        <c:v>20541.960053466075</c:v>
                      </c:pt>
                      <c:pt idx="38">
                        <c:v>20541.960053466075</c:v>
                      </c:pt>
                      <c:pt idx="39">
                        <c:v>20541.960053466075</c:v>
                      </c:pt>
                      <c:pt idx="40">
                        <c:v>20541.960053466075</c:v>
                      </c:pt>
                      <c:pt idx="41">
                        <c:v>20541.960053466075</c:v>
                      </c:pt>
                      <c:pt idx="42">
                        <c:v>20541.960053466075</c:v>
                      </c:pt>
                      <c:pt idx="43">
                        <c:v>20541.960053466075</c:v>
                      </c:pt>
                      <c:pt idx="44">
                        <c:v>20541.960053466075</c:v>
                      </c:pt>
                      <c:pt idx="45">
                        <c:v>20541.960053466075</c:v>
                      </c:pt>
                      <c:pt idx="46">
                        <c:v>20541.960053466075</c:v>
                      </c:pt>
                      <c:pt idx="47">
                        <c:v>20541.960053466075</c:v>
                      </c:pt>
                      <c:pt idx="48">
                        <c:v>20541.960053466075</c:v>
                      </c:pt>
                      <c:pt idx="49">
                        <c:v>20541.960053466075</c:v>
                      </c:pt>
                      <c:pt idx="50">
                        <c:v>20541.960053466075</c:v>
                      </c:pt>
                      <c:pt idx="51">
                        <c:v>20541.960053466075</c:v>
                      </c:pt>
                      <c:pt idx="52">
                        <c:v>20541.960053466075</c:v>
                      </c:pt>
                      <c:pt idx="53">
                        <c:v>20541.960053466075</c:v>
                      </c:pt>
                      <c:pt idx="54">
                        <c:v>20541.960053466075</c:v>
                      </c:pt>
                      <c:pt idx="55">
                        <c:v>20541.960053466075</c:v>
                      </c:pt>
                      <c:pt idx="56">
                        <c:v>20541.960053466075</c:v>
                      </c:pt>
                      <c:pt idx="57">
                        <c:v>20541.960053466075</c:v>
                      </c:pt>
                      <c:pt idx="58">
                        <c:v>20541.960053466075</c:v>
                      </c:pt>
                      <c:pt idx="59">
                        <c:v>20541.960053466075</c:v>
                      </c:pt>
                      <c:pt idx="60">
                        <c:v>20541.960053466075</c:v>
                      </c:pt>
                      <c:pt idx="61">
                        <c:v>20541.960053466075</c:v>
                      </c:pt>
                      <c:pt idx="62">
                        <c:v>20541.960053466075</c:v>
                      </c:pt>
                      <c:pt idx="63">
                        <c:v>20541.960053466075</c:v>
                      </c:pt>
                      <c:pt idx="64">
                        <c:v>20541.960053466075</c:v>
                      </c:pt>
                      <c:pt idx="65">
                        <c:v>20541.960053466075</c:v>
                      </c:pt>
                      <c:pt idx="66">
                        <c:v>20541.960053466075</c:v>
                      </c:pt>
                      <c:pt idx="67">
                        <c:v>20541.960053466075</c:v>
                      </c:pt>
                      <c:pt idx="68">
                        <c:v>20541.960053466075</c:v>
                      </c:pt>
                      <c:pt idx="69">
                        <c:v>20541.960053466075</c:v>
                      </c:pt>
                      <c:pt idx="70">
                        <c:v>20541.960053466075</c:v>
                      </c:pt>
                      <c:pt idx="71">
                        <c:v>20541.960053466075</c:v>
                      </c:pt>
                    </c:numCache>
                  </c:numRef>
                </c:val>
                <c:smooth val="0"/>
                <c:extLst xmlns:c15="http://schemas.microsoft.com/office/drawing/2012/chart">
                  <c:ext xmlns:c16="http://schemas.microsoft.com/office/drawing/2014/chart" uri="{C3380CC4-5D6E-409C-BE32-E72D297353CC}">
                    <c16:uniqueId val="{00000006-A065-46CB-9C47-34F01C4DB87C}"/>
                  </c:ext>
                </c:extLst>
              </c15:ser>
            </c15:filteredLineSeries>
          </c:ext>
        </c:extLst>
      </c:lineChart>
      <c:lineChart>
        <c:grouping val="standard"/>
        <c:varyColors val="0"/>
        <c:ser>
          <c:idx val="1"/>
          <c:order val="0"/>
          <c:tx>
            <c:strRef>
              <c:f>'Long-term Model Summary'!$J$20</c:f>
              <c:strCache>
                <c:ptCount val="1"/>
                <c:pt idx="0">
                  <c:v>Yield by year (pounds)</c:v>
                </c:pt>
              </c:strCache>
            </c:strRef>
          </c:tx>
          <c:spPr>
            <a:ln w="34925" cap="rnd">
              <a:solidFill>
                <a:schemeClr val="accent3"/>
              </a:solidFill>
              <a:prstDash val="sysDash"/>
              <a:round/>
            </a:ln>
            <a:effectLst/>
          </c:spPr>
          <c:marker>
            <c:symbol val="none"/>
          </c:marker>
          <c:cat>
            <c:strRef>
              <c:extLst>
                <c:ext xmlns:c15="http://schemas.microsoft.com/office/drawing/2012/chart" uri="{02D57815-91ED-43cb-92C2-25804820EDAC}">
                  <c15:fullRef>
                    <c15:sqref>'Long-term Model Summary'!$K$18:$CH$18</c15:sqref>
                  </c15:fullRef>
                </c:ext>
              </c:extLst>
              <c:f>'Long-term Model Summary'!$O$18:$CH$18</c:f>
              <c:strCache>
                <c:ptCount val="72"/>
                <c:pt idx="0">
                  <c:v>Year 5</c:v>
                </c:pt>
                <c:pt idx="1">
                  <c:v>Year 6</c:v>
                </c:pt>
                <c:pt idx="2">
                  <c:v>Year 7</c:v>
                </c:pt>
                <c:pt idx="3">
                  <c:v>Year 8</c:v>
                </c:pt>
                <c:pt idx="4">
                  <c:v>Year 9</c:v>
                </c:pt>
                <c:pt idx="5">
                  <c:v>Year 10</c:v>
                </c:pt>
                <c:pt idx="6">
                  <c:v>Year 11</c:v>
                </c:pt>
                <c:pt idx="7">
                  <c:v>Year 12</c:v>
                </c:pt>
                <c:pt idx="8">
                  <c:v>Year 13</c:v>
                </c:pt>
                <c:pt idx="9">
                  <c:v>Year 14</c:v>
                </c:pt>
                <c:pt idx="10">
                  <c:v>Year 15</c:v>
                </c:pt>
                <c:pt idx="11">
                  <c:v>Year 16</c:v>
                </c:pt>
                <c:pt idx="12">
                  <c:v>Year 17</c:v>
                </c:pt>
                <c:pt idx="13">
                  <c:v>Year 18</c:v>
                </c:pt>
                <c:pt idx="14">
                  <c:v>Year 19</c:v>
                </c:pt>
                <c:pt idx="15">
                  <c:v>Year 20</c:v>
                </c:pt>
                <c:pt idx="16">
                  <c:v>Year 21</c:v>
                </c:pt>
                <c:pt idx="17">
                  <c:v>Year 22</c:v>
                </c:pt>
                <c:pt idx="18">
                  <c:v>Year 23</c:v>
                </c:pt>
                <c:pt idx="19">
                  <c:v>Year 24</c:v>
                </c:pt>
                <c:pt idx="20">
                  <c:v>Year 25</c:v>
                </c:pt>
                <c:pt idx="21">
                  <c:v>Year 26</c:v>
                </c:pt>
                <c:pt idx="22">
                  <c:v>Year 27</c:v>
                </c:pt>
                <c:pt idx="23">
                  <c:v>Year 28</c:v>
                </c:pt>
                <c:pt idx="24">
                  <c:v>Year 29</c:v>
                </c:pt>
                <c:pt idx="25">
                  <c:v>Year 30</c:v>
                </c:pt>
                <c:pt idx="26">
                  <c:v>Year 31</c:v>
                </c:pt>
                <c:pt idx="27">
                  <c:v>Year 32</c:v>
                </c:pt>
                <c:pt idx="28">
                  <c:v>Year 33</c:v>
                </c:pt>
                <c:pt idx="29">
                  <c:v>Year 34</c:v>
                </c:pt>
                <c:pt idx="30">
                  <c:v>Year 35</c:v>
                </c:pt>
                <c:pt idx="31">
                  <c:v>Year 36</c:v>
                </c:pt>
                <c:pt idx="32">
                  <c:v>Year 37</c:v>
                </c:pt>
                <c:pt idx="33">
                  <c:v>Year 38</c:v>
                </c:pt>
                <c:pt idx="34">
                  <c:v>Year 39</c:v>
                </c:pt>
                <c:pt idx="35">
                  <c:v>Year 40</c:v>
                </c:pt>
                <c:pt idx="36">
                  <c:v>Year 41</c:v>
                </c:pt>
                <c:pt idx="37">
                  <c:v>Year 42</c:v>
                </c:pt>
                <c:pt idx="38">
                  <c:v>Year 43</c:v>
                </c:pt>
                <c:pt idx="39">
                  <c:v>Year 44</c:v>
                </c:pt>
                <c:pt idx="40">
                  <c:v>Year 45</c:v>
                </c:pt>
                <c:pt idx="41">
                  <c:v>Year 46</c:v>
                </c:pt>
                <c:pt idx="42">
                  <c:v>Year 47</c:v>
                </c:pt>
                <c:pt idx="43">
                  <c:v>Year 48</c:v>
                </c:pt>
                <c:pt idx="44">
                  <c:v>Year 49</c:v>
                </c:pt>
                <c:pt idx="45">
                  <c:v>Year 50</c:v>
                </c:pt>
                <c:pt idx="46">
                  <c:v>Year 51</c:v>
                </c:pt>
                <c:pt idx="47">
                  <c:v>Year 52</c:v>
                </c:pt>
                <c:pt idx="48">
                  <c:v>Year 53</c:v>
                </c:pt>
                <c:pt idx="49">
                  <c:v>Year 54</c:v>
                </c:pt>
                <c:pt idx="50">
                  <c:v>Year 55</c:v>
                </c:pt>
                <c:pt idx="51">
                  <c:v>Year 56</c:v>
                </c:pt>
                <c:pt idx="52">
                  <c:v>Year 57</c:v>
                </c:pt>
                <c:pt idx="53">
                  <c:v>Year 58</c:v>
                </c:pt>
                <c:pt idx="54">
                  <c:v>Year 59</c:v>
                </c:pt>
                <c:pt idx="55">
                  <c:v>Year 60</c:v>
                </c:pt>
                <c:pt idx="56">
                  <c:v>Year 61</c:v>
                </c:pt>
                <c:pt idx="57">
                  <c:v>Year 62</c:v>
                </c:pt>
                <c:pt idx="58">
                  <c:v>Year 63</c:v>
                </c:pt>
                <c:pt idx="59">
                  <c:v>Year 64</c:v>
                </c:pt>
                <c:pt idx="60">
                  <c:v>Year 65</c:v>
                </c:pt>
                <c:pt idx="61">
                  <c:v>Year 66</c:v>
                </c:pt>
                <c:pt idx="62">
                  <c:v>Year 67</c:v>
                </c:pt>
                <c:pt idx="63">
                  <c:v>Year 68</c:v>
                </c:pt>
                <c:pt idx="64">
                  <c:v>Year 69</c:v>
                </c:pt>
                <c:pt idx="65">
                  <c:v>Year 70</c:v>
                </c:pt>
                <c:pt idx="66">
                  <c:v>Year 71</c:v>
                </c:pt>
                <c:pt idx="67">
                  <c:v>Year 72</c:v>
                </c:pt>
                <c:pt idx="68">
                  <c:v>Year 73</c:v>
                </c:pt>
                <c:pt idx="69">
                  <c:v>Year 74</c:v>
                </c:pt>
                <c:pt idx="70">
                  <c:v>Year 75</c:v>
                </c:pt>
                <c:pt idx="71">
                  <c:v>Year 76</c:v>
                </c:pt>
              </c:strCache>
            </c:strRef>
          </c:cat>
          <c:val>
            <c:numRef>
              <c:extLst>
                <c:ext xmlns:c15="http://schemas.microsoft.com/office/drawing/2012/chart" uri="{02D57815-91ED-43cb-92C2-25804820EDAC}">
                  <c15:fullRef>
                    <c15:sqref>'Long-term Model Summary'!$K$20:$CH$20</c15:sqref>
                  </c15:fullRef>
                </c:ext>
              </c:extLst>
              <c:f>'Long-term Model Summary'!$O$20:$CH$20</c:f>
              <c:numCache>
                <c:formatCode>_(* #,##0_);_(* \(#,##0\);_(* "-"??_);_(@_)</c:formatCode>
                <c:ptCount val="72"/>
                <c:pt idx="0">
                  <c:v>0</c:v>
                </c:pt>
                <c:pt idx="1">
                  <c:v>0</c:v>
                </c:pt>
                <c:pt idx="2">
                  <c:v>0</c:v>
                </c:pt>
                <c:pt idx="3">
                  <c:v>0</c:v>
                </c:pt>
                <c:pt idx="4">
                  <c:v>0</c:v>
                </c:pt>
                <c:pt idx="5">
                  <c:v>3547.7491159163205</c:v>
                </c:pt>
                <c:pt idx="6">
                  <c:v>4683.0288330095436</c:v>
                </c:pt>
                <c:pt idx="7">
                  <c:v>6181.5980595725987</c:v>
                </c:pt>
                <c:pt idx="8">
                  <c:v>6264.0193670335657</c:v>
                </c:pt>
                <c:pt idx="9">
                  <c:v>8268.5055644843069</c:v>
                </c:pt>
                <c:pt idx="10">
                  <c:v>10914.427345119286</c:v>
                </c:pt>
                <c:pt idx="11">
                  <c:v>14407.044095557458</c:v>
                </c:pt>
                <c:pt idx="12">
                  <c:v>14983.325859379756</c:v>
                </c:pt>
                <c:pt idx="13">
                  <c:v>15582.658893754946</c:v>
                </c:pt>
                <c:pt idx="14">
                  <c:v>16205.965249505145</c:v>
                </c:pt>
                <c:pt idx="15">
                  <c:v>16854.203859485351</c:v>
                </c:pt>
                <c:pt idx="16">
                  <c:v>17528.372013864766</c:v>
                </c:pt>
                <c:pt idx="17">
                  <c:v>18229.506894419359</c:v>
                </c:pt>
                <c:pt idx="18">
                  <c:v>18958.687170196135</c:v>
                </c:pt>
                <c:pt idx="19">
                  <c:v>19717.034657003984</c:v>
                </c:pt>
                <c:pt idx="20">
                  <c:v>20505.716043284145</c:v>
                </c:pt>
                <c:pt idx="21">
                  <c:v>21325.944685015507</c:v>
                </c:pt>
                <c:pt idx="22">
                  <c:v>22178.98247241613</c:v>
                </c:pt>
                <c:pt idx="23">
                  <c:v>23066.141771312774</c:v>
                </c:pt>
                <c:pt idx="24">
                  <c:v>23988.787442165285</c:v>
                </c:pt>
                <c:pt idx="25">
                  <c:v>24948.338939851896</c:v>
                </c:pt>
                <c:pt idx="26">
                  <c:v>25946.272497445978</c:v>
                </c:pt>
                <c:pt idx="27">
                  <c:v>26205.735222420433</c:v>
                </c:pt>
                <c:pt idx="28">
                  <c:v>26467.792574644642</c:v>
                </c:pt>
                <c:pt idx="29">
                  <c:v>26732.470500391086</c:v>
                </c:pt>
                <c:pt idx="30">
                  <c:v>26999.795205394996</c:v>
                </c:pt>
                <c:pt idx="31">
                  <c:v>27269.793157448945</c:v>
                </c:pt>
                <c:pt idx="32">
                  <c:v>27542.491089023435</c:v>
                </c:pt>
                <c:pt idx="33">
                  <c:v>27817.915999913672</c:v>
                </c:pt>
                <c:pt idx="34">
                  <c:v>28096.095159912806</c:v>
                </c:pt>
                <c:pt idx="35">
                  <c:v>28377.056111511934</c:v>
                </c:pt>
                <c:pt idx="36">
                  <c:v>28660.826672627056</c:v>
                </c:pt>
                <c:pt idx="37">
                  <c:v>26009.700205409059</c:v>
                </c:pt>
                <c:pt idx="38">
                  <c:v>26269.797207463151</c:v>
                </c:pt>
                <c:pt idx="39">
                  <c:v>26532.495179537782</c:v>
                </c:pt>
                <c:pt idx="40">
                  <c:v>26797.820131333159</c:v>
                </c:pt>
                <c:pt idx="41">
                  <c:v>27065.798332646493</c:v>
                </c:pt>
                <c:pt idx="42">
                  <c:v>27336.456315972955</c:v>
                </c:pt>
                <c:pt idx="43">
                  <c:v>27609.820879132683</c:v>
                </c:pt>
                <c:pt idx="44">
                  <c:v>27885.919087924012</c:v>
                </c:pt>
                <c:pt idx="45">
                  <c:v>28164.778278803256</c:v>
                </c:pt>
                <c:pt idx="46">
                  <c:v>28446.42606159129</c:v>
                </c:pt>
                <c:pt idx="47">
                  <c:v>28730.8903222072</c:v>
                </c:pt>
                <c:pt idx="48">
                  <c:v>29018.199225429275</c:v>
                </c:pt>
                <c:pt idx="49">
                  <c:v>29308.381217683567</c:v>
                </c:pt>
                <c:pt idx="50">
                  <c:v>29601.465029860403</c:v>
                </c:pt>
                <c:pt idx="51">
                  <c:v>29897.479680159006</c:v>
                </c:pt>
                <c:pt idx="52">
                  <c:v>30196.454476960596</c:v>
                </c:pt>
                <c:pt idx="53">
                  <c:v>30498.419021730202</c:v>
                </c:pt>
                <c:pt idx="54">
                  <c:v>30803.403211947505</c:v>
                </c:pt>
                <c:pt idx="55">
                  <c:v>31111.437244066983</c:v>
                </c:pt>
                <c:pt idx="56">
                  <c:v>31422.551616507655</c:v>
                </c:pt>
                <c:pt idx="57">
                  <c:v>31422.551616507655</c:v>
                </c:pt>
                <c:pt idx="58">
                  <c:v>31422.551616507655</c:v>
                </c:pt>
                <c:pt idx="59">
                  <c:v>31422.551616507655</c:v>
                </c:pt>
                <c:pt idx="60">
                  <c:v>31422.551616507655</c:v>
                </c:pt>
                <c:pt idx="61">
                  <c:v>31422.551616507655</c:v>
                </c:pt>
                <c:pt idx="62">
                  <c:v>31422.551616507655</c:v>
                </c:pt>
                <c:pt idx="63">
                  <c:v>31422.551616507655</c:v>
                </c:pt>
                <c:pt idx="64">
                  <c:v>31422.551616507655</c:v>
                </c:pt>
                <c:pt idx="65">
                  <c:v>31422.551616507655</c:v>
                </c:pt>
                <c:pt idx="66">
                  <c:v>31422.551616507655</c:v>
                </c:pt>
                <c:pt idx="67">
                  <c:v>31422.551616507655</c:v>
                </c:pt>
                <c:pt idx="68">
                  <c:v>31422.551616507655</c:v>
                </c:pt>
                <c:pt idx="69">
                  <c:v>31422.551616507655</c:v>
                </c:pt>
                <c:pt idx="70">
                  <c:v>31422.551616507655</c:v>
                </c:pt>
                <c:pt idx="71">
                  <c:v>31422.551616507655</c:v>
                </c:pt>
              </c:numCache>
            </c:numRef>
          </c:val>
          <c:smooth val="0"/>
          <c:extLst>
            <c:ext xmlns:c16="http://schemas.microsoft.com/office/drawing/2014/chart" uri="{C3380CC4-5D6E-409C-BE32-E72D297353CC}">
              <c16:uniqueId val="{00000000-A065-46CB-9C47-34F01C4DB87C}"/>
            </c:ext>
          </c:extLst>
        </c:ser>
        <c:dLbls>
          <c:showLegendKey val="0"/>
          <c:showVal val="0"/>
          <c:showCatName val="0"/>
          <c:showSerName val="0"/>
          <c:showPercent val="0"/>
          <c:showBubbleSize val="0"/>
        </c:dLbls>
        <c:marker val="1"/>
        <c:smooth val="0"/>
        <c:axId val="1076313104"/>
        <c:axId val="1076298224"/>
      </c:lineChart>
      <c:catAx>
        <c:axId val="1967722879"/>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67719999"/>
        <c:crosses val="autoZero"/>
        <c:auto val="1"/>
        <c:lblAlgn val="ctr"/>
        <c:lblOffset val="0"/>
        <c:noMultiLvlLbl val="0"/>
      </c:catAx>
      <c:valAx>
        <c:axId val="19677199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Annual</a:t>
                </a:r>
                <a:r>
                  <a:rPr lang="en-US" baseline="0"/>
                  <a:t> Costs/Net Income (2025 $)</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67722879"/>
        <c:crossesAt val="0"/>
        <c:crossBetween val="between"/>
      </c:valAx>
      <c:valAx>
        <c:axId val="1076298224"/>
        <c:scaling>
          <c:orientation val="minMax"/>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baseline="0"/>
                  <a:t>Total pecan yield, pounds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076313104"/>
        <c:crosses val="max"/>
        <c:crossBetween val="between"/>
      </c:valAx>
      <c:catAx>
        <c:axId val="1076313104"/>
        <c:scaling>
          <c:orientation val="minMax"/>
        </c:scaling>
        <c:delete val="1"/>
        <c:axPos val="b"/>
        <c:numFmt formatCode="General" sourceLinked="1"/>
        <c:majorTickMark val="out"/>
        <c:minorTickMark val="none"/>
        <c:tickLblPos val="nextTo"/>
        <c:crossAx val="107629822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t>Annual</a:t>
            </a:r>
            <a:r>
              <a:rPr lang="en-US" b="1" baseline="0"/>
              <a:t> yield</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8541696756045226E-2"/>
          <c:y val="0.11379740852975931"/>
          <c:w val="0.84239508763481752"/>
          <c:h val="0.67671911060232759"/>
        </c:manualLayout>
      </c:layout>
      <c:areaChart>
        <c:grouping val="stacked"/>
        <c:varyColors val="0"/>
        <c:ser>
          <c:idx val="3"/>
          <c:order val="2"/>
          <c:tx>
            <c:strRef>
              <c:f>'Long-term Model Summary'!$J$11</c:f>
              <c:strCache>
                <c:ptCount val="1"/>
                <c:pt idx="0">
                  <c:v>Low yield for operation</c:v>
                </c:pt>
              </c:strCache>
            </c:strRef>
          </c:tx>
          <c:spPr>
            <a:solidFill>
              <a:schemeClr val="accent4"/>
            </a:solidFill>
            <a:ln>
              <a:noFill/>
            </a:ln>
            <a:effectLst/>
          </c:spPr>
          <c:cat>
            <c:strRef>
              <c:f>'Long-term Model Summary'!$K$8:$CH$8</c:f>
              <c:strCache>
                <c:ptCount val="76"/>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pt idx="50">
                  <c:v>Year 51</c:v>
                </c:pt>
                <c:pt idx="51">
                  <c:v>Year 52</c:v>
                </c:pt>
                <c:pt idx="52">
                  <c:v>Year 53</c:v>
                </c:pt>
                <c:pt idx="53">
                  <c:v>Year 54</c:v>
                </c:pt>
                <c:pt idx="54">
                  <c:v>Year 55</c:v>
                </c:pt>
                <c:pt idx="55">
                  <c:v>Year 56</c:v>
                </c:pt>
                <c:pt idx="56">
                  <c:v>Year 57</c:v>
                </c:pt>
                <c:pt idx="57">
                  <c:v>Year 58</c:v>
                </c:pt>
                <c:pt idx="58">
                  <c:v>Year 59</c:v>
                </c:pt>
                <c:pt idx="59">
                  <c:v>Year 60</c:v>
                </c:pt>
                <c:pt idx="60">
                  <c:v>Year 61</c:v>
                </c:pt>
                <c:pt idx="61">
                  <c:v>Year 62</c:v>
                </c:pt>
                <c:pt idx="62">
                  <c:v>Year 63</c:v>
                </c:pt>
                <c:pt idx="63">
                  <c:v>Year 64</c:v>
                </c:pt>
                <c:pt idx="64">
                  <c:v>Year 65</c:v>
                </c:pt>
                <c:pt idx="65">
                  <c:v>Year 66</c:v>
                </c:pt>
                <c:pt idx="66">
                  <c:v>Year 67</c:v>
                </c:pt>
                <c:pt idx="67">
                  <c:v>Year 68</c:v>
                </c:pt>
                <c:pt idx="68">
                  <c:v>Year 69</c:v>
                </c:pt>
                <c:pt idx="69">
                  <c:v>Year 70</c:v>
                </c:pt>
                <c:pt idx="70">
                  <c:v>Year 71</c:v>
                </c:pt>
                <c:pt idx="71">
                  <c:v>Year 72</c:v>
                </c:pt>
                <c:pt idx="72">
                  <c:v>Year 73</c:v>
                </c:pt>
                <c:pt idx="73">
                  <c:v>Year 74</c:v>
                </c:pt>
                <c:pt idx="74">
                  <c:v>Year 75</c:v>
                </c:pt>
                <c:pt idx="75">
                  <c:v>Year 76</c:v>
                </c:pt>
              </c:strCache>
            </c:strRef>
          </c:cat>
          <c:val>
            <c:numRef>
              <c:f>'Long-term Model Summary'!$K$11:$CH$11</c:f>
              <c:numCache>
                <c:formatCode>_(* #,##0_);_(* \(#,##0\);_(* "-"??_);_(@_)</c:formatCode>
                <c:ptCount val="76"/>
                <c:pt idx="0">
                  <c:v>81.64800000000001</c:v>
                </c:pt>
                <c:pt idx="1">
                  <c:v>107.77536000000002</c:v>
                </c:pt>
                <c:pt idx="2">
                  <c:v>142.26347520000002</c:v>
                </c:pt>
                <c:pt idx="3">
                  <c:v>187.78778726400006</c:v>
                </c:pt>
                <c:pt idx="4">
                  <c:v>247.87987918848006</c:v>
                </c:pt>
                <c:pt idx="5">
                  <c:v>327.20144052879374</c:v>
                </c:pt>
                <c:pt idx="6">
                  <c:v>431.90590149800767</c:v>
                </c:pt>
                <c:pt idx="7">
                  <c:v>570.11578997737024</c:v>
                </c:pt>
                <c:pt idx="8">
                  <c:v>752.55284277012868</c:v>
                </c:pt>
                <c:pt idx="9">
                  <c:v>993.36975245656981</c:v>
                </c:pt>
                <c:pt idx="10">
                  <c:v>1311.2480732426723</c:v>
                </c:pt>
                <c:pt idx="11">
                  <c:v>1730.8474566803277</c:v>
                </c:pt>
                <c:pt idx="12">
                  <c:v>1753.9254227693987</c:v>
                </c:pt>
                <c:pt idx="13">
                  <c:v>2315.1815580556063</c:v>
                </c:pt>
                <c:pt idx="14">
                  <c:v>3056.0396566334007</c:v>
                </c:pt>
                <c:pt idx="15">
                  <c:v>4033.9723467560884</c:v>
                </c:pt>
                <c:pt idx="16">
                  <c:v>4195.3312406263321</c:v>
                </c:pt>
                <c:pt idx="17">
                  <c:v>4363.1444902513858</c:v>
                </c:pt>
                <c:pt idx="18">
                  <c:v>4537.6702698614417</c:v>
                </c:pt>
                <c:pt idx="19">
                  <c:v>4719.1770806558989</c:v>
                </c:pt>
                <c:pt idx="20">
                  <c:v>4907.9441638821354</c:v>
                </c:pt>
                <c:pt idx="21">
                  <c:v>5104.2619304374211</c:v>
                </c:pt>
                <c:pt idx="22">
                  <c:v>5308.4324076549183</c:v>
                </c:pt>
                <c:pt idx="23">
                  <c:v>5520.7697039611157</c:v>
                </c:pt>
                <c:pt idx="24">
                  <c:v>5741.6004921195608</c:v>
                </c:pt>
                <c:pt idx="25">
                  <c:v>5971.2645118043429</c:v>
                </c:pt>
                <c:pt idx="26">
                  <c:v>6210.1150922765173</c:v>
                </c:pt>
                <c:pt idx="27">
                  <c:v>6458.5196959675777</c:v>
                </c:pt>
                <c:pt idx="28">
                  <c:v>6716.8604838062811</c:v>
                </c:pt>
                <c:pt idx="29">
                  <c:v>6985.534903158532</c:v>
                </c:pt>
                <c:pt idx="30">
                  <c:v>7264.9562992848751</c:v>
                </c:pt>
                <c:pt idx="31">
                  <c:v>7337.6058622777218</c:v>
                </c:pt>
                <c:pt idx="32">
                  <c:v>7410.9819209005</c:v>
                </c:pt>
                <c:pt idx="33">
                  <c:v>7485.0917401095039</c:v>
                </c:pt>
                <c:pt idx="34">
                  <c:v>7559.942657510599</c:v>
                </c:pt>
                <c:pt idx="35">
                  <c:v>7635.5420840857059</c:v>
                </c:pt>
                <c:pt idx="36">
                  <c:v>7711.8975049265628</c:v>
                </c:pt>
                <c:pt idx="37">
                  <c:v>7789.0164799758295</c:v>
                </c:pt>
                <c:pt idx="38">
                  <c:v>7866.9066447755868</c:v>
                </c:pt>
                <c:pt idx="39">
                  <c:v>7945.5757112233423</c:v>
                </c:pt>
                <c:pt idx="40">
                  <c:v>8025.0314683355764</c:v>
                </c:pt>
                <c:pt idx="41">
                  <c:v>7282.7160575145372</c:v>
                </c:pt>
                <c:pt idx="42">
                  <c:v>7355.5432180896823</c:v>
                </c:pt>
                <c:pt idx="43">
                  <c:v>7429.0986502705791</c:v>
                </c:pt>
                <c:pt idx="44">
                  <c:v>7503.389636773285</c:v>
                </c:pt>
                <c:pt idx="45">
                  <c:v>7578.4235331410182</c:v>
                </c:pt>
                <c:pt idx="46">
                  <c:v>7654.2077684724281</c:v>
                </c:pt>
                <c:pt idx="47">
                  <c:v>7730.7498461571522</c:v>
                </c:pt>
                <c:pt idx="48">
                  <c:v>7808.0573446187245</c:v>
                </c:pt>
                <c:pt idx="49">
                  <c:v>7886.1379180649119</c:v>
                </c:pt>
                <c:pt idx="50">
                  <c:v>7964.999297245562</c:v>
                </c:pt>
                <c:pt idx="51">
                  <c:v>8044.6492902180171</c:v>
                </c:pt>
                <c:pt idx="52">
                  <c:v>8125.0957831201977</c:v>
                </c:pt>
                <c:pt idx="53">
                  <c:v>8206.3467409513996</c:v>
                </c:pt>
                <c:pt idx="54">
                  <c:v>8288.4102083609141</c:v>
                </c:pt>
                <c:pt idx="55">
                  <c:v>8371.2943104445221</c:v>
                </c:pt>
                <c:pt idx="56">
                  <c:v>8455.0072535489689</c:v>
                </c:pt>
                <c:pt idx="57">
                  <c:v>8539.5573260844576</c:v>
                </c:pt>
                <c:pt idx="58">
                  <c:v>8624.9528993453023</c:v>
                </c:pt>
                <c:pt idx="59">
                  <c:v>8711.2024283387564</c:v>
                </c:pt>
                <c:pt idx="60">
                  <c:v>8798.314452622144</c:v>
                </c:pt>
                <c:pt idx="61">
                  <c:v>8798.314452622144</c:v>
                </c:pt>
                <c:pt idx="62">
                  <c:v>8798.314452622144</c:v>
                </c:pt>
                <c:pt idx="63">
                  <c:v>8798.314452622144</c:v>
                </c:pt>
                <c:pt idx="64">
                  <c:v>8798.314452622144</c:v>
                </c:pt>
                <c:pt idx="65">
                  <c:v>8798.314452622144</c:v>
                </c:pt>
                <c:pt idx="66">
                  <c:v>8798.314452622144</c:v>
                </c:pt>
                <c:pt idx="67">
                  <c:v>8798.314452622144</c:v>
                </c:pt>
                <c:pt idx="68">
                  <c:v>8798.314452622144</c:v>
                </c:pt>
                <c:pt idx="69">
                  <c:v>8798.314452622144</c:v>
                </c:pt>
                <c:pt idx="70">
                  <c:v>8798.314452622144</c:v>
                </c:pt>
                <c:pt idx="71">
                  <c:v>8798.314452622144</c:v>
                </c:pt>
                <c:pt idx="72">
                  <c:v>8798.314452622144</c:v>
                </c:pt>
                <c:pt idx="73">
                  <c:v>8798.314452622144</c:v>
                </c:pt>
                <c:pt idx="74">
                  <c:v>8798.314452622144</c:v>
                </c:pt>
                <c:pt idx="75">
                  <c:v>8798.314452622144</c:v>
                </c:pt>
              </c:numCache>
            </c:numRef>
          </c:val>
          <c:extLst xmlns:c15="http://schemas.microsoft.com/office/drawing/2012/chart">
            <c:ext xmlns:c16="http://schemas.microsoft.com/office/drawing/2014/chart" uri="{C3380CC4-5D6E-409C-BE32-E72D297353CC}">
              <c16:uniqueId val="{00000004-B3F3-45F4-9150-312517F475B8}"/>
            </c:ext>
          </c:extLst>
        </c:ser>
        <c:ser>
          <c:idx val="5"/>
          <c:order val="4"/>
          <c:tx>
            <c:strRef>
              <c:f>'Long-term Model Summary'!$J$13</c:f>
              <c:strCache>
                <c:ptCount val="1"/>
                <c:pt idx="0">
                  <c:v>Average yield for operation</c:v>
                </c:pt>
              </c:strCache>
            </c:strRef>
          </c:tx>
          <c:spPr>
            <a:solidFill>
              <a:schemeClr val="accent6"/>
            </a:solidFill>
            <a:ln>
              <a:noFill/>
            </a:ln>
            <a:effectLst/>
          </c:spPr>
          <c:cat>
            <c:strRef>
              <c:f>'Long-term Model Summary'!$K$8:$CH$8</c:f>
              <c:strCache>
                <c:ptCount val="76"/>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pt idx="50">
                  <c:v>Year 51</c:v>
                </c:pt>
                <c:pt idx="51">
                  <c:v>Year 52</c:v>
                </c:pt>
                <c:pt idx="52">
                  <c:v>Year 53</c:v>
                </c:pt>
                <c:pt idx="53">
                  <c:v>Year 54</c:v>
                </c:pt>
                <c:pt idx="54">
                  <c:v>Year 55</c:v>
                </c:pt>
                <c:pt idx="55">
                  <c:v>Year 56</c:v>
                </c:pt>
                <c:pt idx="56">
                  <c:v>Year 57</c:v>
                </c:pt>
                <c:pt idx="57">
                  <c:v>Year 58</c:v>
                </c:pt>
                <c:pt idx="58">
                  <c:v>Year 59</c:v>
                </c:pt>
                <c:pt idx="59">
                  <c:v>Year 60</c:v>
                </c:pt>
                <c:pt idx="60">
                  <c:v>Year 61</c:v>
                </c:pt>
                <c:pt idx="61">
                  <c:v>Year 62</c:v>
                </c:pt>
                <c:pt idx="62">
                  <c:v>Year 63</c:v>
                </c:pt>
                <c:pt idx="63">
                  <c:v>Year 64</c:v>
                </c:pt>
                <c:pt idx="64">
                  <c:v>Year 65</c:v>
                </c:pt>
                <c:pt idx="65">
                  <c:v>Year 66</c:v>
                </c:pt>
                <c:pt idx="66">
                  <c:v>Year 67</c:v>
                </c:pt>
                <c:pt idx="67">
                  <c:v>Year 68</c:v>
                </c:pt>
                <c:pt idx="68">
                  <c:v>Year 69</c:v>
                </c:pt>
                <c:pt idx="69">
                  <c:v>Year 70</c:v>
                </c:pt>
                <c:pt idx="70">
                  <c:v>Year 71</c:v>
                </c:pt>
                <c:pt idx="71">
                  <c:v>Year 72</c:v>
                </c:pt>
                <c:pt idx="72">
                  <c:v>Year 73</c:v>
                </c:pt>
                <c:pt idx="73">
                  <c:v>Year 74</c:v>
                </c:pt>
                <c:pt idx="74">
                  <c:v>Year 75</c:v>
                </c:pt>
                <c:pt idx="75">
                  <c:v>Year 76</c:v>
                </c:pt>
              </c:strCache>
            </c:strRef>
          </c:cat>
          <c:val>
            <c:numRef>
              <c:f>'Long-term Model Summary'!$K$13:$CH$13</c:f>
              <c:numCache>
                <c:formatCode>_(* #,##0_);_(* \(#,##0\);_(* "-"??_);_(@_)</c:formatCode>
                <c:ptCount val="76"/>
                <c:pt idx="0">
                  <c:v>291.60000000000002</c:v>
                </c:pt>
                <c:pt idx="1">
                  <c:v>384.91200000000003</c:v>
                </c:pt>
                <c:pt idx="2">
                  <c:v>508.08384000000012</c:v>
                </c:pt>
                <c:pt idx="3">
                  <c:v>670.67066880000016</c:v>
                </c:pt>
                <c:pt idx="4">
                  <c:v>885.28528281600018</c:v>
                </c:pt>
                <c:pt idx="5">
                  <c:v>1168.5765733171204</c:v>
                </c:pt>
                <c:pt idx="6">
                  <c:v>1542.5210767785989</c:v>
                </c:pt>
                <c:pt idx="7">
                  <c:v>2036.1278213477503</c:v>
                </c:pt>
                <c:pt idx="8">
                  <c:v>2687.6887241790305</c:v>
                </c:pt>
                <c:pt idx="9">
                  <c:v>3547.7491159163205</c:v>
                </c:pt>
                <c:pt idx="10">
                  <c:v>4683.0288330095436</c:v>
                </c:pt>
                <c:pt idx="11">
                  <c:v>6181.5980595725987</c:v>
                </c:pt>
                <c:pt idx="12">
                  <c:v>6264.0193670335657</c:v>
                </c:pt>
                <c:pt idx="13">
                  <c:v>8268.5055644843069</c:v>
                </c:pt>
                <c:pt idx="14">
                  <c:v>10914.427345119286</c:v>
                </c:pt>
                <c:pt idx="15">
                  <c:v>14407.044095557458</c:v>
                </c:pt>
                <c:pt idx="16">
                  <c:v>14983.325859379756</c:v>
                </c:pt>
                <c:pt idx="17">
                  <c:v>15582.658893754946</c:v>
                </c:pt>
                <c:pt idx="18">
                  <c:v>16205.965249505145</c:v>
                </c:pt>
                <c:pt idx="19">
                  <c:v>16854.203859485351</c:v>
                </c:pt>
                <c:pt idx="20">
                  <c:v>17528.372013864766</c:v>
                </c:pt>
                <c:pt idx="21">
                  <c:v>18229.506894419359</c:v>
                </c:pt>
                <c:pt idx="22">
                  <c:v>18958.687170196135</c:v>
                </c:pt>
                <c:pt idx="23">
                  <c:v>19717.034657003984</c:v>
                </c:pt>
                <c:pt idx="24">
                  <c:v>20505.716043284145</c:v>
                </c:pt>
                <c:pt idx="25">
                  <c:v>21325.944685015507</c:v>
                </c:pt>
                <c:pt idx="26">
                  <c:v>22178.98247241613</c:v>
                </c:pt>
                <c:pt idx="27">
                  <c:v>23066.141771312774</c:v>
                </c:pt>
                <c:pt idx="28">
                  <c:v>23988.787442165285</c:v>
                </c:pt>
                <c:pt idx="29">
                  <c:v>24948.338939851896</c:v>
                </c:pt>
                <c:pt idx="30">
                  <c:v>25946.272497445978</c:v>
                </c:pt>
                <c:pt idx="31">
                  <c:v>26205.735222420433</c:v>
                </c:pt>
                <c:pt idx="32">
                  <c:v>26467.792574644642</c:v>
                </c:pt>
                <c:pt idx="33">
                  <c:v>26732.470500391086</c:v>
                </c:pt>
                <c:pt idx="34">
                  <c:v>26999.795205394996</c:v>
                </c:pt>
                <c:pt idx="35">
                  <c:v>27269.793157448945</c:v>
                </c:pt>
                <c:pt idx="36">
                  <c:v>27542.491089023435</c:v>
                </c:pt>
                <c:pt idx="37">
                  <c:v>27817.915999913672</c:v>
                </c:pt>
                <c:pt idx="38">
                  <c:v>28096.095159912806</c:v>
                </c:pt>
                <c:pt idx="39">
                  <c:v>28377.056111511934</c:v>
                </c:pt>
                <c:pt idx="40">
                  <c:v>28660.826672627056</c:v>
                </c:pt>
                <c:pt idx="41">
                  <c:v>26009.700205409059</c:v>
                </c:pt>
                <c:pt idx="42">
                  <c:v>26269.797207463151</c:v>
                </c:pt>
                <c:pt idx="43">
                  <c:v>26532.495179537782</c:v>
                </c:pt>
                <c:pt idx="44">
                  <c:v>26797.820131333159</c:v>
                </c:pt>
                <c:pt idx="45">
                  <c:v>27065.798332646493</c:v>
                </c:pt>
                <c:pt idx="46">
                  <c:v>27336.456315972955</c:v>
                </c:pt>
                <c:pt idx="47">
                  <c:v>27609.820879132683</c:v>
                </c:pt>
                <c:pt idx="48">
                  <c:v>27885.919087924012</c:v>
                </c:pt>
                <c:pt idx="49">
                  <c:v>28164.778278803256</c:v>
                </c:pt>
                <c:pt idx="50">
                  <c:v>28446.42606159129</c:v>
                </c:pt>
                <c:pt idx="51">
                  <c:v>28730.8903222072</c:v>
                </c:pt>
                <c:pt idx="52">
                  <c:v>29018.199225429275</c:v>
                </c:pt>
                <c:pt idx="53">
                  <c:v>29308.381217683567</c:v>
                </c:pt>
                <c:pt idx="54">
                  <c:v>29601.465029860403</c:v>
                </c:pt>
                <c:pt idx="55">
                  <c:v>29897.479680159006</c:v>
                </c:pt>
                <c:pt idx="56">
                  <c:v>30196.454476960596</c:v>
                </c:pt>
                <c:pt idx="57">
                  <c:v>30498.419021730202</c:v>
                </c:pt>
                <c:pt idx="58">
                  <c:v>30803.403211947505</c:v>
                </c:pt>
                <c:pt idx="59">
                  <c:v>31111.437244066983</c:v>
                </c:pt>
                <c:pt idx="60">
                  <c:v>31422.551616507655</c:v>
                </c:pt>
                <c:pt idx="61">
                  <c:v>31422.551616507655</c:v>
                </c:pt>
                <c:pt idx="62">
                  <c:v>31422.551616507655</c:v>
                </c:pt>
                <c:pt idx="63">
                  <c:v>31422.551616507655</c:v>
                </c:pt>
                <c:pt idx="64">
                  <c:v>31422.551616507655</c:v>
                </c:pt>
                <c:pt idx="65">
                  <c:v>31422.551616507655</c:v>
                </c:pt>
                <c:pt idx="66">
                  <c:v>31422.551616507655</c:v>
                </c:pt>
                <c:pt idx="67">
                  <c:v>31422.551616507655</c:v>
                </c:pt>
                <c:pt idx="68">
                  <c:v>31422.551616507655</c:v>
                </c:pt>
                <c:pt idx="69">
                  <c:v>31422.551616507655</c:v>
                </c:pt>
                <c:pt idx="70">
                  <c:v>31422.551616507655</c:v>
                </c:pt>
                <c:pt idx="71">
                  <c:v>31422.551616507655</c:v>
                </c:pt>
                <c:pt idx="72">
                  <c:v>31422.551616507655</c:v>
                </c:pt>
                <c:pt idx="73">
                  <c:v>31422.551616507655</c:v>
                </c:pt>
                <c:pt idx="74">
                  <c:v>31422.551616507655</c:v>
                </c:pt>
                <c:pt idx="75">
                  <c:v>31422.551616507655</c:v>
                </c:pt>
              </c:numCache>
            </c:numRef>
          </c:val>
          <c:extLst>
            <c:ext xmlns:c16="http://schemas.microsoft.com/office/drawing/2014/chart" uri="{C3380CC4-5D6E-409C-BE32-E72D297353CC}">
              <c16:uniqueId val="{00000000-B3F3-45F4-9150-312517F475B8}"/>
            </c:ext>
          </c:extLst>
        </c:ser>
        <c:ser>
          <c:idx val="0"/>
          <c:order val="6"/>
          <c:tx>
            <c:strRef>
              <c:f>'Long-term Model Summary'!$J$15</c:f>
              <c:strCache>
                <c:ptCount val="1"/>
                <c:pt idx="0">
                  <c:v>High yield for operation</c:v>
                </c:pt>
              </c:strCache>
            </c:strRef>
          </c:tx>
          <c:spPr>
            <a:solidFill>
              <a:schemeClr val="accent1"/>
            </a:solidFill>
            <a:ln>
              <a:noFill/>
            </a:ln>
            <a:effectLst/>
          </c:spPr>
          <c:cat>
            <c:strRef>
              <c:f>'Long-term Model Summary'!$K$8:$CH$8</c:f>
              <c:strCache>
                <c:ptCount val="76"/>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pt idx="50">
                  <c:v>Year 51</c:v>
                </c:pt>
                <c:pt idx="51">
                  <c:v>Year 52</c:v>
                </c:pt>
                <c:pt idx="52">
                  <c:v>Year 53</c:v>
                </c:pt>
                <c:pt idx="53">
                  <c:v>Year 54</c:v>
                </c:pt>
                <c:pt idx="54">
                  <c:v>Year 55</c:v>
                </c:pt>
                <c:pt idx="55">
                  <c:v>Year 56</c:v>
                </c:pt>
                <c:pt idx="56">
                  <c:v>Year 57</c:v>
                </c:pt>
                <c:pt idx="57">
                  <c:v>Year 58</c:v>
                </c:pt>
                <c:pt idx="58">
                  <c:v>Year 59</c:v>
                </c:pt>
                <c:pt idx="59">
                  <c:v>Year 60</c:v>
                </c:pt>
                <c:pt idx="60">
                  <c:v>Year 61</c:v>
                </c:pt>
                <c:pt idx="61">
                  <c:v>Year 62</c:v>
                </c:pt>
                <c:pt idx="62">
                  <c:v>Year 63</c:v>
                </c:pt>
                <c:pt idx="63">
                  <c:v>Year 64</c:v>
                </c:pt>
                <c:pt idx="64">
                  <c:v>Year 65</c:v>
                </c:pt>
                <c:pt idx="65">
                  <c:v>Year 66</c:v>
                </c:pt>
                <c:pt idx="66">
                  <c:v>Year 67</c:v>
                </c:pt>
                <c:pt idx="67">
                  <c:v>Year 68</c:v>
                </c:pt>
                <c:pt idx="68">
                  <c:v>Year 69</c:v>
                </c:pt>
                <c:pt idx="69">
                  <c:v>Year 70</c:v>
                </c:pt>
                <c:pt idx="70">
                  <c:v>Year 71</c:v>
                </c:pt>
                <c:pt idx="71">
                  <c:v>Year 72</c:v>
                </c:pt>
                <c:pt idx="72">
                  <c:v>Year 73</c:v>
                </c:pt>
                <c:pt idx="73">
                  <c:v>Year 74</c:v>
                </c:pt>
                <c:pt idx="74">
                  <c:v>Year 75</c:v>
                </c:pt>
                <c:pt idx="75">
                  <c:v>Year 76</c:v>
                </c:pt>
              </c:strCache>
            </c:strRef>
          </c:cat>
          <c:val>
            <c:numRef>
              <c:f>'Long-term Model Summary'!$K$15:$CH$15</c:f>
              <c:numCache>
                <c:formatCode>_(* #,##0_);_(* \(#,##0\);_(* "-"??_);_(@_)</c:formatCode>
                <c:ptCount val="76"/>
                <c:pt idx="0">
                  <c:v>501.55200000000002</c:v>
                </c:pt>
                <c:pt idx="1">
                  <c:v>662.04864000000009</c:v>
                </c:pt>
                <c:pt idx="2">
                  <c:v>873.90420480000012</c:v>
                </c:pt>
                <c:pt idx="3">
                  <c:v>1153.5535503360002</c:v>
                </c:pt>
                <c:pt idx="4">
                  <c:v>1522.6906864435202</c:v>
                </c:pt>
                <c:pt idx="5">
                  <c:v>2009.9517061054469</c:v>
                </c:pt>
                <c:pt idx="6">
                  <c:v>2653.1362520591897</c:v>
                </c:pt>
                <c:pt idx="7">
                  <c:v>3502.1398527181304</c:v>
                </c:pt>
                <c:pt idx="8">
                  <c:v>4622.8246055879326</c:v>
                </c:pt>
                <c:pt idx="9">
                  <c:v>6102.1284793760706</c:v>
                </c:pt>
                <c:pt idx="10">
                  <c:v>8054.8095927764152</c:v>
                </c:pt>
                <c:pt idx="11">
                  <c:v>10632.348662464869</c:v>
                </c:pt>
                <c:pt idx="12">
                  <c:v>10774.113311297733</c:v>
                </c:pt>
                <c:pt idx="13">
                  <c:v>14221.829570913007</c:v>
                </c:pt>
                <c:pt idx="14">
                  <c:v>18772.815033605173</c:v>
                </c:pt>
                <c:pt idx="15">
                  <c:v>24780.115844358825</c:v>
                </c:pt>
                <c:pt idx="16">
                  <c:v>25771.320478133181</c:v>
                </c:pt>
                <c:pt idx="17">
                  <c:v>26802.173297258509</c:v>
                </c:pt>
                <c:pt idx="18">
                  <c:v>27874.260229148851</c:v>
                </c:pt>
                <c:pt idx="19">
                  <c:v>28989.230638314802</c:v>
                </c:pt>
                <c:pt idx="20">
                  <c:v>30148.799863847398</c:v>
                </c:pt>
                <c:pt idx="21">
                  <c:v>31354.751858401301</c:v>
                </c:pt>
                <c:pt idx="22">
                  <c:v>32608.941932737354</c:v>
                </c:pt>
                <c:pt idx="23">
                  <c:v>33913.299610046852</c:v>
                </c:pt>
                <c:pt idx="24">
                  <c:v>35269.831594448726</c:v>
                </c:pt>
                <c:pt idx="25">
                  <c:v>36680.624858226678</c:v>
                </c:pt>
                <c:pt idx="26">
                  <c:v>38147.849852555744</c:v>
                </c:pt>
                <c:pt idx="27">
                  <c:v>39673.763846657974</c:v>
                </c:pt>
                <c:pt idx="28">
                  <c:v>41260.714400524288</c:v>
                </c:pt>
                <c:pt idx="29">
                  <c:v>42911.142976545263</c:v>
                </c:pt>
                <c:pt idx="30">
                  <c:v>44627.588695607075</c:v>
                </c:pt>
                <c:pt idx="31">
                  <c:v>45073.864582563147</c:v>
                </c:pt>
                <c:pt idx="32">
                  <c:v>45524.603228388783</c:v>
                </c:pt>
                <c:pt idx="33">
                  <c:v>45979.849260672665</c:v>
                </c:pt>
                <c:pt idx="34">
                  <c:v>46439.647753279394</c:v>
                </c:pt>
                <c:pt idx="35">
                  <c:v>46904.044230812186</c:v>
                </c:pt>
                <c:pt idx="36">
                  <c:v>47373.084673120313</c:v>
                </c:pt>
                <c:pt idx="37">
                  <c:v>47846.815519851516</c:v>
                </c:pt>
                <c:pt idx="38">
                  <c:v>48325.283675050021</c:v>
                </c:pt>
                <c:pt idx="39">
                  <c:v>48808.536511800528</c:v>
                </c:pt>
                <c:pt idx="40">
                  <c:v>49296.621876918536</c:v>
                </c:pt>
                <c:pt idx="41">
                  <c:v>44736.684353303579</c:v>
                </c:pt>
                <c:pt idx="42">
                  <c:v>45184.051196836619</c:v>
                </c:pt>
                <c:pt idx="43">
                  <c:v>45635.891708804978</c:v>
                </c:pt>
                <c:pt idx="44">
                  <c:v>46092.25062589303</c:v>
                </c:pt>
                <c:pt idx="45">
                  <c:v>46553.173132151962</c:v>
                </c:pt>
                <c:pt idx="46">
                  <c:v>47018.704863473489</c:v>
                </c:pt>
                <c:pt idx="47">
                  <c:v>47488.891912108222</c:v>
                </c:pt>
                <c:pt idx="48">
                  <c:v>47963.780831229298</c:v>
                </c:pt>
                <c:pt idx="49">
                  <c:v>48443.418639541596</c:v>
                </c:pt>
                <c:pt idx="50">
                  <c:v>48927.852825937014</c:v>
                </c:pt>
                <c:pt idx="51">
                  <c:v>49417.13135419639</c:v>
                </c:pt>
                <c:pt idx="52">
                  <c:v>49911.302667738353</c:v>
                </c:pt>
                <c:pt idx="53">
                  <c:v>50410.415694415729</c:v>
                </c:pt>
                <c:pt idx="54">
                  <c:v>50914.519851359895</c:v>
                </c:pt>
                <c:pt idx="55">
                  <c:v>51423.665049873489</c:v>
                </c:pt>
                <c:pt idx="56">
                  <c:v>51937.901700372226</c:v>
                </c:pt>
                <c:pt idx="57">
                  <c:v>52457.28071737595</c:v>
                </c:pt>
                <c:pt idx="58">
                  <c:v>52981.853524549711</c:v>
                </c:pt>
                <c:pt idx="59">
                  <c:v>53511.672059795208</c:v>
                </c:pt>
                <c:pt idx="60">
                  <c:v>54046.788780393166</c:v>
                </c:pt>
                <c:pt idx="61">
                  <c:v>54046.788780393166</c:v>
                </c:pt>
                <c:pt idx="62">
                  <c:v>54046.788780393166</c:v>
                </c:pt>
                <c:pt idx="63">
                  <c:v>54046.788780393166</c:v>
                </c:pt>
                <c:pt idx="64">
                  <c:v>54046.788780393166</c:v>
                </c:pt>
                <c:pt idx="65">
                  <c:v>54046.788780393166</c:v>
                </c:pt>
                <c:pt idx="66">
                  <c:v>54046.788780393166</c:v>
                </c:pt>
                <c:pt idx="67">
                  <c:v>54046.788780393166</c:v>
                </c:pt>
                <c:pt idx="68">
                  <c:v>54046.788780393166</c:v>
                </c:pt>
                <c:pt idx="69">
                  <c:v>54046.788780393166</c:v>
                </c:pt>
                <c:pt idx="70">
                  <c:v>54046.788780393166</c:v>
                </c:pt>
                <c:pt idx="71">
                  <c:v>54046.788780393166</c:v>
                </c:pt>
                <c:pt idx="72">
                  <c:v>54046.788780393166</c:v>
                </c:pt>
                <c:pt idx="73">
                  <c:v>54046.788780393166</c:v>
                </c:pt>
                <c:pt idx="74">
                  <c:v>54046.788780393166</c:v>
                </c:pt>
                <c:pt idx="75">
                  <c:v>54046.788780393166</c:v>
                </c:pt>
              </c:numCache>
            </c:numRef>
          </c:val>
          <c:extLst>
            <c:ext xmlns:c16="http://schemas.microsoft.com/office/drawing/2014/chart" uri="{C3380CC4-5D6E-409C-BE32-E72D297353CC}">
              <c16:uniqueId val="{00000006-B3F3-45F4-9150-312517F475B8}"/>
            </c:ext>
          </c:extLst>
        </c:ser>
        <c:dLbls>
          <c:showLegendKey val="0"/>
          <c:showVal val="0"/>
          <c:showCatName val="0"/>
          <c:showSerName val="0"/>
          <c:showPercent val="0"/>
          <c:showBubbleSize val="0"/>
        </c:dLbls>
        <c:axId val="1967722879"/>
        <c:axId val="1967719999"/>
        <c:extLst>
          <c:ext xmlns:c15="http://schemas.microsoft.com/office/drawing/2012/chart" uri="{02D57815-91ED-43cb-92C2-25804820EDAC}">
            <c15:filteredAreaSeries>
              <c15:ser>
                <c:idx val="2"/>
                <c:order val="1"/>
                <c:tx>
                  <c:strRef>
                    <c:extLst>
                      <c:ext uri="{02D57815-91ED-43cb-92C2-25804820EDAC}">
                        <c15:formulaRef>
                          <c15:sqref>'Long-term Model Summary'!$J$10</c15:sqref>
                        </c15:formulaRef>
                      </c:ext>
                    </c:extLst>
                    <c:strCache>
                      <c:ptCount val="1"/>
                      <c:pt idx="0">
                        <c:v>Low yield per tree</c:v>
                      </c:pt>
                    </c:strCache>
                  </c:strRef>
                </c:tx>
                <c:spPr>
                  <a:solidFill>
                    <a:schemeClr val="accent3"/>
                  </a:solidFill>
                  <a:ln>
                    <a:noFill/>
                  </a:ln>
                  <a:effectLst/>
                </c:spPr>
                <c:cat>
                  <c:strRef>
                    <c:extLst>
                      <c:ext uri="{02D57815-91ED-43cb-92C2-25804820EDAC}">
                        <c15:formulaRef>
                          <c15:sqref>'Long-term Model Summary'!$K$8:$CH$8</c15:sqref>
                        </c15:formulaRef>
                      </c:ext>
                    </c:extLst>
                    <c:strCache>
                      <c:ptCount val="76"/>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pt idx="50">
                        <c:v>Year 51</c:v>
                      </c:pt>
                      <c:pt idx="51">
                        <c:v>Year 52</c:v>
                      </c:pt>
                      <c:pt idx="52">
                        <c:v>Year 53</c:v>
                      </c:pt>
                      <c:pt idx="53">
                        <c:v>Year 54</c:v>
                      </c:pt>
                      <c:pt idx="54">
                        <c:v>Year 55</c:v>
                      </c:pt>
                      <c:pt idx="55">
                        <c:v>Year 56</c:v>
                      </c:pt>
                      <c:pt idx="56">
                        <c:v>Year 57</c:v>
                      </c:pt>
                      <c:pt idx="57">
                        <c:v>Year 58</c:v>
                      </c:pt>
                      <c:pt idx="58">
                        <c:v>Year 59</c:v>
                      </c:pt>
                      <c:pt idx="59">
                        <c:v>Year 60</c:v>
                      </c:pt>
                      <c:pt idx="60">
                        <c:v>Year 61</c:v>
                      </c:pt>
                      <c:pt idx="61">
                        <c:v>Year 62</c:v>
                      </c:pt>
                      <c:pt idx="62">
                        <c:v>Year 63</c:v>
                      </c:pt>
                      <c:pt idx="63">
                        <c:v>Year 64</c:v>
                      </c:pt>
                      <c:pt idx="64">
                        <c:v>Year 65</c:v>
                      </c:pt>
                      <c:pt idx="65">
                        <c:v>Year 66</c:v>
                      </c:pt>
                      <c:pt idx="66">
                        <c:v>Year 67</c:v>
                      </c:pt>
                      <c:pt idx="67">
                        <c:v>Year 68</c:v>
                      </c:pt>
                      <c:pt idx="68">
                        <c:v>Year 69</c:v>
                      </c:pt>
                      <c:pt idx="69">
                        <c:v>Year 70</c:v>
                      </c:pt>
                      <c:pt idx="70">
                        <c:v>Year 71</c:v>
                      </c:pt>
                      <c:pt idx="71">
                        <c:v>Year 72</c:v>
                      </c:pt>
                      <c:pt idx="72">
                        <c:v>Year 73</c:v>
                      </c:pt>
                      <c:pt idx="73">
                        <c:v>Year 74</c:v>
                      </c:pt>
                      <c:pt idx="74">
                        <c:v>Year 75</c:v>
                      </c:pt>
                      <c:pt idx="75">
                        <c:v>Year 76</c:v>
                      </c:pt>
                    </c:strCache>
                  </c:strRef>
                </c:cat>
                <c:val>
                  <c:numRef>
                    <c:extLst>
                      <c:ext uri="{02D57815-91ED-43cb-92C2-25804820EDAC}">
                        <c15:formulaRef>
                          <c15:sqref>'Long-term Model Summary'!$K$10:$CH$10</c15:sqref>
                        </c15:formulaRef>
                      </c:ext>
                    </c:extLst>
                    <c:numCache>
                      <c:formatCode>0.0</c:formatCode>
                      <c:ptCount val="76"/>
                      <c:pt idx="0">
                        <c:v>0.15120000000000003</c:v>
                      </c:pt>
                      <c:pt idx="1">
                        <c:v>0.19958400000000004</c:v>
                      </c:pt>
                      <c:pt idx="2">
                        <c:v>0.26345088000000005</c:v>
                      </c:pt>
                      <c:pt idx="3">
                        <c:v>0.34775516160000008</c:v>
                      </c:pt>
                      <c:pt idx="4">
                        <c:v>0.45903681331200014</c:v>
                      </c:pt>
                      <c:pt idx="5">
                        <c:v>0.60592859357184026</c:v>
                      </c:pt>
                      <c:pt idx="6">
                        <c:v>0.79982574351482905</c:v>
                      </c:pt>
                      <c:pt idx="7">
                        <c:v>1.0557699814395745</c:v>
                      </c:pt>
                      <c:pt idx="8">
                        <c:v>1.3936163755002382</c:v>
                      </c:pt>
                      <c:pt idx="9">
                        <c:v>1.8395736156603144</c:v>
                      </c:pt>
                      <c:pt idx="10">
                        <c:v>2.4282371726716154</c:v>
                      </c:pt>
                      <c:pt idx="11">
                        <c:v>3.2052730679265329</c:v>
                      </c:pt>
                      <c:pt idx="12">
                        <c:v>4.8720150632483294</c:v>
                      </c:pt>
                      <c:pt idx="13">
                        <c:v>6.4310598834877952</c:v>
                      </c:pt>
                      <c:pt idx="14">
                        <c:v>8.4889990462038902</c:v>
                      </c:pt>
                      <c:pt idx="15">
                        <c:v>11.205478740989134</c:v>
                      </c:pt>
                      <c:pt idx="16">
                        <c:v>11.653697890628701</c:v>
                      </c:pt>
                      <c:pt idx="17">
                        <c:v>12.119845806253849</c:v>
                      </c:pt>
                      <c:pt idx="18">
                        <c:v>12.604639638504004</c:v>
                      </c:pt>
                      <c:pt idx="19">
                        <c:v>13.108825224044164</c:v>
                      </c:pt>
                      <c:pt idx="20">
                        <c:v>13.633178233005932</c:v>
                      </c:pt>
                      <c:pt idx="21">
                        <c:v>14.17850536232617</c:v>
                      </c:pt>
                      <c:pt idx="22">
                        <c:v>14.745645576819218</c:v>
                      </c:pt>
                      <c:pt idx="23">
                        <c:v>15.335471399891988</c:v>
                      </c:pt>
                      <c:pt idx="24">
                        <c:v>15.948890255887669</c:v>
                      </c:pt>
                      <c:pt idx="25">
                        <c:v>16.586845866123173</c:v>
                      </c:pt>
                      <c:pt idx="26">
                        <c:v>17.250319700768102</c:v>
                      </c:pt>
                      <c:pt idx="27">
                        <c:v>17.940332488798827</c:v>
                      </c:pt>
                      <c:pt idx="28">
                        <c:v>18.65794578835078</c:v>
                      </c:pt>
                      <c:pt idx="29">
                        <c:v>19.404263619884812</c:v>
                      </c:pt>
                      <c:pt idx="30">
                        <c:v>20.180434164680207</c:v>
                      </c:pt>
                      <c:pt idx="31">
                        <c:v>20.382238506327006</c:v>
                      </c:pt>
                      <c:pt idx="32">
                        <c:v>20.586060891390279</c:v>
                      </c:pt>
                      <c:pt idx="33">
                        <c:v>20.791921500304177</c:v>
                      </c:pt>
                      <c:pt idx="34">
                        <c:v>20.999840715307219</c:v>
                      </c:pt>
                      <c:pt idx="35">
                        <c:v>21.209839122460295</c:v>
                      </c:pt>
                      <c:pt idx="36">
                        <c:v>21.421937513684895</c:v>
                      </c:pt>
                      <c:pt idx="37">
                        <c:v>21.636156888821748</c:v>
                      </c:pt>
                      <c:pt idx="38">
                        <c:v>21.852518457709962</c:v>
                      </c:pt>
                      <c:pt idx="39">
                        <c:v>22.071043642287062</c:v>
                      </c:pt>
                      <c:pt idx="40">
                        <c:v>22.291754078709936</c:v>
                      </c:pt>
                      <c:pt idx="41">
                        <c:v>26.973022435239027</c:v>
                      </c:pt>
                      <c:pt idx="42">
                        <c:v>27.242752659591417</c:v>
                      </c:pt>
                      <c:pt idx="43">
                        <c:v>27.51518018618733</c:v>
                      </c:pt>
                      <c:pt idx="44">
                        <c:v>27.790331988049203</c:v>
                      </c:pt>
                      <c:pt idx="45">
                        <c:v>28.068235307929697</c:v>
                      </c:pt>
                      <c:pt idx="46">
                        <c:v>28.348917661008993</c:v>
                      </c:pt>
                      <c:pt idx="47">
                        <c:v>28.632406837619083</c:v>
                      </c:pt>
                      <c:pt idx="48">
                        <c:v>28.918730905995275</c:v>
                      </c:pt>
                      <c:pt idx="49">
                        <c:v>29.20791821505523</c:v>
                      </c:pt>
                      <c:pt idx="50">
                        <c:v>29.499997397205785</c:v>
                      </c:pt>
                      <c:pt idx="51">
                        <c:v>29.794997371177843</c:v>
                      </c:pt>
                      <c:pt idx="52">
                        <c:v>30.09294734488962</c:v>
                      </c:pt>
                      <c:pt idx="53">
                        <c:v>30.393876818338516</c:v>
                      </c:pt>
                      <c:pt idx="54">
                        <c:v>30.697815586521902</c:v>
                      </c:pt>
                      <c:pt idx="55">
                        <c:v>31.004793742387118</c:v>
                      </c:pt>
                      <c:pt idx="56">
                        <c:v>31.314841679810993</c:v>
                      </c:pt>
                      <c:pt idx="57">
                        <c:v>31.627990096609103</c:v>
                      </c:pt>
                      <c:pt idx="58">
                        <c:v>31.944269997575194</c:v>
                      </c:pt>
                      <c:pt idx="59">
                        <c:v>32.26371269755095</c:v>
                      </c:pt>
                      <c:pt idx="60">
                        <c:v>32.586349824526458</c:v>
                      </c:pt>
                      <c:pt idx="61">
                        <c:v>32.586349824526458</c:v>
                      </c:pt>
                      <c:pt idx="62">
                        <c:v>32.586349824526458</c:v>
                      </c:pt>
                      <c:pt idx="63">
                        <c:v>32.586349824526458</c:v>
                      </c:pt>
                      <c:pt idx="64">
                        <c:v>32.586349824526458</c:v>
                      </c:pt>
                      <c:pt idx="65">
                        <c:v>32.586349824526458</c:v>
                      </c:pt>
                      <c:pt idx="66">
                        <c:v>32.586349824526458</c:v>
                      </c:pt>
                      <c:pt idx="67">
                        <c:v>32.586349824526458</c:v>
                      </c:pt>
                      <c:pt idx="68">
                        <c:v>32.586349824526458</c:v>
                      </c:pt>
                      <c:pt idx="69">
                        <c:v>32.586349824526458</c:v>
                      </c:pt>
                      <c:pt idx="70">
                        <c:v>32.586349824526458</c:v>
                      </c:pt>
                      <c:pt idx="71">
                        <c:v>32.586349824526458</c:v>
                      </c:pt>
                      <c:pt idx="72">
                        <c:v>32.586349824526458</c:v>
                      </c:pt>
                      <c:pt idx="73">
                        <c:v>32.586349824526458</c:v>
                      </c:pt>
                      <c:pt idx="74">
                        <c:v>32.586349824526458</c:v>
                      </c:pt>
                      <c:pt idx="75">
                        <c:v>32.586349824526458</c:v>
                      </c:pt>
                    </c:numCache>
                  </c:numRef>
                </c:val>
                <c:extLst>
                  <c:ext xmlns:c16="http://schemas.microsoft.com/office/drawing/2014/chart" uri="{C3380CC4-5D6E-409C-BE32-E72D297353CC}">
                    <c16:uniqueId val="{00000003-B3F3-45F4-9150-312517F475B8}"/>
                  </c:ext>
                </c:extLst>
              </c15:ser>
            </c15:filteredAreaSeries>
            <c15:filteredAreaSeries>
              <c15:ser>
                <c:idx val="4"/>
                <c:order val="3"/>
                <c:tx>
                  <c:strRef>
                    <c:extLst>
                      <c:ext xmlns:c15="http://schemas.microsoft.com/office/drawing/2012/chart" uri="{02D57815-91ED-43cb-92C2-25804820EDAC}">
                        <c15:formulaRef>
                          <c15:sqref>'Long-term Model Summary'!$J$12</c15:sqref>
                        </c15:formulaRef>
                      </c:ext>
                    </c:extLst>
                    <c:strCache>
                      <c:ptCount val="1"/>
                      <c:pt idx="0">
                        <c:v>Average yield per tree</c:v>
                      </c:pt>
                    </c:strCache>
                  </c:strRef>
                </c:tx>
                <c:spPr>
                  <a:solidFill>
                    <a:schemeClr val="accent5"/>
                  </a:solidFill>
                  <a:ln>
                    <a:noFill/>
                  </a:ln>
                  <a:effectLst/>
                </c:spPr>
                <c:cat>
                  <c:strRef>
                    <c:extLst>
                      <c:ext xmlns:c15="http://schemas.microsoft.com/office/drawing/2012/chart" uri="{02D57815-91ED-43cb-92C2-25804820EDAC}">
                        <c15:formulaRef>
                          <c15:sqref>'Long-term Model Summary'!$K$8:$CH$8</c15:sqref>
                        </c15:formulaRef>
                      </c:ext>
                    </c:extLst>
                    <c:strCache>
                      <c:ptCount val="76"/>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pt idx="50">
                        <c:v>Year 51</c:v>
                      </c:pt>
                      <c:pt idx="51">
                        <c:v>Year 52</c:v>
                      </c:pt>
                      <c:pt idx="52">
                        <c:v>Year 53</c:v>
                      </c:pt>
                      <c:pt idx="53">
                        <c:v>Year 54</c:v>
                      </c:pt>
                      <c:pt idx="54">
                        <c:v>Year 55</c:v>
                      </c:pt>
                      <c:pt idx="55">
                        <c:v>Year 56</c:v>
                      </c:pt>
                      <c:pt idx="56">
                        <c:v>Year 57</c:v>
                      </c:pt>
                      <c:pt idx="57">
                        <c:v>Year 58</c:v>
                      </c:pt>
                      <c:pt idx="58">
                        <c:v>Year 59</c:v>
                      </c:pt>
                      <c:pt idx="59">
                        <c:v>Year 60</c:v>
                      </c:pt>
                      <c:pt idx="60">
                        <c:v>Year 61</c:v>
                      </c:pt>
                      <c:pt idx="61">
                        <c:v>Year 62</c:v>
                      </c:pt>
                      <c:pt idx="62">
                        <c:v>Year 63</c:v>
                      </c:pt>
                      <c:pt idx="63">
                        <c:v>Year 64</c:v>
                      </c:pt>
                      <c:pt idx="64">
                        <c:v>Year 65</c:v>
                      </c:pt>
                      <c:pt idx="65">
                        <c:v>Year 66</c:v>
                      </c:pt>
                      <c:pt idx="66">
                        <c:v>Year 67</c:v>
                      </c:pt>
                      <c:pt idx="67">
                        <c:v>Year 68</c:v>
                      </c:pt>
                      <c:pt idx="68">
                        <c:v>Year 69</c:v>
                      </c:pt>
                      <c:pt idx="69">
                        <c:v>Year 70</c:v>
                      </c:pt>
                      <c:pt idx="70">
                        <c:v>Year 71</c:v>
                      </c:pt>
                      <c:pt idx="71">
                        <c:v>Year 72</c:v>
                      </c:pt>
                      <c:pt idx="72">
                        <c:v>Year 73</c:v>
                      </c:pt>
                      <c:pt idx="73">
                        <c:v>Year 74</c:v>
                      </c:pt>
                      <c:pt idx="74">
                        <c:v>Year 75</c:v>
                      </c:pt>
                      <c:pt idx="75">
                        <c:v>Year 76</c:v>
                      </c:pt>
                    </c:strCache>
                  </c:strRef>
                </c:cat>
                <c:val>
                  <c:numRef>
                    <c:extLst>
                      <c:ext xmlns:c15="http://schemas.microsoft.com/office/drawing/2012/chart" uri="{02D57815-91ED-43cb-92C2-25804820EDAC}">
                        <c15:formulaRef>
                          <c15:sqref>'Long-term Model Summary'!$K$12:$CH$12</c15:sqref>
                        </c15:formulaRef>
                      </c:ext>
                    </c:extLst>
                    <c:numCache>
                      <c:formatCode>0.0</c:formatCode>
                      <c:ptCount val="76"/>
                      <c:pt idx="0">
                        <c:v>0.54</c:v>
                      </c:pt>
                      <c:pt idx="1">
                        <c:v>0.7128000000000001</c:v>
                      </c:pt>
                      <c:pt idx="2">
                        <c:v>0.94089600000000018</c:v>
                      </c:pt>
                      <c:pt idx="3">
                        <c:v>1.2419827200000002</c:v>
                      </c:pt>
                      <c:pt idx="4">
                        <c:v>1.6394171904000003</c:v>
                      </c:pt>
                      <c:pt idx="5">
                        <c:v>2.1640306913280005</c:v>
                      </c:pt>
                      <c:pt idx="6">
                        <c:v>2.8565205125529607</c:v>
                      </c:pt>
                      <c:pt idx="7">
                        <c:v>3.7706070765699082</c:v>
                      </c:pt>
                      <c:pt idx="8">
                        <c:v>4.9772013410722789</c:v>
                      </c:pt>
                      <c:pt idx="9">
                        <c:v>6.5699057702154082</c:v>
                      </c:pt>
                      <c:pt idx="10">
                        <c:v>8.67227561668434</c:v>
                      </c:pt>
                      <c:pt idx="11">
                        <c:v>11.44740381402333</c:v>
                      </c:pt>
                      <c:pt idx="12">
                        <c:v>17.400053797315461</c:v>
                      </c:pt>
                      <c:pt idx="13">
                        <c:v>22.968071012456409</c:v>
                      </c:pt>
                      <c:pt idx="14">
                        <c:v>30.317853736442462</c:v>
                      </c:pt>
                      <c:pt idx="15">
                        <c:v>40.019566932104048</c:v>
                      </c:pt>
                      <c:pt idx="16">
                        <c:v>41.620349609388214</c:v>
                      </c:pt>
                      <c:pt idx="17">
                        <c:v>43.285163593763741</c:v>
                      </c:pt>
                      <c:pt idx="18">
                        <c:v>45.016570137514293</c:v>
                      </c:pt>
                      <c:pt idx="19">
                        <c:v>46.817232943014865</c:v>
                      </c:pt>
                      <c:pt idx="20">
                        <c:v>48.689922260735464</c:v>
                      </c:pt>
                      <c:pt idx="21">
                        <c:v>50.637519151164888</c:v>
                      </c:pt>
                      <c:pt idx="22">
                        <c:v>52.663019917211486</c:v>
                      </c:pt>
                      <c:pt idx="23">
                        <c:v>54.76954071389995</c:v>
                      </c:pt>
                      <c:pt idx="24">
                        <c:v>56.960322342455953</c:v>
                      </c:pt>
                      <c:pt idx="25">
                        <c:v>59.238735236154191</c:v>
                      </c:pt>
                      <c:pt idx="26">
                        <c:v>61.608284645600364</c:v>
                      </c:pt>
                      <c:pt idx="27">
                        <c:v>64.072616031424374</c:v>
                      </c:pt>
                      <c:pt idx="28">
                        <c:v>66.635520672681352</c:v>
                      </c:pt>
                      <c:pt idx="29">
                        <c:v>69.300941499588603</c:v>
                      </c:pt>
                      <c:pt idx="30">
                        <c:v>72.072979159572157</c:v>
                      </c:pt>
                      <c:pt idx="31">
                        <c:v>72.793708951167872</c:v>
                      </c:pt>
                      <c:pt idx="32">
                        <c:v>73.521646040679556</c:v>
                      </c:pt>
                      <c:pt idx="33">
                        <c:v>74.256862501086346</c:v>
                      </c:pt>
                      <c:pt idx="34">
                        <c:v>74.999431126097207</c:v>
                      </c:pt>
                      <c:pt idx="35">
                        <c:v>75.749425437358184</c:v>
                      </c:pt>
                      <c:pt idx="36">
                        <c:v>76.506919691731767</c:v>
                      </c:pt>
                      <c:pt idx="37">
                        <c:v>77.271988888649091</c:v>
                      </c:pt>
                      <c:pt idx="38">
                        <c:v>78.044708777535575</c:v>
                      </c:pt>
                      <c:pt idx="39">
                        <c:v>78.825155865310933</c:v>
                      </c:pt>
                      <c:pt idx="40">
                        <c:v>79.613407423964048</c:v>
                      </c:pt>
                      <c:pt idx="41">
                        <c:v>96.332222982996512</c:v>
                      </c:pt>
                      <c:pt idx="42">
                        <c:v>97.295545212826482</c:v>
                      </c:pt>
                      <c:pt idx="43">
                        <c:v>98.268500664954743</c:v>
                      </c:pt>
                      <c:pt idx="44">
                        <c:v>99.25118567160429</c:v>
                      </c:pt>
                      <c:pt idx="45">
                        <c:v>100.24369752832034</c:v>
                      </c:pt>
                      <c:pt idx="46">
                        <c:v>101.24613450360354</c:v>
                      </c:pt>
                      <c:pt idx="47">
                        <c:v>102.25859584863957</c:v>
                      </c:pt>
                      <c:pt idx="48">
                        <c:v>103.28118180712598</c:v>
                      </c:pt>
                      <c:pt idx="49">
                        <c:v>104.31399362519724</c:v>
                      </c:pt>
                      <c:pt idx="50">
                        <c:v>105.35713356144922</c:v>
                      </c:pt>
                      <c:pt idx="51">
                        <c:v>106.41070489706371</c:v>
                      </c:pt>
                      <c:pt idx="52">
                        <c:v>107.47481194603435</c:v>
                      </c:pt>
                      <c:pt idx="53">
                        <c:v>108.54956006549469</c:v>
                      </c:pt>
                      <c:pt idx="54">
                        <c:v>109.63505566614964</c:v>
                      </c:pt>
                      <c:pt idx="55">
                        <c:v>110.73140622281113</c:v>
                      </c:pt>
                      <c:pt idx="56">
                        <c:v>111.83872028503924</c:v>
                      </c:pt>
                      <c:pt idx="57">
                        <c:v>112.95710748788964</c:v>
                      </c:pt>
                      <c:pt idx="58">
                        <c:v>114.08667856276854</c:v>
                      </c:pt>
                      <c:pt idx="59">
                        <c:v>115.22754534839623</c:v>
                      </c:pt>
                      <c:pt idx="60">
                        <c:v>116.3798208018802</c:v>
                      </c:pt>
                      <c:pt idx="61">
                        <c:v>116.3798208018802</c:v>
                      </c:pt>
                      <c:pt idx="62">
                        <c:v>116.3798208018802</c:v>
                      </c:pt>
                      <c:pt idx="63">
                        <c:v>116.3798208018802</c:v>
                      </c:pt>
                      <c:pt idx="64">
                        <c:v>116.3798208018802</c:v>
                      </c:pt>
                      <c:pt idx="65">
                        <c:v>116.3798208018802</c:v>
                      </c:pt>
                      <c:pt idx="66">
                        <c:v>116.3798208018802</c:v>
                      </c:pt>
                      <c:pt idx="67">
                        <c:v>116.3798208018802</c:v>
                      </c:pt>
                      <c:pt idx="68">
                        <c:v>116.3798208018802</c:v>
                      </c:pt>
                      <c:pt idx="69">
                        <c:v>116.3798208018802</c:v>
                      </c:pt>
                      <c:pt idx="70">
                        <c:v>116.3798208018802</c:v>
                      </c:pt>
                      <c:pt idx="71">
                        <c:v>116.3798208018802</c:v>
                      </c:pt>
                      <c:pt idx="72">
                        <c:v>116.3798208018802</c:v>
                      </c:pt>
                      <c:pt idx="73">
                        <c:v>116.3798208018802</c:v>
                      </c:pt>
                      <c:pt idx="74">
                        <c:v>116.3798208018802</c:v>
                      </c:pt>
                      <c:pt idx="75">
                        <c:v>116.3798208018802</c:v>
                      </c:pt>
                    </c:numCache>
                  </c:numRef>
                </c:val>
                <c:extLst xmlns:c15="http://schemas.microsoft.com/office/drawing/2012/chart">
                  <c:ext xmlns:c16="http://schemas.microsoft.com/office/drawing/2014/chart" uri="{C3380CC4-5D6E-409C-BE32-E72D297353CC}">
                    <c16:uniqueId val="{00000005-B3F3-45F4-9150-312517F475B8}"/>
                  </c:ext>
                </c:extLst>
              </c15:ser>
            </c15:filteredAreaSeries>
            <c15:filteredAreaSeries>
              <c15:ser>
                <c:idx val="6"/>
                <c:order val="5"/>
                <c:tx>
                  <c:strRef>
                    <c:extLst>
                      <c:ext xmlns:c15="http://schemas.microsoft.com/office/drawing/2012/chart" uri="{02D57815-91ED-43cb-92C2-25804820EDAC}">
                        <c15:formulaRef>
                          <c15:sqref>'Long-term Model Summary'!$J$14</c15:sqref>
                        </c15:formulaRef>
                      </c:ext>
                    </c:extLst>
                    <c:strCache>
                      <c:ptCount val="1"/>
                      <c:pt idx="0">
                        <c:v>High yield per tree</c:v>
                      </c:pt>
                    </c:strCache>
                  </c:strRef>
                </c:tx>
                <c:spPr>
                  <a:solidFill>
                    <a:schemeClr val="accent1">
                      <a:lumMod val="60000"/>
                    </a:schemeClr>
                  </a:solidFill>
                  <a:ln>
                    <a:noFill/>
                  </a:ln>
                  <a:effectLst/>
                </c:spPr>
                <c:cat>
                  <c:strRef>
                    <c:extLst>
                      <c:ext xmlns:c15="http://schemas.microsoft.com/office/drawing/2012/chart" uri="{02D57815-91ED-43cb-92C2-25804820EDAC}">
                        <c15:formulaRef>
                          <c15:sqref>'Long-term Model Summary'!$K$8:$CH$8</c15:sqref>
                        </c15:formulaRef>
                      </c:ext>
                    </c:extLst>
                    <c:strCache>
                      <c:ptCount val="76"/>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pt idx="50">
                        <c:v>Year 51</c:v>
                      </c:pt>
                      <c:pt idx="51">
                        <c:v>Year 52</c:v>
                      </c:pt>
                      <c:pt idx="52">
                        <c:v>Year 53</c:v>
                      </c:pt>
                      <c:pt idx="53">
                        <c:v>Year 54</c:v>
                      </c:pt>
                      <c:pt idx="54">
                        <c:v>Year 55</c:v>
                      </c:pt>
                      <c:pt idx="55">
                        <c:v>Year 56</c:v>
                      </c:pt>
                      <c:pt idx="56">
                        <c:v>Year 57</c:v>
                      </c:pt>
                      <c:pt idx="57">
                        <c:v>Year 58</c:v>
                      </c:pt>
                      <c:pt idx="58">
                        <c:v>Year 59</c:v>
                      </c:pt>
                      <c:pt idx="59">
                        <c:v>Year 60</c:v>
                      </c:pt>
                      <c:pt idx="60">
                        <c:v>Year 61</c:v>
                      </c:pt>
                      <c:pt idx="61">
                        <c:v>Year 62</c:v>
                      </c:pt>
                      <c:pt idx="62">
                        <c:v>Year 63</c:v>
                      </c:pt>
                      <c:pt idx="63">
                        <c:v>Year 64</c:v>
                      </c:pt>
                      <c:pt idx="64">
                        <c:v>Year 65</c:v>
                      </c:pt>
                      <c:pt idx="65">
                        <c:v>Year 66</c:v>
                      </c:pt>
                      <c:pt idx="66">
                        <c:v>Year 67</c:v>
                      </c:pt>
                      <c:pt idx="67">
                        <c:v>Year 68</c:v>
                      </c:pt>
                      <c:pt idx="68">
                        <c:v>Year 69</c:v>
                      </c:pt>
                      <c:pt idx="69">
                        <c:v>Year 70</c:v>
                      </c:pt>
                      <c:pt idx="70">
                        <c:v>Year 71</c:v>
                      </c:pt>
                      <c:pt idx="71">
                        <c:v>Year 72</c:v>
                      </c:pt>
                      <c:pt idx="72">
                        <c:v>Year 73</c:v>
                      </c:pt>
                      <c:pt idx="73">
                        <c:v>Year 74</c:v>
                      </c:pt>
                      <c:pt idx="74">
                        <c:v>Year 75</c:v>
                      </c:pt>
                      <c:pt idx="75">
                        <c:v>Year 76</c:v>
                      </c:pt>
                    </c:strCache>
                  </c:strRef>
                </c:cat>
                <c:val>
                  <c:numRef>
                    <c:extLst>
                      <c:ext xmlns:c15="http://schemas.microsoft.com/office/drawing/2012/chart" uri="{02D57815-91ED-43cb-92C2-25804820EDAC}">
                        <c15:formulaRef>
                          <c15:sqref>'Long-term Model Summary'!$K$14:$CH$14</c15:sqref>
                        </c15:formulaRef>
                      </c:ext>
                    </c:extLst>
                    <c:numCache>
                      <c:formatCode>0.0</c:formatCode>
                      <c:ptCount val="76"/>
                      <c:pt idx="0">
                        <c:v>0.92880000000000007</c:v>
                      </c:pt>
                      <c:pt idx="1">
                        <c:v>1.2260160000000002</c:v>
                      </c:pt>
                      <c:pt idx="2">
                        <c:v>1.6183411200000002</c:v>
                      </c:pt>
                      <c:pt idx="3">
                        <c:v>2.1362102784000001</c:v>
                      </c:pt>
                      <c:pt idx="4">
                        <c:v>2.8197975674880005</c:v>
                      </c:pt>
                      <c:pt idx="5">
                        <c:v>3.7221327890841609</c:v>
                      </c:pt>
                      <c:pt idx="6">
                        <c:v>4.9132152815910919</c:v>
                      </c:pt>
                      <c:pt idx="7">
                        <c:v>6.4854441717002418</c:v>
                      </c:pt>
                      <c:pt idx="8">
                        <c:v>8.5607863066443191</c:v>
                      </c:pt>
                      <c:pt idx="9">
                        <c:v>11.300237924770501</c:v>
                      </c:pt>
                      <c:pt idx="10">
                        <c:v>14.916314060697065</c:v>
                      </c:pt>
                      <c:pt idx="11">
                        <c:v>19.689534560120126</c:v>
                      </c:pt>
                      <c:pt idx="12">
                        <c:v>29.928092531382593</c:v>
                      </c:pt>
                      <c:pt idx="13">
                        <c:v>39.505082141425021</c:v>
                      </c:pt>
                      <c:pt idx="14">
                        <c:v>52.146708426681037</c:v>
                      </c:pt>
                      <c:pt idx="15">
                        <c:v>68.833655123218961</c:v>
                      </c:pt>
                      <c:pt idx="16">
                        <c:v>71.587001328147721</c:v>
                      </c:pt>
                      <c:pt idx="17">
                        <c:v>74.450481381273633</c:v>
                      </c:pt>
                      <c:pt idx="18">
                        <c:v>77.428500636524589</c:v>
                      </c:pt>
                      <c:pt idx="19">
                        <c:v>80.525640661985562</c:v>
                      </c:pt>
                      <c:pt idx="20">
                        <c:v>83.746666288464993</c:v>
                      </c:pt>
                      <c:pt idx="21">
                        <c:v>87.096532940003613</c:v>
                      </c:pt>
                      <c:pt idx="22">
                        <c:v>90.580394257603757</c:v>
                      </c:pt>
                      <c:pt idx="23">
                        <c:v>94.203610027907914</c:v>
                      </c:pt>
                      <c:pt idx="24">
                        <c:v>97.971754429024244</c:v>
                      </c:pt>
                      <c:pt idx="25">
                        <c:v>101.89062460618521</c:v>
                      </c:pt>
                      <c:pt idx="26">
                        <c:v>105.96624959043262</c:v>
                      </c:pt>
                      <c:pt idx="27">
                        <c:v>110.20489957404992</c:v>
                      </c:pt>
                      <c:pt idx="28">
                        <c:v>114.61309555701192</c:v>
                      </c:pt>
                      <c:pt idx="29">
                        <c:v>119.19761937929239</c:v>
                      </c:pt>
                      <c:pt idx="30">
                        <c:v>123.96552415446411</c:v>
                      </c:pt>
                      <c:pt idx="31">
                        <c:v>125.20517939600875</c:v>
                      </c:pt>
                      <c:pt idx="32">
                        <c:v>126.45723118996884</c:v>
                      </c:pt>
                      <c:pt idx="33">
                        <c:v>127.72180350186851</c:v>
                      </c:pt>
                      <c:pt idx="34">
                        <c:v>128.9990215368872</c:v>
                      </c:pt>
                      <c:pt idx="35">
                        <c:v>130.28901175225607</c:v>
                      </c:pt>
                      <c:pt idx="36">
                        <c:v>131.59190186977864</c:v>
                      </c:pt>
                      <c:pt idx="37">
                        <c:v>132.90782088847644</c:v>
                      </c:pt>
                      <c:pt idx="38">
                        <c:v>134.23689909736117</c:v>
                      </c:pt>
                      <c:pt idx="39">
                        <c:v>135.5792680883348</c:v>
                      </c:pt>
                      <c:pt idx="40">
                        <c:v>136.93506076921815</c:v>
                      </c:pt>
                      <c:pt idx="41">
                        <c:v>165.69142353075401</c:v>
                      </c:pt>
                      <c:pt idx="42">
                        <c:v>167.34833776606155</c:v>
                      </c:pt>
                      <c:pt idx="43">
                        <c:v>169.02182114372215</c:v>
                      </c:pt>
                      <c:pt idx="44">
                        <c:v>170.71203935515936</c:v>
                      </c:pt>
                      <c:pt idx="45">
                        <c:v>172.41915974871097</c:v>
                      </c:pt>
                      <c:pt idx="46">
                        <c:v>174.1433513461981</c:v>
                      </c:pt>
                      <c:pt idx="47">
                        <c:v>175.88478485966007</c:v>
                      </c:pt>
                      <c:pt idx="48">
                        <c:v>177.64363270825666</c:v>
                      </c:pt>
                      <c:pt idx="49">
                        <c:v>179.42006903533925</c:v>
                      </c:pt>
                      <c:pt idx="50">
                        <c:v>181.21426972569265</c:v>
                      </c:pt>
                      <c:pt idx="51">
                        <c:v>183.02641242294959</c:v>
                      </c:pt>
                      <c:pt idx="52">
                        <c:v>184.85667654717909</c:v>
                      </c:pt>
                      <c:pt idx="53">
                        <c:v>186.70524331265085</c:v>
                      </c:pt>
                      <c:pt idx="54">
                        <c:v>188.57229574577738</c:v>
                      </c:pt>
                      <c:pt idx="55">
                        <c:v>190.45801870323515</c:v>
                      </c:pt>
                      <c:pt idx="56">
                        <c:v>192.36259889026749</c:v>
                      </c:pt>
                      <c:pt idx="57">
                        <c:v>194.28622487917019</c:v>
                      </c:pt>
                      <c:pt idx="58">
                        <c:v>196.22908712796189</c:v>
                      </c:pt>
                      <c:pt idx="59">
                        <c:v>198.19137799924152</c:v>
                      </c:pt>
                      <c:pt idx="60">
                        <c:v>200.17329177923395</c:v>
                      </c:pt>
                      <c:pt idx="61">
                        <c:v>200.17329177923395</c:v>
                      </c:pt>
                      <c:pt idx="62">
                        <c:v>200.17329177923395</c:v>
                      </c:pt>
                      <c:pt idx="63">
                        <c:v>200.17329177923395</c:v>
                      </c:pt>
                      <c:pt idx="64">
                        <c:v>200.17329177923395</c:v>
                      </c:pt>
                      <c:pt idx="65">
                        <c:v>200.17329177923395</c:v>
                      </c:pt>
                      <c:pt idx="66">
                        <c:v>200.17329177923395</c:v>
                      </c:pt>
                      <c:pt idx="67">
                        <c:v>200.17329177923395</c:v>
                      </c:pt>
                      <c:pt idx="68">
                        <c:v>200.17329177923395</c:v>
                      </c:pt>
                      <c:pt idx="69">
                        <c:v>200.17329177923395</c:v>
                      </c:pt>
                      <c:pt idx="70">
                        <c:v>200.17329177923395</c:v>
                      </c:pt>
                      <c:pt idx="71">
                        <c:v>200.17329177923395</c:v>
                      </c:pt>
                      <c:pt idx="72">
                        <c:v>200.17329177923395</c:v>
                      </c:pt>
                      <c:pt idx="73">
                        <c:v>200.17329177923395</c:v>
                      </c:pt>
                      <c:pt idx="74">
                        <c:v>200.17329177923395</c:v>
                      </c:pt>
                      <c:pt idx="75">
                        <c:v>200.17329177923395</c:v>
                      </c:pt>
                    </c:numCache>
                  </c:numRef>
                </c:val>
                <c:extLst xmlns:c15="http://schemas.microsoft.com/office/drawing/2012/chart">
                  <c:ext xmlns:c16="http://schemas.microsoft.com/office/drawing/2014/chart" uri="{C3380CC4-5D6E-409C-BE32-E72D297353CC}">
                    <c16:uniqueId val="{00000001-B3F3-45F4-9150-312517F475B8}"/>
                  </c:ext>
                </c:extLst>
              </c15:ser>
            </c15:filteredAreaSeries>
          </c:ext>
        </c:extLst>
      </c:areaChart>
      <c:lineChart>
        <c:grouping val="standard"/>
        <c:varyColors val="0"/>
        <c:ser>
          <c:idx val="7"/>
          <c:order val="7"/>
          <c:tx>
            <c:strRef>
              <c:f>'Long-term Model Summary'!$J$16</c:f>
              <c:strCache>
                <c:ptCount val="1"/>
                <c:pt idx="0">
                  <c:v>Trees in production</c:v>
                </c:pt>
              </c:strCache>
            </c:strRef>
          </c:tx>
          <c:spPr>
            <a:ln w="28575" cap="rnd">
              <a:solidFill>
                <a:schemeClr val="accent2">
                  <a:lumMod val="60000"/>
                </a:schemeClr>
              </a:solidFill>
              <a:round/>
            </a:ln>
            <a:effectLst/>
          </c:spPr>
          <c:marker>
            <c:symbol val="none"/>
          </c:marker>
          <c:cat>
            <c:strRef>
              <c:f>'Long-term Model Summary'!$K$8:$CH$8</c:f>
              <c:strCache>
                <c:ptCount val="76"/>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pt idx="50">
                  <c:v>Year 51</c:v>
                </c:pt>
                <c:pt idx="51">
                  <c:v>Year 52</c:v>
                </c:pt>
                <c:pt idx="52">
                  <c:v>Year 53</c:v>
                </c:pt>
                <c:pt idx="53">
                  <c:v>Year 54</c:v>
                </c:pt>
                <c:pt idx="54">
                  <c:v>Year 55</c:v>
                </c:pt>
                <c:pt idx="55">
                  <c:v>Year 56</c:v>
                </c:pt>
                <c:pt idx="56">
                  <c:v>Year 57</c:v>
                </c:pt>
                <c:pt idx="57">
                  <c:v>Year 58</c:v>
                </c:pt>
                <c:pt idx="58">
                  <c:v>Year 59</c:v>
                </c:pt>
                <c:pt idx="59">
                  <c:v>Year 60</c:v>
                </c:pt>
                <c:pt idx="60">
                  <c:v>Year 61</c:v>
                </c:pt>
                <c:pt idx="61">
                  <c:v>Year 62</c:v>
                </c:pt>
                <c:pt idx="62">
                  <c:v>Year 63</c:v>
                </c:pt>
                <c:pt idx="63">
                  <c:v>Year 64</c:v>
                </c:pt>
                <c:pt idx="64">
                  <c:v>Year 65</c:v>
                </c:pt>
                <c:pt idx="65">
                  <c:v>Year 66</c:v>
                </c:pt>
                <c:pt idx="66">
                  <c:v>Year 67</c:v>
                </c:pt>
                <c:pt idx="67">
                  <c:v>Year 68</c:v>
                </c:pt>
                <c:pt idx="68">
                  <c:v>Year 69</c:v>
                </c:pt>
                <c:pt idx="69">
                  <c:v>Year 70</c:v>
                </c:pt>
                <c:pt idx="70">
                  <c:v>Year 71</c:v>
                </c:pt>
                <c:pt idx="71">
                  <c:v>Year 72</c:v>
                </c:pt>
                <c:pt idx="72">
                  <c:v>Year 73</c:v>
                </c:pt>
                <c:pt idx="73">
                  <c:v>Year 74</c:v>
                </c:pt>
                <c:pt idx="74">
                  <c:v>Year 75</c:v>
                </c:pt>
                <c:pt idx="75">
                  <c:v>Year 76</c:v>
                </c:pt>
              </c:strCache>
            </c:strRef>
          </c:cat>
          <c:val>
            <c:numRef>
              <c:f>'Long-term Model Summary'!$K$16:$CH$16</c:f>
              <c:numCache>
                <c:formatCode>0</c:formatCode>
                <c:ptCount val="76"/>
                <c:pt idx="0">
                  <c:v>540</c:v>
                </c:pt>
                <c:pt idx="1">
                  <c:v>540</c:v>
                </c:pt>
                <c:pt idx="2">
                  <c:v>540</c:v>
                </c:pt>
                <c:pt idx="3">
                  <c:v>540</c:v>
                </c:pt>
                <c:pt idx="4">
                  <c:v>540</c:v>
                </c:pt>
                <c:pt idx="5">
                  <c:v>540</c:v>
                </c:pt>
                <c:pt idx="6">
                  <c:v>540</c:v>
                </c:pt>
                <c:pt idx="7">
                  <c:v>540</c:v>
                </c:pt>
                <c:pt idx="8">
                  <c:v>540</c:v>
                </c:pt>
                <c:pt idx="9">
                  <c:v>540</c:v>
                </c:pt>
                <c:pt idx="10">
                  <c:v>540</c:v>
                </c:pt>
                <c:pt idx="11">
                  <c:v>540</c:v>
                </c:pt>
                <c:pt idx="12">
                  <c:v>360</c:v>
                </c:pt>
                <c:pt idx="13">
                  <c:v>360</c:v>
                </c:pt>
                <c:pt idx="14">
                  <c:v>360</c:v>
                </c:pt>
                <c:pt idx="15">
                  <c:v>360</c:v>
                </c:pt>
                <c:pt idx="16">
                  <c:v>360</c:v>
                </c:pt>
                <c:pt idx="17">
                  <c:v>360</c:v>
                </c:pt>
                <c:pt idx="18">
                  <c:v>360</c:v>
                </c:pt>
                <c:pt idx="19">
                  <c:v>360</c:v>
                </c:pt>
                <c:pt idx="20">
                  <c:v>360</c:v>
                </c:pt>
                <c:pt idx="21">
                  <c:v>360</c:v>
                </c:pt>
                <c:pt idx="22">
                  <c:v>360</c:v>
                </c:pt>
                <c:pt idx="23">
                  <c:v>360</c:v>
                </c:pt>
                <c:pt idx="24">
                  <c:v>360</c:v>
                </c:pt>
                <c:pt idx="25">
                  <c:v>360</c:v>
                </c:pt>
                <c:pt idx="26">
                  <c:v>360</c:v>
                </c:pt>
                <c:pt idx="27">
                  <c:v>360</c:v>
                </c:pt>
                <c:pt idx="28">
                  <c:v>360</c:v>
                </c:pt>
                <c:pt idx="29">
                  <c:v>360</c:v>
                </c:pt>
                <c:pt idx="30">
                  <c:v>360</c:v>
                </c:pt>
                <c:pt idx="31">
                  <c:v>360</c:v>
                </c:pt>
                <c:pt idx="32">
                  <c:v>360</c:v>
                </c:pt>
                <c:pt idx="33">
                  <c:v>360</c:v>
                </c:pt>
                <c:pt idx="34">
                  <c:v>360</c:v>
                </c:pt>
                <c:pt idx="35">
                  <c:v>360</c:v>
                </c:pt>
                <c:pt idx="36">
                  <c:v>360</c:v>
                </c:pt>
                <c:pt idx="37">
                  <c:v>360</c:v>
                </c:pt>
                <c:pt idx="38">
                  <c:v>360</c:v>
                </c:pt>
                <c:pt idx="39">
                  <c:v>360</c:v>
                </c:pt>
                <c:pt idx="40">
                  <c:v>360</c:v>
                </c:pt>
                <c:pt idx="41">
                  <c:v>270</c:v>
                </c:pt>
                <c:pt idx="42">
                  <c:v>270</c:v>
                </c:pt>
                <c:pt idx="43">
                  <c:v>270</c:v>
                </c:pt>
                <c:pt idx="44">
                  <c:v>270</c:v>
                </c:pt>
                <c:pt idx="45">
                  <c:v>270</c:v>
                </c:pt>
                <c:pt idx="46">
                  <c:v>270</c:v>
                </c:pt>
                <c:pt idx="47">
                  <c:v>270</c:v>
                </c:pt>
                <c:pt idx="48">
                  <c:v>270</c:v>
                </c:pt>
                <c:pt idx="49">
                  <c:v>270</c:v>
                </c:pt>
                <c:pt idx="50">
                  <c:v>270</c:v>
                </c:pt>
                <c:pt idx="51">
                  <c:v>270</c:v>
                </c:pt>
                <c:pt idx="52">
                  <c:v>270</c:v>
                </c:pt>
                <c:pt idx="53">
                  <c:v>270</c:v>
                </c:pt>
                <c:pt idx="54">
                  <c:v>270</c:v>
                </c:pt>
                <c:pt idx="55">
                  <c:v>270</c:v>
                </c:pt>
                <c:pt idx="56">
                  <c:v>270</c:v>
                </c:pt>
                <c:pt idx="57">
                  <c:v>270</c:v>
                </c:pt>
                <c:pt idx="58">
                  <c:v>270</c:v>
                </c:pt>
                <c:pt idx="59">
                  <c:v>270</c:v>
                </c:pt>
                <c:pt idx="60">
                  <c:v>270</c:v>
                </c:pt>
                <c:pt idx="61">
                  <c:v>270</c:v>
                </c:pt>
                <c:pt idx="62">
                  <c:v>270</c:v>
                </c:pt>
                <c:pt idx="63">
                  <c:v>270</c:v>
                </c:pt>
                <c:pt idx="64">
                  <c:v>270</c:v>
                </c:pt>
                <c:pt idx="65">
                  <c:v>270</c:v>
                </c:pt>
                <c:pt idx="66">
                  <c:v>270</c:v>
                </c:pt>
                <c:pt idx="67">
                  <c:v>270</c:v>
                </c:pt>
                <c:pt idx="68">
                  <c:v>270</c:v>
                </c:pt>
                <c:pt idx="69">
                  <c:v>270</c:v>
                </c:pt>
                <c:pt idx="70">
                  <c:v>270</c:v>
                </c:pt>
                <c:pt idx="71">
                  <c:v>270</c:v>
                </c:pt>
                <c:pt idx="72">
                  <c:v>270</c:v>
                </c:pt>
                <c:pt idx="73">
                  <c:v>270</c:v>
                </c:pt>
                <c:pt idx="74">
                  <c:v>270</c:v>
                </c:pt>
                <c:pt idx="75">
                  <c:v>270</c:v>
                </c:pt>
              </c:numCache>
            </c:numRef>
          </c:val>
          <c:smooth val="0"/>
          <c:extLst>
            <c:ext xmlns:c16="http://schemas.microsoft.com/office/drawing/2014/chart" uri="{C3380CC4-5D6E-409C-BE32-E72D297353CC}">
              <c16:uniqueId val="{00000007-B3F3-45F4-9150-312517F475B8}"/>
            </c:ext>
          </c:extLst>
        </c:ser>
        <c:dLbls>
          <c:showLegendKey val="0"/>
          <c:showVal val="0"/>
          <c:showCatName val="0"/>
          <c:showSerName val="0"/>
          <c:showPercent val="0"/>
          <c:showBubbleSize val="0"/>
        </c:dLbls>
        <c:marker val="1"/>
        <c:smooth val="0"/>
        <c:axId val="1076313104"/>
        <c:axId val="1076298224"/>
        <c:extLst>
          <c:ext xmlns:c15="http://schemas.microsoft.com/office/drawing/2012/chart" uri="{02D57815-91ED-43cb-92C2-25804820EDAC}">
            <c15:filteredLineSeries>
              <c15:ser>
                <c:idx val="1"/>
                <c:order val="0"/>
                <c:tx>
                  <c:strRef>
                    <c:extLst>
                      <c:ext uri="{02D57815-91ED-43cb-92C2-25804820EDAC}">
                        <c15:formulaRef>
                          <c15:sqref>'Long-term Model Summary'!$J$9</c15:sqref>
                        </c15:formulaRef>
                      </c:ext>
                    </c:extLst>
                    <c:strCache>
                      <c:ptCount val="1"/>
                    </c:strCache>
                  </c:strRef>
                </c:tx>
                <c:spPr>
                  <a:ln w="28575" cap="rnd">
                    <a:solidFill>
                      <a:schemeClr val="accent2"/>
                    </a:solidFill>
                    <a:round/>
                  </a:ln>
                  <a:effectLst/>
                </c:spPr>
                <c:marker>
                  <c:symbol val="none"/>
                </c:marker>
                <c:cat>
                  <c:strRef>
                    <c:extLst>
                      <c:ext uri="{02D57815-91ED-43cb-92C2-25804820EDAC}">
                        <c15:formulaRef>
                          <c15:sqref>'Long-term Model Summary'!$K$8:$CH$8</c15:sqref>
                        </c15:formulaRef>
                      </c:ext>
                    </c:extLst>
                    <c:strCache>
                      <c:ptCount val="76"/>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pt idx="50">
                        <c:v>Year 51</c:v>
                      </c:pt>
                      <c:pt idx="51">
                        <c:v>Year 52</c:v>
                      </c:pt>
                      <c:pt idx="52">
                        <c:v>Year 53</c:v>
                      </c:pt>
                      <c:pt idx="53">
                        <c:v>Year 54</c:v>
                      </c:pt>
                      <c:pt idx="54">
                        <c:v>Year 55</c:v>
                      </c:pt>
                      <c:pt idx="55">
                        <c:v>Year 56</c:v>
                      </c:pt>
                      <c:pt idx="56">
                        <c:v>Year 57</c:v>
                      </c:pt>
                      <c:pt idx="57">
                        <c:v>Year 58</c:v>
                      </c:pt>
                      <c:pt idx="58">
                        <c:v>Year 59</c:v>
                      </c:pt>
                      <c:pt idx="59">
                        <c:v>Year 60</c:v>
                      </c:pt>
                      <c:pt idx="60">
                        <c:v>Year 61</c:v>
                      </c:pt>
                      <c:pt idx="61">
                        <c:v>Year 62</c:v>
                      </c:pt>
                      <c:pt idx="62">
                        <c:v>Year 63</c:v>
                      </c:pt>
                      <c:pt idx="63">
                        <c:v>Year 64</c:v>
                      </c:pt>
                      <c:pt idx="64">
                        <c:v>Year 65</c:v>
                      </c:pt>
                      <c:pt idx="65">
                        <c:v>Year 66</c:v>
                      </c:pt>
                      <c:pt idx="66">
                        <c:v>Year 67</c:v>
                      </c:pt>
                      <c:pt idx="67">
                        <c:v>Year 68</c:v>
                      </c:pt>
                      <c:pt idx="68">
                        <c:v>Year 69</c:v>
                      </c:pt>
                      <c:pt idx="69">
                        <c:v>Year 70</c:v>
                      </c:pt>
                      <c:pt idx="70">
                        <c:v>Year 71</c:v>
                      </c:pt>
                      <c:pt idx="71">
                        <c:v>Year 72</c:v>
                      </c:pt>
                      <c:pt idx="72">
                        <c:v>Year 73</c:v>
                      </c:pt>
                      <c:pt idx="73">
                        <c:v>Year 74</c:v>
                      </c:pt>
                      <c:pt idx="74">
                        <c:v>Year 75</c:v>
                      </c:pt>
                      <c:pt idx="75">
                        <c:v>Year 76</c:v>
                      </c:pt>
                    </c:strCache>
                  </c:strRef>
                </c:cat>
                <c:val>
                  <c:numRef>
                    <c:extLst>
                      <c:ext uri="{02D57815-91ED-43cb-92C2-25804820EDAC}">
                        <c15:formulaRef>
                          <c15:sqref>'Long-term Model Summary'!$K$9:$CH$9</c15:sqref>
                        </c15:formulaRef>
                      </c:ext>
                    </c:extLst>
                    <c:numCache>
                      <c:formatCode>General</c:formatCode>
                      <c:ptCount val="7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formatCode="0">
                        <c:v>2051</c:v>
                      </c:pt>
                      <c:pt idx="27" formatCode="0">
                        <c:v>2052</c:v>
                      </c:pt>
                      <c:pt idx="28" formatCode="0">
                        <c:v>2053</c:v>
                      </c:pt>
                      <c:pt idx="29" formatCode="0">
                        <c:v>2054</c:v>
                      </c:pt>
                      <c:pt idx="30" formatCode="0">
                        <c:v>2055</c:v>
                      </c:pt>
                      <c:pt idx="31" formatCode="0">
                        <c:v>2056</c:v>
                      </c:pt>
                      <c:pt idx="32" formatCode="0">
                        <c:v>2057</c:v>
                      </c:pt>
                      <c:pt idx="33" formatCode="0">
                        <c:v>2058</c:v>
                      </c:pt>
                      <c:pt idx="34" formatCode="0">
                        <c:v>2059</c:v>
                      </c:pt>
                      <c:pt idx="35" formatCode="0">
                        <c:v>2060</c:v>
                      </c:pt>
                      <c:pt idx="36" formatCode="0">
                        <c:v>2061</c:v>
                      </c:pt>
                      <c:pt idx="37" formatCode="0">
                        <c:v>2062</c:v>
                      </c:pt>
                      <c:pt idx="38" formatCode="0">
                        <c:v>2063</c:v>
                      </c:pt>
                      <c:pt idx="39" formatCode="0">
                        <c:v>2064</c:v>
                      </c:pt>
                      <c:pt idx="40" formatCode="0">
                        <c:v>2065</c:v>
                      </c:pt>
                      <c:pt idx="41" formatCode="0">
                        <c:v>2066</c:v>
                      </c:pt>
                      <c:pt idx="42" formatCode="0">
                        <c:v>2067</c:v>
                      </c:pt>
                      <c:pt idx="43" formatCode="0">
                        <c:v>2068</c:v>
                      </c:pt>
                      <c:pt idx="44" formatCode="0">
                        <c:v>2069</c:v>
                      </c:pt>
                      <c:pt idx="45" formatCode="0">
                        <c:v>2070</c:v>
                      </c:pt>
                      <c:pt idx="46" formatCode="0">
                        <c:v>2071</c:v>
                      </c:pt>
                      <c:pt idx="47" formatCode="0">
                        <c:v>2072</c:v>
                      </c:pt>
                      <c:pt idx="48" formatCode="0">
                        <c:v>2073</c:v>
                      </c:pt>
                      <c:pt idx="49" formatCode="0">
                        <c:v>2074</c:v>
                      </c:pt>
                      <c:pt idx="50" formatCode="0">
                        <c:v>2075</c:v>
                      </c:pt>
                      <c:pt idx="51" formatCode="0">
                        <c:v>2076</c:v>
                      </c:pt>
                      <c:pt idx="52" formatCode="0">
                        <c:v>2077</c:v>
                      </c:pt>
                      <c:pt idx="53" formatCode="0">
                        <c:v>2078</c:v>
                      </c:pt>
                      <c:pt idx="54" formatCode="0">
                        <c:v>2079</c:v>
                      </c:pt>
                      <c:pt idx="55" formatCode="0">
                        <c:v>2080</c:v>
                      </c:pt>
                      <c:pt idx="56" formatCode="0">
                        <c:v>2081</c:v>
                      </c:pt>
                      <c:pt idx="57" formatCode="0">
                        <c:v>2082</c:v>
                      </c:pt>
                      <c:pt idx="58" formatCode="0">
                        <c:v>2083</c:v>
                      </c:pt>
                      <c:pt idx="59" formatCode="0">
                        <c:v>2084</c:v>
                      </c:pt>
                      <c:pt idx="60" formatCode="0">
                        <c:v>2085</c:v>
                      </c:pt>
                      <c:pt idx="61" formatCode="0">
                        <c:v>2086</c:v>
                      </c:pt>
                      <c:pt idx="62" formatCode="0">
                        <c:v>2087</c:v>
                      </c:pt>
                      <c:pt idx="63" formatCode="0">
                        <c:v>2088</c:v>
                      </c:pt>
                      <c:pt idx="64" formatCode="0">
                        <c:v>2089</c:v>
                      </c:pt>
                      <c:pt idx="65" formatCode="0">
                        <c:v>2090</c:v>
                      </c:pt>
                      <c:pt idx="66" formatCode="0">
                        <c:v>2091</c:v>
                      </c:pt>
                      <c:pt idx="67" formatCode="0">
                        <c:v>2092</c:v>
                      </c:pt>
                      <c:pt idx="68" formatCode="0">
                        <c:v>2093</c:v>
                      </c:pt>
                      <c:pt idx="69" formatCode="0">
                        <c:v>2094</c:v>
                      </c:pt>
                      <c:pt idx="70" formatCode="0">
                        <c:v>2095</c:v>
                      </c:pt>
                      <c:pt idx="71" formatCode="0">
                        <c:v>2096</c:v>
                      </c:pt>
                      <c:pt idx="72" formatCode="0">
                        <c:v>2097</c:v>
                      </c:pt>
                      <c:pt idx="73" formatCode="0">
                        <c:v>2098</c:v>
                      </c:pt>
                      <c:pt idx="74" formatCode="0">
                        <c:v>2099</c:v>
                      </c:pt>
                      <c:pt idx="75" formatCode="0">
                        <c:v>2100</c:v>
                      </c:pt>
                    </c:numCache>
                  </c:numRef>
                </c:val>
                <c:smooth val="0"/>
                <c:extLst>
                  <c:ext xmlns:c16="http://schemas.microsoft.com/office/drawing/2014/chart" uri="{C3380CC4-5D6E-409C-BE32-E72D297353CC}">
                    <c16:uniqueId val="{00000002-B3F3-45F4-9150-312517F475B8}"/>
                  </c:ext>
                </c:extLst>
              </c15:ser>
            </c15:filteredLineSeries>
          </c:ext>
        </c:extLst>
      </c:lineChart>
      <c:catAx>
        <c:axId val="1967722879"/>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67719999"/>
        <c:crosses val="autoZero"/>
        <c:auto val="1"/>
        <c:lblAlgn val="ctr"/>
        <c:lblOffset val="0"/>
        <c:noMultiLvlLbl val="0"/>
      </c:catAx>
      <c:valAx>
        <c:axId val="1967719999"/>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67722879"/>
        <c:crossesAt val="0"/>
        <c:crossBetween val="between"/>
      </c:valAx>
      <c:valAx>
        <c:axId val="1076298224"/>
        <c:scaling>
          <c:orientation val="minMax"/>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baseline="0"/>
                  <a:t>Total pecan yield, pounds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076313104"/>
        <c:crosses val="max"/>
        <c:crossBetween val="between"/>
      </c:valAx>
      <c:catAx>
        <c:axId val="1076313104"/>
        <c:scaling>
          <c:orientation val="minMax"/>
        </c:scaling>
        <c:delete val="1"/>
        <c:axPos val="b"/>
        <c:numFmt formatCode="General" sourceLinked="1"/>
        <c:majorTickMark val="out"/>
        <c:minorTickMark val="none"/>
        <c:tickLblPos val="nextTo"/>
        <c:crossAx val="107629822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3</xdr:col>
      <xdr:colOff>4267200</xdr:colOff>
      <xdr:row>3</xdr:row>
      <xdr:rowOff>187675</xdr:rowOff>
    </xdr:from>
    <xdr:ext cx="2292350" cy="717775"/>
    <xdr:pic>
      <xdr:nvPicPr>
        <xdr:cNvPr id="2" name="Picture 1" descr="MU Extension logo">
          <a:extLst>
            <a:ext uri="{FF2B5EF4-FFF2-40B4-BE49-F238E27FC236}">
              <a16:creationId xmlns:a16="http://schemas.microsoft.com/office/drawing/2014/main" id="{80C18D41-A3FC-4FE1-988F-CDDCF6121E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24575" y="863950"/>
          <a:ext cx="2292350" cy="7177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47625</xdr:colOff>
      <xdr:row>12</xdr:row>
      <xdr:rowOff>176211</xdr:rowOff>
    </xdr:from>
    <xdr:to>
      <xdr:col>8</xdr:col>
      <xdr:colOff>590549</xdr:colOff>
      <xdr:row>35</xdr:row>
      <xdr:rowOff>66674</xdr:rowOff>
    </xdr:to>
    <xdr:graphicFrame macro="">
      <xdr:nvGraphicFramePr>
        <xdr:cNvPr id="183" name="Chart 1" descr="This graph shows the changes in total costs and net income experienced by the operation over time. Total costs rise generally with yield with spikes occuring on years thinning is performed. Net income rises as yields increase over time. ">
          <a:extLst>
            <a:ext uri="{FF2B5EF4-FFF2-40B4-BE49-F238E27FC236}">
              <a16:creationId xmlns:a16="http://schemas.microsoft.com/office/drawing/2014/main" id="{BBE98F30-CF6D-5084-140D-EAB3C7A724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36</xdr:row>
      <xdr:rowOff>38100</xdr:rowOff>
    </xdr:from>
    <xdr:to>
      <xdr:col>8</xdr:col>
      <xdr:colOff>571500</xdr:colOff>
      <xdr:row>56</xdr:row>
      <xdr:rowOff>157163</xdr:rowOff>
    </xdr:to>
    <xdr:graphicFrame macro="">
      <xdr:nvGraphicFramePr>
        <xdr:cNvPr id="182" name="Chart 2" descr="This line graph shows the change in total costs and returns to pecans as yield changes. Generally, income closely tracks yield and costs increase at a slower rate.">
          <a:extLst>
            <a:ext uri="{FF2B5EF4-FFF2-40B4-BE49-F238E27FC236}">
              <a16:creationId xmlns:a16="http://schemas.microsoft.com/office/drawing/2014/main" id="{12EBEEBB-0758-4DAD-B67B-188B003457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1457325</xdr:colOff>
      <xdr:row>80</xdr:row>
      <xdr:rowOff>66675</xdr:rowOff>
    </xdr:from>
    <xdr:to>
      <xdr:col>21</xdr:col>
      <xdr:colOff>685799</xdr:colOff>
      <xdr:row>100</xdr:row>
      <xdr:rowOff>185738</xdr:rowOff>
    </xdr:to>
    <xdr:graphicFrame macro="">
      <xdr:nvGraphicFramePr>
        <xdr:cNvPr id="5" name="Chart 4" descr="Table showing changes in pecan production per tree and for the operation over time. Used in calculations for budget.">
          <a:extLst>
            <a:ext uri="{FF2B5EF4-FFF2-40B4-BE49-F238E27FC236}">
              <a16:creationId xmlns:a16="http://schemas.microsoft.com/office/drawing/2014/main" id="{79D7D9D2-02F3-4403-8EA2-0AADB44A90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E850C27-D158-4709-9DFB-5F0677BC8392}" name="Table2" displayName="Table2" ref="J8:CH16" totalsRowShown="0" headerRowDxfId="77" tableBorderDxfId="76">
  <autoFilter ref="J8:CH16" xr:uid="{5E850C27-D158-4709-9DFB-5F0677BC8392}"/>
  <tableColumns count="77">
    <tableColumn id="1" xr3:uid="{1A9115D8-28D3-43D5-8527-1B56347BE4F9}" name="Year"/>
    <tableColumn id="2" xr3:uid="{417B7198-4991-412C-95A5-6D0DBAE43617}" name="Year 1" dataDxfId="75"/>
    <tableColumn id="3" xr3:uid="{98C895DF-22B2-4420-82FD-F268DDDB2F77}" name="Year 2" dataDxfId="74"/>
    <tableColumn id="4" xr3:uid="{70CD394F-CE8D-49A7-8E15-E6992DADABCA}" name="Year 3" dataDxfId="73"/>
    <tableColumn id="5" xr3:uid="{71C680DA-349A-464D-AFAE-C83D1E599F92}" name="Year 4" dataDxfId="72"/>
    <tableColumn id="6" xr3:uid="{8F5D3EED-E28D-4619-AF99-980B35E978BC}" name="Year 5" dataDxfId="71"/>
    <tableColumn id="7" xr3:uid="{A082F83B-818D-4DBC-B738-2342004AC06D}" name="Year 6" dataDxfId="70"/>
    <tableColumn id="8" xr3:uid="{AA761C20-90D6-4D22-933F-902138E0F3C1}" name="Year 7" dataDxfId="69"/>
    <tableColumn id="9" xr3:uid="{56886B29-655A-4785-800F-53DB358A0971}" name="Year 8" dataDxfId="68"/>
    <tableColumn id="10" xr3:uid="{FC059690-B9D6-4766-917B-C61E5EE638BA}" name="Year 9" dataDxfId="67"/>
    <tableColumn id="11" xr3:uid="{C094A1FF-A900-465D-B3EB-341AAA89C55B}" name="Year 10" dataDxfId="66"/>
    <tableColumn id="12" xr3:uid="{D16607ED-D133-4464-B642-8A430DEF6FC3}" name="Year 11" dataDxfId="65"/>
    <tableColumn id="13" xr3:uid="{8970EC9D-71CF-44E9-AB78-C3742547C47C}" name="Year 12" dataDxfId="64"/>
    <tableColumn id="14" xr3:uid="{84A834CA-70FD-4C82-A4B4-71CC5643BB92}" name="Year 13" dataDxfId="63"/>
    <tableColumn id="15" xr3:uid="{768E386E-0F05-4EF3-A1C1-8DB4ABE89644}" name="Year 14" dataDxfId="62"/>
    <tableColumn id="16" xr3:uid="{E855C8FF-188D-4DFC-AF76-1C203AC18574}" name="Year 15" dataDxfId="61"/>
    <tableColumn id="17" xr3:uid="{075593DA-8DA9-4AE0-8000-9A14AF5BDA8E}" name="Year 16" dataDxfId="60"/>
    <tableColumn id="18" xr3:uid="{71AF11AD-68A4-4132-87CD-DCB4192BCA70}" name="Year 17" dataDxfId="59"/>
    <tableColumn id="19" xr3:uid="{0B3F6185-4BF1-413A-9BA9-4CD667C901CF}" name="Year 18" dataDxfId="58"/>
    <tableColumn id="20" xr3:uid="{8EEFF7E1-E345-4D64-9420-D74B976AA8EF}" name="Year 19" dataDxfId="57"/>
    <tableColumn id="21" xr3:uid="{05036233-99DF-4423-9A68-84C366DA0149}" name="Year 20" dataDxfId="56"/>
    <tableColumn id="22" xr3:uid="{60493029-3C73-461F-A635-6D91D7776E8D}" name="Year 21" dataDxfId="55"/>
    <tableColumn id="23" xr3:uid="{93511093-2212-46AE-9D99-9E896C6B40CC}" name="Year 22" dataDxfId="54"/>
    <tableColumn id="24" xr3:uid="{126C8D0C-EB6F-4BFC-8F32-4D2EA5328C37}" name="Year 23" dataDxfId="53"/>
    <tableColumn id="25" xr3:uid="{85E3F513-B6FF-4F79-9E1F-8072C27825ED}" name="Year 24" dataDxfId="52"/>
    <tableColumn id="26" xr3:uid="{73EE4EA9-B716-459F-A437-7F3DE3DD0FF8}" name="Year 25" dataDxfId="51"/>
    <tableColumn id="27" xr3:uid="{2F10B51C-A64B-4F11-BFED-2040F20945E4}" name="Year 26" dataDxfId="50"/>
    <tableColumn id="28" xr3:uid="{2D1BA2A9-1584-4F61-9FAB-18C0ADBCC35C}" name="Year 27" dataDxfId="49"/>
    <tableColumn id="29" xr3:uid="{8F6A7832-F2B9-4A79-9B39-98B9B86C039B}" name="Year 28" dataDxfId="48"/>
    <tableColumn id="30" xr3:uid="{E9D9BF25-0451-418F-BB68-9BAD9C23B162}" name="Year 29" dataDxfId="47"/>
    <tableColumn id="31" xr3:uid="{8E906267-6D09-4772-B3A5-C8FFA0E8B711}" name="Year 30" dataDxfId="46"/>
    <tableColumn id="32" xr3:uid="{C843CC95-80F1-4993-83EC-4A02135BD022}" name="Year 31" dataDxfId="45"/>
    <tableColumn id="33" xr3:uid="{4AC693B0-CA03-4471-AFDB-BD1E70D97049}" name="Year 32" dataDxfId="44"/>
    <tableColumn id="34" xr3:uid="{FAC22ACB-8A64-4B5B-ACD2-86F3AE5336E7}" name="Year 33" dataDxfId="43"/>
    <tableColumn id="35" xr3:uid="{A6F7A368-F010-4997-99A7-270068FDF4A7}" name="Year 34" dataDxfId="42"/>
    <tableColumn id="36" xr3:uid="{B9826CCA-3B13-4C8C-A0D9-E12F603F80B9}" name="Year 35" dataDxfId="41"/>
    <tableColumn id="37" xr3:uid="{1660424A-1473-4EBE-A7D4-D652FB6E5B3B}" name="Year 36" dataDxfId="40"/>
    <tableColumn id="38" xr3:uid="{8C497CD6-CDA0-4478-903D-0BD688FE8493}" name="Year 37" dataDxfId="39"/>
    <tableColumn id="39" xr3:uid="{BA99B4CA-9561-4D7F-934F-0BD2413B5EAD}" name="Year 38" dataDxfId="38"/>
    <tableColumn id="40" xr3:uid="{AADEC749-D52C-4D9D-ADFB-72E058937DD5}" name="Year 39" dataDxfId="37"/>
    <tableColumn id="41" xr3:uid="{ECEF5299-C1D2-4C46-903A-FB33626CEE41}" name="Year 40" dataDxfId="36"/>
    <tableColumn id="42" xr3:uid="{AE86B778-E783-4371-8507-75234727CC87}" name="Year 41" dataDxfId="35"/>
    <tableColumn id="43" xr3:uid="{83E19B22-DD34-4064-8CF9-5797CD696A8A}" name="Year 42" dataDxfId="34"/>
    <tableColumn id="44" xr3:uid="{4D749994-05E7-40E6-8BA2-F52ABB0293FC}" name="Year 43" dataDxfId="33"/>
    <tableColumn id="45" xr3:uid="{9F37C39C-F64E-411F-BEEA-4FC4E13AAE1F}" name="Year 44" dataDxfId="32"/>
    <tableColumn id="46" xr3:uid="{F9C8C046-36E7-4921-97ED-334EAF04DE8D}" name="Year 45" dataDxfId="31"/>
    <tableColumn id="47" xr3:uid="{AEB96A68-E2B8-40A4-AE00-5A60CFD7A11C}" name="Year 46" dataDxfId="30"/>
    <tableColumn id="48" xr3:uid="{C7FAD0CE-FF76-4974-A925-FBC59AA27ABD}" name="Year 47" dataDxfId="29"/>
    <tableColumn id="49" xr3:uid="{5F525F93-B03C-4CCA-9B1A-00223534F86D}" name="Year 48" dataDxfId="28"/>
    <tableColumn id="50" xr3:uid="{C7C3ED46-0139-489B-96AA-F827697B2E61}" name="Year 49" dataDxfId="27"/>
    <tableColumn id="51" xr3:uid="{7410C64D-F956-4817-9582-9C69C77197FF}" name="Year 50" dataDxfId="26"/>
    <tableColumn id="52" xr3:uid="{69DBC828-75F2-4B02-BCAE-D835A49A88C0}" name="Year 51" dataDxfId="25"/>
    <tableColumn id="53" xr3:uid="{EDB7DEFC-604F-4250-ACB6-BE6AD4D20734}" name="Year 52" dataDxfId="24"/>
    <tableColumn id="54" xr3:uid="{105A8975-ABC4-42E5-B008-379A3CB7084C}" name="Year 53" dataDxfId="23"/>
    <tableColumn id="55" xr3:uid="{2A47F652-0E2F-49BF-8CB2-95B591D6AC35}" name="Year 54" dataDxfId="22"/>
    <tableColumn id="56" xr3:uid="{463B0089-3998-4985-9639-48CC8BCFE99A}" name="Year 55" dataDxfId="21"/>
    <tableColumn id="57" xr3:uid="{3ABA91E2-5FB2-42C9-8333-D7D958308BD8}" name="Year 56" dataDxfId="20"/>
    <tableColumn id="58" xr3:uid="{A8E21FCD-E018-47E4-9B4B-F36D39DAD750}" name="Year 57" dataDxfId="19"/>
    <tableColumn id="59" xr3:uid="{AE11C667-7FAC-49DB-9152-EE86F0AD9B0A}" name="Year 58" dataDxfId="18"/>
    <tableColumn id="60" xr3:uid="{91635E8C-EC51-406A-BF55-6FDC10DE23F0}" name="Year 59" dataDxfId="17"/>
    <tableColumn id="61" xr3:uid="{2A686115-2161-4A14-91FF-2F2B9AD8E6B7}" name="Year 60" dataDxfId="16"/>
    <tableColumn id="62" xr3:uid="{C0B7E274-A8C1-4817-866A-8D5EEB2376FD}" name="Year 61" dataDxfId="15"/>
    <tableColumn id="63" xr3:uid="{2F737A17-780A-446E-96F3-B8A56EFB2DE2}" name="Year 62" dataDxfId="14"/>
    <tableColumn id="64" xr3:uid="{F75773C4-16BF-484A-87BD-C975BBFD6E3B}" name="Year 63" dataDxfId="13"/>
    <tableColumn id="65" xr3:uid="{60FFAAAB-1363-408D-813B-1B52AC921ED6}" name="Year 64" dataDxfId="12"/>
    <tableColumn id="66" xr3:uid="{CC17DA12-FB7C-43DF-8F70-12C2C1D1E831}" name="Year 65" dataDxfId="11"/>
    <tableColumn id="67" xr3:uid="{57E37AE0-1487-4017-87E8-F021E40B2D31}" name="Year 66" dataDxfId="10"/>
    <tableColumn id="68" xr3:uid="{894E3317-5FB3-4786-A028-3C6363F3CDAB}" name="Year 67" dataDxfId="9"/>
    <tableColumn id="69" xr3:uid="{9026414F-D38C-4F5F-8014-F3D78655431A}" name="Year 68" dataDxfId="8"/>
    <tableColumn id="70" xr3:uid="{CCC95EE1-DB39-4028-B83D-C2D47A6922BC}" name="Year 69" dataDxfId="7"/>
    <tableColumn id="71" xr3:uid="{954270EC-67F3-49FB-9A41-A606EAD2E0F5}" name="Year 70" dataDxfId="6"/>
    <tableColumn id="72" xr3:uid="{978FBB87-473E-47A4-BEA0-6D1671FF38BE}" name="Year 71" dataDxfId="5"/>
    <tableColumn id="73" xr3:uid="{421E1BDB-CEC1-4980-9C2A-7A4CA9E35E8F}" name="Year 72" dataDxfId="4"/>
    <tableColumn id="74" xr3:uid="{84F5FC66-AF9A-4BDF-B102-EF8ECDDEABF0}" name="Year 73" dataDxfId="3"/>
    <tableColumn id="75" xr3:uid="{F82792A6-0F2B-47E0-9714-742652E25152}" name="Year 74" dataDxfId="2"/>
    <tableColumn id="76" xr3:uid="{EE82F9E0-8F18-4421-870A-FD516FEFF967}" name="Year 75" dataDxfId="1"/>
    <tableColumn id="77" xr3:uid="{4F08AF9E-BE2F-4FDC-BE40-ED8E40E37DC0}" name="Year 76"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ustom 12">
      <a:majorFont>
        <a:latin typeface="Segoe UI Black"/>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xtension.missouri.edu/publications/g73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orthernpecans.blogspot.com/search?q=yiel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hyperlink" Target="https://pecanbreeding.uga.edu/cultivars/alphabetical-list/kanza.html"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16A7D-71B1-4E76-BD05-45EE43988714}">
  <dimension ref="A2:G15"/>
  <sheetViews>
    <sheetView tabSelected="1" topLeftCell="A2" workbookViewId="0">
      <selection activeCell="C10" sqref="C10:D10"/>
    </sheetView>
  </sheetViews>
  <sheetFormatPr defaultColWidth="0" defaultRowHeight="0" customHeight="1" zeroHeight="1" x14ac:dyDescent="0.3"/>
  <cols>
    <col min="1" max="1" width="4.125" style="48" customWidth="1"/>
    <col min="2" max="2" width="4.625" style="48" customWidth="1"/>
    <col min="3" max="3" width="15.625" style="48" customWidth="1"/>
    <col min="4" max="4" width="74.25" style="48" customWidth="1"/>
    <col min="5" max="5" width="15.625" style="48" customWidth="1"/>
    <col min="6" max="6" width="4.625" style="48" customWidth="1"/>
    <col min="7" max="7" width="9" style="48" customWidth="1"/>
    <col min="8" max="16384" width="9" style="48" hidden="1"/>
  </cols>
  <sheetData>
    <row r="2" spans="3:5" ht="20.25" x14ac:dyDescent="0.35">
      <c r="C2" s="319" t="s">
        <v>37</v>
      </c>
      <c r="D2" s="320"/>
      <c r="E2" s="321"/>
    </row>
    <row r="3" spans="3:5" ht="16.5" x14ac:dyDescent="0.3">
      <c r="C3" s="322" t="s">
        <v>591</v>
      </c>
      <c r="D3" s="322"/>
      <c r="E3" s="322"/>
    </row>
    <row r="4" spans="3:5" ht="16.5" x14ac:dyDescent="0.3">
      <c r="C4" s="323"/>
      <c r="D4" s="323"/>
      <c r="E4" s="323"/>
    </row>
    <row r="5" spans="3:5" ht="16.5" x14ac:dyDescent="0.3">
      <c r="D5" s="49" t="s">
        <v>36</v>
      </c>
    </row>
    <row r="6" spans="3:5" ht="16.5" x14ac:dyDescent="0.3">
      <c r="D6" s="49" t="s">
        <v>301</v>
      </c>
    </row>
    <row r="7" spans="3:5" ht="16.5" x14ac:dyDescent="0.3">
      <c r="D7" s="49" t="s">
        <v>2</v>
      </c>
    </row>
    <row r="8" spans="3:5" ht="16.5" x14ac:dyDescent="0.3">
      <c r="D8" s="50"/>
    </row>
    <row r="9" spans="3:5" ht="69" customHeight="1" x14ac:dyDescent="0.3">
      <c r="C9" s="324" t="s">
        <v>590</v>
      </c>
      <c r="D9" s="324"/>
      <c r="E9" s="324"/>
    </row>
    <row r="10" spans="3:5" ht="13.5" customHeight="1" x14ac:dyDescent="0.3">
      <c r="C10" s="328" t="s">
        <v>592</v>
      </c>
      <c r="D10" s="329"/>
      <c r="E10" s="315"/>
    </row>
    <row r="11" spans="3:5" ht="9.75" customHeight="1" x14ac:dyDescent="0.3"/>
    <row r="12" spans="3:5" ht="16.5" x14ac:dyDescent="0.3">
      <c r="C12" s="325" t="s">
        <v>3</v>
      </c>
      <c r="D12" s="326"/>
      <c r="E12" s="327"/>
    </row>
    <row r="13" spans="3:5" ht="16.5" x14ac:dyDescent="0.3">
      <c r="C13" s="82"/>
      <c r="D13" s="82"/>
      <c r="E13" s="82"/>
    </row>
    <row r="14" spans="3:5" ht="16.5" x14ac:dyDescent="0.3"/>
    <row r="15" spans="3:5" ht="20.25" x14ac:dyDescent="0.35">
      <c r="C15" s="316"/>
      <c r="D15" s="317"/>
      <c r="E15" s="318"/>
    </row>
  </sheetData>
  <sheetProtection sheet="1" selectLockedCells="1"/>
  <mergeCells count="7">
    <mergeCell ref="C15:E15"/>
    <mergeCell ref="C2:E2"/>
    <mergeCell ref="C3:E3"/>
    <mergeCell ref="C4:E4"/>
    <mergeCell ref="C9:E9"/>
    <mergeCell ref="C12:E12"/>
    <mergeCell ref="C10:D10"/>
  </mergeCells>
  <hyperlinks>
    <hyperlink ref="C10" r:id="rId1" display="https://extension.missouri.edu/publications/g738 " xr:uid="{ED6CE902-413C-49EB-B743-20656CCB577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E701B-4FDB-4FC8-A6D9-C41FDAC8D4CF}">
  <sheetPr>
    <pageSetUpPr fitToPage="1"/>
  </sheetPr>
  <dimension ref="A1:AC105"/>
  <sheetViews>
    <sheetView workbookViewId="0"/>
  </sheetViews>
  <sheetFormatPr defaultColWidth="0" defaultRowHeight="16.5" zeroHeight="1" x14ac:dyDescent="0.3"/>
  <cols>
    <col min="1" max="1" width="40.875" customWidth="1"/>
    <col min="2" max="2" width="21.125" customWidth="1"/>
    <col min="3" max="3" width="9" customWidth="1"/>
    <col min="4" max="4" width="2.625" customWidth="1"/>
    <col min="5" max="5" width="19" customWidth="1"/>
    <col min="6" max="6" width="17.5" bestFit="1" customWidth="1"/>
    <col min="7" max="7" width="10.375" bestFit="1" customWidth="1"/>
    <col min="8" max="8" width="5.125" customWidth="1"/>
    <col min="9" max="9" width="36.625" bestFit="1" customWidth="1"/>
    <col min="10" max="10" width="21" customWidth="1"/>
    <col min="11" max="11" width="10.125" customWidth="1"/>
    <col min="12" max="12" width="9" customWidth="1"/>
    <col min="13" max="20" width="9" hidden="1" customWidth="1"/>
    <col min="21" max="21" width="10.375" style="106" hidden="1" customWidth="1"/>
    <col min="22" max="22" width="9" style="106" hidden="1" customWidth="1"/>
    <col min="23" max="23" width="24" style="106" hidden="1" customWidth="1"/>
    <col min="24" max="24" width="28.625" style="106" hidden="1" customWidth="1"/>
    <col min="25" max="26" width="9.125" style="106" hidden="1" customWidth="1"/>
    <col min="27" max="28" width="9.375" style="106" hidden="1" customWidth="1"/>
    <col min="29" max="29" width="9" style="106" hidden="1" customWidth="1"/>
    <col min="30" max="16384" width="9" hidden="1"/>
  </cols>
  <sheetData>
    <row r="1" spans="1:28" ht="17.25" x14ac:dyDescent="0.3">
      <c r="A1" s="168" t="s">
        <v>533</v>
      </c>
      <c r="B1" s="168"/>
      <c r="C1" s="168"/>
      <c r="E1" s="168" t="s">
        <v>534</v>
      </c>
      <c r="F1" s="168"/>
      <c r="G1" s="168"/>
      <c r="H1" s="169"/>
      <c r="I1" s="167"/>
      <c r="J1" s="167"/>
      <c r="K1" s="167"/>
    </row>
    <row r="2" spans="1:28" ht="17.25" x14ac:dyDescent="0.3">
      <c r="A2" s="207" t="s">
        <v>20</v>
      </c>
      <c r="B2" s="207" t="s">
        <v>0</v>
      </c>
      <c r="C2" s="208" t="s">
        <v>1</v>
      </c>
      <c r="D2" s="209"/>
      <c r="E2" s="207" t="s">
        <v>20</v>
      </c>
      <c r="F2" s="207" t="s">
        <v>0</v>
      </c>
      <c r="G2" s="208" t="s">
        <v>1</v>
      </c>
      <c r="H2" s="210"/>
      <c r="I2" s="207" t="s">
        <v>20</v>
      </c>
      <c r="J2" s="207" t="s">
        <v>0</v>
      </c>
      <c r="K2" s="208" t="s">
        <v>1</v>
      </c>
      <c r="X2" s="106" t="s">
        <v>192</v>
      </c>
    </row>
    <row r="3" spans="1:28" ht="17.25" x14ac:dyDescent="0.3">
      <c r="A3" s="209" t="s">
        <v>38</v>
      </c>
      <c r="B3" s="209" t="s">
        <v>39</v>
      </c>
      <c r="C3" s="211">
        <v>10</v>
      </c>
      <c r="D3" s="209"/>
      <c r="E3" s="212" t="s">
        <v>86</v>
      </c>
      <c r="F3" s="212" t="s">
        <v>87</v>
      </c>
      <c r="G3" s="213">
        <v>4.5</v>
      </c>
      <c r="H3" s="209"/>
      <c r="I3" s="209" t="s">
        <v>52</v>
      </c>
      <c r="J3" s="209" t="s">
        <v>82</v>
      </c>
      <c r="K3" s="214">
        <v>1.75</v>
      </c>
      <c r="M3" t="s">
        <v>97</v>
      </c>
      <c r="X3" s="107" t="s">
        <v>193</v>
      </c>
      <c r="Y3" s="107" t="s">
        <v>0</v>
      </c>
      <c r="Z3" s="107" t="s">
        <v>1</v>
      </c>
      <c r="AA3" s="108" t="s">
        <v>202</v>
      </c>
    </row>
    <row r="4" spans="1:28" ht="17.25" x14ac:dyDescent="0.3">
      <c r="A4" s="209" t="s">
        <v>176</v>
      </c>
      <c r="B4" s="209" t="s">
        <v>40</v>
      </c>
      <c r="C4" s="230">
        <v>800</v>
      </c>
      <c r="D4" s="209"/>
      <c r="E4" s="212" t="s">
        <v>45</v>
      </c>
      <c r="F4" s="212" t="s">
        <v>77</v>
      </c>
      <c r="G4" s="213">
        <v>0.48</v>
      </c>
      <c r="H4" s="209"/>
      <c r="I4" s="212" t="s">
        <v>219</v>
      </c>
      <c r="J4" s="212" t="s">
        <v>84</v>
      </c>
      <c r="K4" s="213">
        <v>15</v>
      </c>
      <c r="M4">
        <f>1156/27</f>
        <v>42.814814814814817</v>
      </c>
      <c r="O4" s="74" t="s">
        <v>102</v>
      </c>
      <c r="X4" s="109" t="s">
        <v>194</v>
      </c>
      <c r="Y4" s="109" t="s">
        <v>199</v>
      </c>
      <c r="Z4" s="106">
        <f>Labor!C3</f>
        <v>15</v>
      </c>
      <c r="AA4" s="110">
        <f>Z4/60*$G$9</f>
        <v>4.625</v>
      </c>
    </row>
    <row r="5" spans="1:28" ht="17.25" x14ac:dyDescent="0.3">
      <c r="A5" s="209" t="s">
        <v>74</v>
      </c>
      <c r="B5" s="209" t="s">
        <v>211</v>
      </c>
      <c r="C5" s="215">
        <f>ROUNDDOWN(43560/C4,0)</f>
        <v>54</v>
      </c>
      <c r="D5" s="209"/>
      <c r="E5" s="212" t="s">
        <v>46</v>
      </c>
      <c r="F5" s="212" t="s">
        <v>78</v>
      </c>
      <c r="G5" s="213">
        <v>0.61</v>
      </c>
      <c r="H5" s="209"/>
      <c r="I5" s="212" t="s">
        <v>220</v>
      </c>
      <c r="J5" s="212" t="s">
        <v>84</v>
      </c>
      <c r="K5" s="213">
        <v>10</v>
      </c>
      <c r="X5" s="109" t="s">
        <v>195</v>
      </c>
      <c r="Y5" s="109" t="s">
        <v>199</v>
      </c>
      <c r="Z5" s="106">
        <f>Labor!C4</f>
        <v>8</v>
      </c>
      <c r="AA5" s="110">
        <f t="shared" ref="AA5:AA6" si="0">Z5/60*$G$9</f>
        <v>2.4666666666666668</v>
      </c>
    </row>
    <row r="6" spans="1:28" ht="17.25" x14ac:dyDescent="0.3">
      <c r="A6" s="209" t="s">
        <v>216</v>
      </c>
      <c r="B6" s="209" t="s">
        <v>217</v>
      </c>
      <c r="C6" s="225">
        <v>0.25</v>
      </c>
      <c r="D6" s="209"/>
      <c r="E6" s="212" t="s">
        <v>47</v>
      </c>
      <c r="F6" s="212" t="s">
        <v>79</v>
      </c>
      <c r="G6" s="213">
        <v>0.62</v>
      </c>
      <c r="H6" s="209"/>
      <c r="I6" s="217" t="s">
        <v>80</v>
      </c>
      <c r="J6" s="212" t="s">
        <v>84</v>
      </c>
      <c r="K6" s="213">
        <v>35</v>
      </c>
      <c r="Q6" t="s">
        <v>412</v>
      </c>
      <c r="X6" s="109" t="s">
        <v>196</v>
      </c>
      <c r="Y6" s="109" t="s">
        <v>199</v>
      </c>
      <c r="Z6" s="106">
        <f>Labor!C5</f>
        <v>15</v>
      </c>
      <c r="AA6" s="110">
        <f t="shared" si="0"/>
        <v>4.625</v>
      </c>
    </row>
    <row r="7" spans="1:28" ht="17.25" x14ac:dyDescent="0.3">
      <c r="A7" s="209" t="s">
        <v>178</v>
      </c>
      <c r="B7" s="209" t="s">
        <v>177</v>
      </c>
      <c r="C7" s="228">
        <v>12</v>
      </c>
      <c r="D7" s="209"/>
      <c r="E7" s="212" t="s">
        <v>42</v>
      </c>
      <c r="F7" s="212" t="s">
        <v>76</v>
      </c>
      <c r="G7" s="218">
        <v>30</v>
      </c>
      <c r="H7" s="209"/>
      <c r="I7" s="217" t="s">
        <v>548</v>
      </c>
      <c r="J7" s="212" t="s">
        <v>84</v>
      </c>
      <c r="K7" s="213">
        <v>10</v>
      </c>
      <c r="Q7" t="s">
        <v>413</v>
      </c>
      <c r="X7" s="109" t="s">
        <v>372</v>
      </c>
      <c r="Y7" s="109" t="s">
        <v>200</v>
      </c>
      <c r="Z7" s="106">
        <f>Labor!C6</f>
        <v>0.375</v>
      </c>
      <c r="AA7" s="110">
        <f>Z7*$G$9/60</f>
        <v>0.11562500000000001</v>
      </c>
    </row>
    <row r="8" spans="1:28" ht="17.25" x14ac:dyDescent="0.3">
      <c r="A8" s="209" t="s">
        <v>207</v>
      </c>
      <c r="B8" s="209" t="s">
        <v>211</v>
      </c>
      <c r="C8" s="228">
        <v>18</v>
      </c>
      <c r="D8" s="209"/>
      <c r="E8" s="212" t="s">
        <v>48</v>
      </c>
      <c r="F8" s="212" t="s">
        <v>83</v>
      </c>
      <c r="G8" s="218">
        <v>25</v>
      </c>
      <c r="H8" s="209"/>
      <c r="I8" s="212" t="s">
        <v>573</v>
      </c>
      <c r="J8" s="212" t="s">
        <v>71</v>
      </c>
      <c r="K8" s="216">
        <v>0.08</v>
      </c>
      <c r="M8" t="s">
        <v>98</v>
      </c>
      <c r="X8" s="109" t="s">
        <v>198</v>
      </c>
      <c r="Y8" s="109" t="s">
        <v>380</v>
      </c>
      <c r="Z8" s="106">
        <f>Labor!C7</f>
        <v>8</v>
      </c>
      <c r="AA8" s="110">
        <f t="shared" ref="AA8:AA9" si="1">Z8*$G$9</f>
        <v>148</v>
      </c>
    </row>
    <row r="9" spans="1:28" ht="17.25" x14ac:dyDescent="0.3">
      <c r="A9" s="209" t="s">
        <v>179</v>
      </c>
      <c r="B9" s="209" t="s">
        <v>177</v>
      </c>
      <c r="C9" s="229">
        <v>40</v>
      </c>
      <c r="D9" s="209"/>
      <c r="E9" s="212" t="s">
        <v>89</v>
      </c>
      <c r="F9" s="212" t="s">
        <v>90</v>
      </c>
      <c r="G9" s="218">
        <v>18.5</v>
      </c>
      <c r="H9" s="219"/>
      <c r="I9" s="212" t="s">
        <v>574</v>
      </c>
      <c r="J9" s="212" t="s">
        <v>71</v>
      </c>
      <c r="K9" s="216">
        <v>7.0000000000000007E-2</v>
      </c>
      <c r="X9" s="109" t="s">
        <v>201</v>
      </c>
      <c r="Y9" s="109" t="s">
        <v>380</v>
      </c>
      <c r="Z9" s="106">
        <f>Labor!C8</f>
        <v>8</v>
      </c>
      <c r="AA9" s="110">
        <f t="shared" si="1"/>
        <v>148</v>
      </c>
    </row>
    <row r="10" spans="1:28" ht="17.25" x14ac:dyDescent="0.3">
      <c r="A10" s="209" t="s">
        <v>207</v>
      </c>
      <c r="B10" s="209" t="s">
        <v>211</v>
      </c>
      <c r="C10" s="229">
        <v>9</v>
      </c>
      <c r="D10" s="209"/>
      <c r="E10" s="212" t="s">
        <v>91</v>
      </c>
      <c r="F10" s="212" t="s">
        <v>363</v>
      </c>
      <c r="G10" s="213">
        <v>10</v>
      </c>
      <c r="H10" s="220"/>
      <c r="I10" s="212" t="s">
        <v>496</v>
      </c>
      <c r="J10" s="242" t="s">
        <v>94</v>
      </c>
      <c r="K10" s="216">
        <v>0</v>
      </c>
      <c r="X10" s="109"/>
      <c r="Y10" s="109"/>
      <c r="AA10" s="111"/>
    </row>
    <row r="11" spans="1:28" ht="17.25" x14ac:dyDescent="0.3">
      <c r="A11" s="221" t="s">
        <v>411</v>
      </c>
      <c r="B11" s="221"/>
      <c r="C11" s="222" t="s">
        <v>413</v>
      </c>
      <c r="D11" s="209"/>
      <c r="E11" s="223" t="s">
        <v>212</v>
      </c>
      <c r="F11" s="223" t="s">
        <v>213</v>
      </c>
      <c r="G11" s="222">
        <v>100</v>
      </c>
      <c r="H11" s="221"/>
      <c r="I11" s="223" t="s">
        <v>565</v>
      </c>
      <c r="J11" s="223" t="s">
        <v>81</v>
      </c>
      <c r="K11" s="222">
        <v>0.6</v>
      </c>
      <c r="Q11" t="s">
        <v>101</v>
      </c>
      <c r="R11" t="s">
        <v>73</v>
      </c>
      <c r="S11" t="s">
        <v>100</v>
      </c>
      <c r="Z11" s="107"/>
      <c r="AA11" s="112"/>
    </row>
    <row r="12" spans="1:28" ht="17.25" x14ac:dyDescent="0.3">
      <c r="A12" s="209"/>
      <c r="B12" s="209"/>
      <c r="C12" s="224"/>
      <c r="D12" s="209"/>
      <c r="E12" s="209"/>
      <c r="F12" s="209"/>
      <c r="G12" s="209"/>
      <c r="H12" s="209"/>
      <c r="I12" s="209"/>
      <c r="J12" s="209"/>
      <c r="K12" s="209"/>
      <c r="Q12">
        <v>85.6</v>
      </c>
      <c r="R12">
        <v>2054</v>
      </c>
      <c r="S12">
        <f>R12/Q12</f>
        <v>23.995327102803738</v>
      </c>
      <c r="W12" s="106" t="s">
        <v>75</v>
      </c>
      <c r="Z12" s="113"/>
    </row>
    <row r="13" spans="1:28" ht="17.25" x14ac:dyDescent="0.3">
      <c r="A13" s="168" t="s">
        <v>535</v>
      </c>
      <c r="B13" s="168"/>
      <c r="C13" s="170"/>
      <c r="D13" s="209"/>
      <c r="E13" s="209"/>
      <c r="F13" s="209"/>
      <c r="G13" s="209"/>
      <c r="H13" s="209"/>
      <c r="I13" s="209"/>
      <c r="J13" s="209"/>
      <c r="K13" s="209"/>
      <c r="Q13">
        <v>17.41</v>
      </c>
      <c r="R13">
        <v>418</v>
      </c>
      <c r="S13">
        <f t="shared" ref="R13:S20" si="2">R13/Q13</f>
        <v>24.009190120620332</v>
      </c>
      <c r="W13" s="107" t="s">
        <v>17</v>
      </c>
      <c r="X13" s="108" t="s">
        <v>16</v>
      </c>
      <c r="Y13" s="108" t="s">
        <v>18</v>
      </c>
      <c r="Z13" s="108" t="s">
        <v>19</v>
      </c>
      <c r="AA13" s="108" t="s">
        <v>32</v>
      </c>
      <c r="AB13" s="108" t="s">
        <v>33</v>
      </c>
    </row>
    <row r="14" spans="1:28" ht="17.25" x14ac:dyDescent="0.3">
      <c r="A14" s="207" t="s">
        <v>20</v>
      </c>
      <c r="B14" s="207" t="s">
        <v>0</v>
      </c>
      <c r="C14" s="208" t="s">
        <v>1</v>
      </c>
      <c r="D14" s="209"/>
      <c r="E14" s="209"/>
      <c r="F14" s="209"/>
      <c r="G14" s="209"/>
      <c r="H14" s="209"/>
      <c r="I14" s="209"/>
      <c r="J14" s="209"/>
      <c r="K14" s="209"/>
      <c r="Q14">
        <v>22.14</v>
      </c>
      <c r="R14">
        <v>531</v>
      </c>
      <c r="S14">
        <f t="shared" si="2"/>
        <v>23.983739837398375</v>
      </c>
      <c r="W14" s="114" t="s">
        <v>556</v>
      </c>
      <c r="X14" s="115">
        <f>IF(Investment!$L$5=Investment!$M$146,Investment!N30,Investment!N54)</f>
        <v>137000</v>
      </c>
      <c r="Y14" s="115"/>
      <c r="Z14" s="115"/>
      <c r="AA14" s="115">
        <f>IF(Investment!$L$2=Investment!$M$146,Investment!Q30,Investment!Q54)</f>
        <v>2975</v>
      </c>
      <c r="AB14" s="115">
        <f>IF(Investment!$L$2=Investment!$M$146,Investment!R30,Investment!R54)</f>
        <v>1499.75</v>
      </c>
    </row>
    <row r="15" spans="1:28" ht="17.25" x14ac:dyDescent="0.3">
      <c r="A15" s="212" t="s">
        <v>30</v>
      </c>
      <c r="B15" s="212" t="s">
        <v>31</v>
      </c>
      <c r="C15" s="225">
        <v>0</v>
      </c>
      <c r="D15" s="209"/>
      <c r="E15" s="209"/>
      <c r="F15" s="209"/>
      <c r="G15" s="209"/>
      <c r="H15" s="209"/>
      <c r="I15" s="209"/>
      <c r="J15" s="209"/>
      <c r="K15" s="209"/>
      <c r="Q15">
        <v>64.8</v>
      </c>
      <c r="R15">
        <v>1555</v>
      </c>
      <c r="S15">
        <f t="shared" si="2"/>
        <v>23.996913580246915</v>
      </c>
      <c r="W15" s="114" t="s">
        <v>557</v>
      </c>
      <c r="X15" s="115">
        <f>IF(Investment!$L$5=Investment!$M$146,Investment!N31,Investment!N55)</f>
        <v>134200</v>
      </c>
      <c r="Y15" s="115"/>
      <c r="Z15" s="115"/>
      <c r="AA15" s="115">
        <f>IF(Investment!$L$2=Investment!$M$146,Investment!Q31,Investment!Q55)</f>
        <v>4480</v>
      </c>
      <c r="AB15" s="115">
        <f>IF(Investment!$L$2=Investment!$M$146,Investment!R31,Investment!R55)</f>
        <v>2079</v>
      </c>
    </row>
    <row r="16" spans="1:28" ht="17.25" x14ac:dyDescent="0.3">
      <c r="A16" s="212" t="s">
        <v>214</v>
      </c>
      <c r="B16" s="212" t="s">
        <v>31</v>
      </c>
      <c r="C16" s="225">
        <v>1</v>
      </c>
      <c r="D16" s="209"/>
      <c r="E16" s="209"/>
      <c r="F16" s="209"/>
      <c r="G16" s="209"/>
      <c r="H16" s="209"/>
      <c r="I16" s="209"/>
      <c r="J16" s="209"/>
      <c r="K16" s="209"/>
      <c r="P16">
        <v>99.8</v>
      </c>
      <c r="Q16">
        <v>2395</v>
      </c>
      <c r="R16">
        <f t="shared" si="2"/>
        <v>23.99799599198397</v>
      </c>
      <c r="W16" s="116" t="s">
        <v>53</v>
      </c>
      <c r="X16" s="117">
        <f>Investment!C11</f>
        <v>2238</v>
      </c>
      <c r="Y16" s="106">
        <v>10</v>
      </c>
      <c r="Z16" s="118">
        <v>0.25</v>
      </c>
      <c r="AA16" s="52">
        <f>IF(X16&gt;0,(X16-(X16*Z16))/Y16,"")</f>
        <v>167.85</v>
      </c>
      <c r="AB16" s="52">
        <f>IF(X16&gt;0,((X16+X16*Z16)/2)*$K$9,"")</f>
        <v>97.912500000000009</v>
      </c>
    </row>
    <row r="17" spans="1:28" ht="17.25" x14ac:dyDescent="0.3">
      <c r="A17" s="212" t="s">
        <v>376</v>
      </c>
      <c r="B17" s="212" t="s">
        <v>377</v>
      </c>
      <c r="C17" s="225">
        <v>0.45</v>
      </c>
      <c r="D17" s="209"/>
      <c r="E17" s="209"/>
      <c r="F17" s="209"/>
      <c r="G17" s="209"/>
      <c r="H17" s="209"/>
      <c r="I17" s="209"/>
      <c r="J17" s="209"/>
      <c r="K17" s="209"/>
      <c r="P17">
        <v>65.489999999999995</v>
      </c>
      <c r="Q17">
        <v>1572</v>
      </c>
      <c r="R17">
        <f t="shared" si="2"/>
        <v>24.003664681630784</v>
      </c>
      <c r="W17" s="116" t="s">
        <v>358</v>
      </c>
      <c r="X17" s="117">
        <f>IF(C11=Q6,SUMPRODUCT(Investment!B25:B34,Investment!C25:C34),0)</f>
        <v>0</v>
      </c>
      <c r="Y17" s="106">
        <v>30</v>
      </c>
      <c r="Z17" s="119">
        <v>0.2</v>
      </c>
      <c r="AA17" s="52" t="str">
        <f>IF(X17&gt;0,(X17-(X17*Z17))/Y17,"")</f>
        <v/>
      </c>
      <c r="AB17" s="52" t="str">
        <f>IF(X17&gt;0,((X17+X17*Z17)/2)*$K$9,"")</f>
        <v/>
      </c>
    </row>
    <row r="18" spans="1:28" ht="17.25" x14ac:dyDescent="0.3">
      <c r="A18" s="212" t="s">
        <v>190</v>
      </c>
      <c r="B18" s="212" t="s">
        <v>81</v>
      </c>
      <c r="C18" s="226">
        <v>2</v>
      </c>
      <c r="D18" s="209"/>
      <c r="E18" s="209"/>
      <c r="F18" s="209"/>
      <c r="G18" s="209"/>
      <c r="H18" s="209"/>
      <c r="I18" s="209"/>
      <c r="J18" s="209"/>
      <c r="K18" s="209"/>
      <c r="P18">
        <v>67.44</v>
      </c>
      <c r="Q18">
        <v>1618</v>
      </c>
      <c r="R18">
        <f t="shared" si="2"/>
        <v>23.991696322657177</v>
      </c>
      <c r="W18" s="116" t="s">
        <v>88</v>
      </c>
      <c r="X18" s="117">
        <v>5500</v>
      </c>
      <c r="Y18" s="106">
        <v>20</v>
      </c>
      <c r="Z18" s="119">
        <v>0.1</v>
      </c>
      <c r="AA18" s="52">
        <f>IF(X18&gt;0,(X18-(X18*Z18))/Y18,"")</f>
        <v>247.5</v>
      </c>
      <c r="AB18" s="52">
        <f>IF(X18&gt;0,((X18+X18*Z18)/2)*$K$9,"")</f>
        <v>211.75000000000003</v>
      </c>
    </row>
    <row r="19" spans="1:28" ht="17.25" x14ac:dyDescent="0.3">
      <c r="A19" s="223" t="s">
        <v>191</v>
      </c>
      <c r="B19" s="223" t="s">
        <v>81</v>
      </c>
      <c r="C19" s="227">
        <v>6</v>
      </c>
      <c r="D19" s="209"/>
      <c r="E19" s="209"/>
      <c r="F19" s="209"/>
      <c r="G19" s="209"/>
      <c r="H19" s="209"/>
      <c r="I19" s="209"/>
      <c r="J19" s="209"/>
      <c r="K19" s="209"/>
      <c r="P19">
        <v>59.4</v>
      </c>
      <c r="Q19">
        <v>1426</v>
      </c>
      <c r="R19">
        <f t="shared" si="2"/>
        <v>24.006734006734007</v>
      </c>
      <c r="W19" s="106" t="s">
        <v>487</v>
      </c>
      <c r="X19" s="120">
        <f>SUM(X14:X18)</f>
        <v>278938</v>
      </c>
      <c r="Y19" s="111"/>
      <c r="Z19" s="121"/>
      <c r="AA19" s="122">
        <f>SUM(AA14:AA18)</f>
        <v>7870.35</v>
      </c>
      <c r="AB19" s="122">
        <f>SUM(AB14:AB18)</f>
        <v>3888.4124999999999</v>
      </c>
    </row>
    <row r="20" spans="1:28" x14ac:dyDescent="0.3">
      <c r="A20" s="47"/>
      <c r="B20" s="47"/>
      <c r="C20" s="79"/>
      <c r="P20">
        <v>73.8</v>
      </c>
      <c r="Q20">
        <v>1771</v>
      </c>
      <c r="R20">
        <f t="shared" si="2"/>
        <v>23.997289972899729</v>
      </c>
    </row>
    <row r="21" spans="1:28" x14ac:dyDescent="0.3">
      <c r="M21">
        <f>AVERAGE(Q12:Q20)</f>
        <v>996.88333333333344</v>
      </c>
      <c r="N21">
        <f>AVERAGE(R12:R20)</f>
        <v>519.77748677510067</v>
      </c>
      <c r="T21" s="104" t="s">
        <v>16</v>
      </c>
    </row>
    <row r="22" spans="1:28" hidden="1" x14ac:dyDescent="0.3">
      <c r="B22" s="25"/>
    </row>
    <row r="23" spans="1:28" hidden="1" x14ac:dyDescent="0.3">
      <c r="B23" s="25"/>
    </row>
    <row r="26" spans="1:28" hidden="1" x14ac:dyDescent="0.3">
      <c r="M26" t="s">
        <v>101</v>
      </c>
      <c r="N26" t="s">
        <v>73</v>
      </c>
      <c r="O26" t="s">
        <v>100</v>
      </c>
    </row>
    <row r="27" spans="1:28" hidden="1" x14ac:dyDescent="0.3">
      <c r="N27">
        <v>45</v>
      </c>
      <c r="O27">
        <v>949</v>
      </c>
      <c r="P27">
        <f>O27/N27</f>
        <v>21.088888888888889</v>
      </c>
    </row>
    <row r="28" spans="1:28" hidden="1" x14ac:dyDescent="0.3">
      <c r="N28">
        <v>36</v>
      </c>
      <c r="O28">
        <v>745</v>
      </c>
      <c r="P28">
        <f t="shared" ref="P28:S35" si="3">O28/N28</f>
        <v>20.694444444444443</v>
      </c>
    </row>
    <row r="29" spans="1:28" hidden="1" x14ac:dyDescent="0.3">
      <c r="N29">
        <v>11</v>
      </c>
      <c r="O29">
        <v>244</v>
      </c>
      <c r="P29">
        <f t="shared" si="3"/>
        <v>22.181818181818183</v>
      </c>
    </row>
    <row r="30" spans="1:28" hidden="1" x14ac:dyDescent="0.3">
      <c r="N30">
        <v>19</v>
      </c>
      <c r="O30">
        <v>392</v>
      </c>
      <c r="P30">
        <f t="shared" si="3"/>
        <v>20.631578947368421</v>
      </c>
    </row>
    <row r="31" spans="1:28" hidden="1" x14ac:dyDescent="0.3">
      <c r="N31">
        <v>10</v>
      </c>
      <c r="O31">
        <v>218</v>
      </c>
      <c r="P31">
        <f t="shared" si="3"/>
        <v>21.8</v>
      </c>
    </row>
    <row r="32" spans="1:28" hidden="1" x14ac:dyDescent="0.3">
      <c r="N32">
        <v>45</v>
      </c>
      <c r="O32">
        <v>1565</v>
      </c>
      <c r="P32">
        <f t="shared" si="3"/>
        <v>34.777777777777779</v>
      </c>
    </row>
    <row r="33" spans="1:19" hidden="1" x14ac:dyDescent="0.3">
      <c r="Q33">
        <v>18</v>
      </c>
      <c r="R33">
        <v>370</v>
      </c>
      <c r="S33">
        <f t="shared" si="3"/>
        <v>20.555555555555557</v>
      </c>
    </row>
    <row r="34" spans="1:19" hidden="1" x14ac:dyDescent="0.3">
      <c r="Q34">
        <v>53</v>
      </c>
      <c r="R34">
        <v>1100</v>
      </c>
      <c r="S34">
        <f t="shared" si="3"/>
        <v>20.754716981132077</v>
      </c>
    </row>
    <row r="35" spans="1:19" hidden="1" x14ac:dyDescent="0.3">
      <c r="Q35">
        <v>6</v>
      </c>
      <c r="R35">
        <v>127</v>
      </c>
      <c r="S35">
        <f t="shared" si="3"/>
        <v>21.166666666666668</v>
      </c>
    </row>
    <row r="36" spans="1:19" hidden="1" x14ac:dyDescent="0.3">
      <c r="F36" t="s">
        <v>106</v>
      </c>
      <c r="Q36">
        <f>AVERAGE(Q27:Q35)</f>
        <v>25.666666666666668</v>
      </c>
      <c r="R36">
        <f>AVERAGE(R27:R35)</f>
        <v>532.33333333333337</v>
      </c>
    </row>
    <row r="37" spans="1:19" hidden="1" x14ac:dyDescent="0.3">
      <c r="E37" t="s">
        <v>173</v>
      </c>
      <c r="F37" t="s">
        <v>107</v>
      </c>
    </row>
    <row r="38" spans="1:19" hidden="1" x14ac:dyDescent="0.3">
      <c r="E38" t="s">
        <v>174</v>
      </c>
      <c r="F38" t="s">
        <v>108</v>
      </c>
    </row>
    <row r="39" spans="1:19" hidden="1" x14ac:dyDescent="0.3">
      <c r="E39" t="s">
        <v>175</v>
      </c>
      <c r="F39" t="s">
        <v>109</v>
      </c>
    </row>
    <row r="40" spans="1:19" hidden="1" x14ac:dyDescent="0.3">
      <c r="E40" s="23"/>
      <c r="F40" t="s">
        <v>110</v>
      </c>
    </row>
    <row r="41" spans="1:19" hidden="1" x14ac:dyDescent="0.3">
      <c r="A41" s="47" t="s">
        <v>150</v>
      </c>
      <c r="B41" t="s">
        <v>156</v>
      </c>
      <c r="E41" s="22"/>
      <c r="F41" t="s">
        <v>111</v>
      </c>
    </row>
    <row r="42" spans="1:19" hidden="1" x14ac:dyDescent="0.3">
      <c r="A42" s="47" t="s">
        <v>153</v>
      </c>
      <c r="B42" t="s">
        <v>159</v>
      </c>
      <c r="F42" t="s">
        <v>112</v>
      </c>
    </row>
    <row r="43" spans="1:19" hidden="1" x14ac:dyDescent="0.3">
      <c r="A43" s="47" t="s">
        <v>154</v>
      </c>
      <c r="E43" s="22"/>
      <c r="F43" t="s">
        <v>113</v>
      </c>
      <c r="J43" t="s">
        <v>158</v>
      </c>
    </row>
    <row r="44" spans="1:19" hidden="1" x14ac:dyDescent="0.3">
      <c r="A44" s="47" t="s">
        <v>155</v>
      </c>
      <c r="E44" s="22"/>
      <c r="F44" s="7" t="s">
        <v>114</v>
      </c>
    </row>
    <row r="45" spans="1:19" hidden="1" x14ac:dyDescent="0.3">
      <c r="B45" t="s">
        <v>147</v>
      </c>
      <c r="E45" s="22"/>
      <c r="F45" s="7" t="s">
        <v>115</v>
      </c>
      <c r="J45" t="s">
        <v>168</v>
      </c>
    </row>
    <row r="46" spans="1:19" hidden="1" x14ac:dyDescent="0.3">
      <c r="B46" t="s">
        <v>148</v>
      </c>
      <c r="E46" s="7"/>
      <c r="F46" s="7" t="s">
        <v>116</v>
      </c>
    </row>
    <row r="47" spans="1:19" hidden="1" x14ac:dyDescent="0.3">
      <c r="E47" s="7"/>
      <c r="F47" s="7" t="s">
        <v>117</v>
      </c>
    </row>
    <row r="48" spans="1:19" hidden="1" x14ac:dyDescent="0.3">
      <c r="D48" s="20"/>
      <c r="E48" t="s">
        <v>122</v>
      </c>
      <c r="F48" s="7" t="s">
        <v>123</v>
      </c>
      <c r="G48" s="7"/>
    </row>
    <row r="49" spans="2:16" hidden="1" x14ac:dyDescent="0.3">
      <c r="E49" t="s">
        <v>126</v>
      </c>
      <c r="F49" s="7" t="s">
        <v>127</v>
      </c>
      <c r="J49" t="s">
        <v>160</v>
      </c>
    </row>
    <row r="50" spans="2:16" hidden="1" x14ac:dyDescent="0.3">
      <c r="J50" t="s">
        <v>161</v>
      </c>
    </row>
    <row r="51" spans="2:16" hidden="1" x14ac:dyDescent="0.3">
      <c r="F51" s="7" t="s">
        <v>157</v>
      </c>
      <c r="J51" t="s">
        <v>162</v>
      </c>
    </row>
    <row r="52" spans="2:16" hidden="1" x14ac:dyDescent="0.3">
      <c r="J52" t="s">
        <v>165</v>
      </c>
      <c r="K52" t="s">
        <v>163</v>
      </c>
    </row>
    <row r="53" spans="2:16" hidden="1" x14ac:dyDescent="0.3">
      <c r="B53" t="s">
        <v>134</v>
      </c>
      <c r="K53" t="s">
        <v>166</v>
      </c>
    </row>
    <row r="54" spans="2:16" hidden="1" x14ac:dyDescent="0.3">
      <c r="K54" t="s">
        <v>164</v>
      </c>
    </row>
    <row r="55" spans="2:16" hidden="1" x14ac:dyDescent="0.3">
      <c r="E55">
        <v>3</v>
      </c>
      <c r="F55" t="s">
        <v>118</v>
      </c>
      <c r="G55">
        <v>4</v>
      </c>
      <c r="H55">
        <v>5</v>
      </c>
      <c r="K55" t="s">
        <v>167</v>
      </c>
    </row>
    <row r="56" spans="2:16" hidden="1" x14ac:dyDescent="0.3">
      <c r="I56">
        <v>6</v>
      </c>
      <c r="J56" t="s">
        <v>118</v>
      </c>
    </row>
    <row r="57" spans="2:16" hidden="1" x14ac:dyDescent="0.3">
      <c r="L57">
        <v>8</v>
      </c>
      <c r="M57">
        <v>9</v>
      </c>
      <c r="N57" t="s">
        <v>118</v>
      </c>
      <c r="O57">
        <v>10</v>
      </c>
      <c r="P57">
        <v>11</v>
      </c>
    </row>
    <row r="58" spans="2:16" hidden="1" x14ac:dyDescent="0.3">
      <c r="B58" t="s">
        <v>121</v>
      </c>
      <c r="E58" t="s">
        <v>132</v>
      </c>
      <c r="F58" t="s">
        <v>135</v>
      </c>
      <c r="K58">
        <v>7</v>
      </c>
    </row>
    <row r="59" spans="2:16" hidden="1" x14ac:dyDescent="0.3">
      <c r="B59" t="s">
        <v>124</v>
      </c>
      <c r="C59" t="s">
        <v>125</v>
      </c>
    </row>
    <row r="60" spans="2:16" hidden="1" x14ac:dyDescent="0.3">
      <c r="B60" t="s">
        <v>119</v>
      </c>
      <c r="E60" t="s">
        <v>137</v>
      </c>
      <c r="F60" t="s">
        <v>135</v>
      </c>
    </row>
    <row r="61" spans="2:16" hidden="1" x14ac:dyDescent="0.3">
      <c r="B61" t="s">
        <v>120</v>
      </c>
      <c r="E61" t="s">
        <v>140</v>
      </c>
      <c r="F61" t="s">
        <v>141</v>
      </c>
    </row>
    <row r="63" spans="2:16" hidden="1" x14ac:dyDescent="0.3">
      <c r="B63" t="s">
        <v>149</v>
      </c>
    </row>
    <row r="64" spans="2:16" hidden="1" x14ac:dyDescent="0.3">
      <c r="D64">
        <v>2</v>
      </c>
    </row>
    <row r="65" spans="1:8" hidden="1" x14ac:dyDescent="0.3">
      <c r="B65" t="s">
        <v>118</v>
      </c>
      <c r="C65">
        <v>1</v>
      </c>
    </row>
    <row r="68" spans="1:8" hidden="1" x14ac:dyDescent="0.3">
      <c r="A68" t="s">
        <v>128</v>
      </c>
      <c r="B68" t="s">
        <v>130</v>
      </c>
    </row>
    <row r="69" spans="1:8" hidden="1" x14ac:dyDescent="0.3">
      <c r="A69" t="s">
        <v>129</v>
      </c>
    </row>
    <row r="70" spans="1:8" hidden="1" x14ac:dyDescent="0.3">
      <c r="A70" t="s">
        <v>131</v>
      </c>
      <c r="B70" t="s">
        <v>133</v>
      </c>
    </row>
    <row r="71" spans="1:8" hidden="1" x14ac:dyDescent="0.3">
      <c r="A71" t="s">
        <v>136</v>
      </c>
      <c r="B71" t="s">
        <v>138</v>
      </c>
      <c r="C71" t="s">
        <v>139</v>
      </c>
      <c r="F71" t="s">
        <v>302</v>
      </c>
    </row>
    <row r="72" spans="1:8" hidden="1" x14ac:dyDescent="0.3">
      <c r="F72" t="s">
        <v>303</v>
      </c>
      <c r="H72" t="s">
        <v>304</v>
      </c>
    </row>
    <row r="73" spans="1:8" hidden="1" x14ac:dyDescent="0.3">
      <c r="B73" t="s">
        <v>142</v>
      </c>
      <c r="D73">
        <v>3</v>
      </c>
    </row>
    <row r="74" spans="1:8" hidden="1" x14ac:dyDescent="0.3">
      <c r="B74">
        <v>0.4</v>
      </c>
      <c r="C74">
        <v>2</v>
      </c>
      <c r="D74">
        <f>C75*(1+$B$74)</f>
        <v>1.9599999999999997</v>
      </c>
    </row>
    <row r="75" spans="1:8" hidden="1" x14ac:dyDescent="0.3">
      <c r="B75">
        <v>1</v>
      </c>
      <c r="C75">
        <f>B75*(1+$B$74)</f>
        <v>1.4</v>
      </c>
      <c r="F75" t="s">
        <v>305</v>
      </c>
    </row>
    <row r="76" spans="1:8" hidden="1" x14ac:dyDescent="0.3">
      <c r="F76" t="s">
        <v>306</v>
      </c>
    </row>
    <row r="77" spans="1:8" hidden="1" x14ac:dyDescent="0.3">
      <c r="A77" t="s">
        <v>144</v>
      </c>
      <c r="B77" t="s">
        <v>143</v>
      </c>
    </row>
    <row r="78" spans="1:8" hidden="1" x14ac:dyDescent="0.3">
      <c r="F78" t="s">
        <v>307</v>
      </c>
    </row>
    <row r="79" spans="1:8" hidden="1" x14ac:dyDescent="0.3">
      <c r="B79" t="s">
        <v>145</v>
      </c>
      <c r="F79" t="s">
        <v>308</v>
      </c>
    </row>
    <row r="80" spans="1:8" hidden="1" x14ac:dyDescent="0.3">
      <c r="B80" t="s">
        <v>146</v>
      </c>
    </row>
    <row r="81" spans="1:6" hidden="1" x14ac:dyDescent="0.3">
      <c r="F81" t="s">
        <v>309</v>
      </c>
    </row>
    <row r="82" spans="1:6" hidden="1" x14ac:dyDescent="0.3">
      <c r="F82" t="s">
        <v>310</v>
      </c>
    </row>
    <row r="83" spans="1:6" hidden="1" x14ac:dyDescent="0.3">
      <c r="F83" t="s">
        <v>311</v>
      </c>
    </row>
    <row r="84" spans="1:6" hidden="1" x14ac:dyDescent="0.3">
      <c r="B84" t="s">
        <v>151</v>
      </c>
      <c r="F84" t="s">
        <v>329</v>
      </c>
    </row>
    <row r="85" spans="1:6" hidden="1" x14ac:dyDescent="0.3">
      <c r="B85" t="s">
        <v>152</v>
      </c>
      <c r="F85" t="s">
        <v>312</v>
      </c>
    </row>
    <row r="86" spans="1:6" hidden="1" x14ac:dyDescent="0.3">
      <c r="F86" t="s">
        <v>313</v>
      </c>
    </row>
    <row r="87" spans="1:6" hidden="1" x14ac:dyDescent="0.3">
      <c r="F87" t="s">
        <v>314</v>
      </c>
    </row>
    <row r="88" spans="1:6" hidden="1" x14ac:dyDescent="0.3">
      <c r="A88" t="s">
        <v>370</v>
      </c>
      <c r="F88" t="s">
        <v>315</v>
      </c>
    </row>
    <row r="89" spans="1:6" hidden="1" x14ac:dyDescent="0.3">
      <c r="A89" t="s">
        <v>364</v>
      </c>
      <c r="F89" t="s">
        <v>317</v>
      </c>
    </row>
    <row r="90" spans="1:6" hidden="1" x14ac:dyDescent="0.3">
      <c r="A90" t="s">
        <v>365</v>
      </c>
      <c r="B90">
        <v>6000</v>
      </c>
      <c r="F90" t="s">
        <v>316</v>
      </c>
    </row>
    <row r="91" spans="1:6" hidden="1" x14ac:dyDescent="0.3">
      <c r="A91" t="s">
        <v>366</v>
      </c>
      <c r="B91">
        <v>6200</v>
      </c>
    </row>
    <row r="92" spans="1:6" hidden="1" x14ac:dyDescent="0.3">
      <c r="A92" t="s">
        <v>367</v>
      </c>
      <c r="F92" t="s">
        <v>318</v>
      </c>
    </row>
    <row r="93" spans="1:6" hidden="1" x14ac:dyDescent="0.3">
      <c r="A93" t="s">
        <v>368</v>
      </c>
      <c r="B93">
        <v>5500</v>
      </c>
    </row>
    <row r="94" spans="1:6" hidden="1" x14ac:dyDescent="0.3">
      <c r="A94" t="s">
        <v>369</v>
      </c>
      <c r="B94">
        <v>6650</v>
      </c>
      <c r="F94" t="s">
        <v>319</v>
      </c>
    </row>
    <row r="97" spans="6:9" hidden="1" x14ac:dyDescent="0.3">
      <c r="F97" t="s">
        <v>322</v>
      </c>
      <c r="H97" t="s">
        <v>323</v>
      </c>
    </row>
    <row r="100" spans="6:9" hidden="1" x14ac:dyDescent="0.3">
      <c r="F100" t="s">
        <v>324</v>
      </c>
      <c r="I100" t="s">
        <v>327</v>
      </c>
    </row>
    <row r="101" spans="6:9" hidden="1" x14ac:dyDescent="0.3">
      <c r="F101" t="s">
        <v>325</v>
      </c>
    </row>
    <row r="103" spans="6:9" hidden="1" x14ac:dyDescent="0.3">
      <c r="F103" t="s">
        <v>326</v>
      </c>
    </row>
    <row r="105" spans="6:9" hidden="1" x14ac:dyDescent="0.3">
      <c r="H105">
        <f>900*3.2</f>
        <v>2880</v>
      </c>
      <c r="I105" t="s">
        <v>328</v>
      </c>
    </row>
  </sheetData>
  <sheetProtection sheet="1" objects="1" scenarios="1"/>
  <protectedRanges>
    <protectedRange sqref="C3:C4 C6:C11 G3:G11 I6:I7 K3:K11 C15:C19" name="Grey cells"/>
  </protectedRanges>
  <dataValidations disablePrompts="1" count="1">
    <dataValidation type="list" allowBlank="1" showInputMessage="1" showErrorMessage="1" sqref="C11" xr:uid="{313AFE7C-8D38-43E7-B013-5F8764732F09}">
      <formula1>$Q$6:$Q$7</formula1>
    </dataValidation>
  </dataValidations>
  <hyperlinks>
    <hyperlink ref="O4" r:id="rId1" display="https://northernpecans.blogspot.com/search?q=yield" xr:uid="{3345DB37-5AA0-4493-9685-FA5D19F763A5}"/>
  </hyperlinks>
  <pageMargins left="0.7" right="0.7" top="0.75" bottom="0.75" header="0.3" footer="0.3"/>
  <pageSetup scale="34"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6A854-8F12-497C-A13C-D5CF01DBB6DD}">
  <dimension ref="A1:T151"/>
  <sheetViews>
    <sheetView workbookViewId="0"/>
  </sheetViews>
  <sheetFormatPr defaultRowHeight="16.5" zeroHeight="1" x14ac:dyDescent="0.3"/>
  <cols>
    <col min="1" max="1" width="24.625" bestFit="1" customWidth="1"/>
    <col min="2" max="2" width="21.75" bestFit="1" customWidth="1"/>
    <col min="3" max="3" width="18.125" bestFit="1" customWidth="1"/>
    <col min="6" max="9" width="0" hidden="1" customWidth="1"/>
    <col min="11" max="12" width="27.875" customWidth="1"/>
    <col min="13" max="13" width="57.25" customWidth="1"/>
    <col min="14" max="14" width="12.625" bestFit="1" customWidth="1"/>
    <col min="15" max="15" width="10.125" customWidth="1"/>
    <col min="16" max="16" width="12" customWidth="1"/>
    <col min="17" max="17" width="11.875" bestFit="1" customWidth="1"/>
    <col min="18" max="18" width="8.75" bestFit="1" customWidth="1"/>
    <col min="19" max="19" width="10" bestFit="1" customWidth="1"/>
    <col min="20" max="20" width="10.125" customWidth="1"/>
    <col min="21" max="21" width="26.5" customWidth="1"/>
    <col min="23" max="23" width="9.125" bestFit="1" customWidth="1"/>
    <col min="24" max="24" width="12.25" bestFit="1" customWidth="1"/>
    <col min="25" max="25" width="11.625" bestFit="1" customWidth="1"/>
    <col min="26" max="27" width="11.625" customWidth="1"/>
  </cols>
  <sheetData>
    <row r="1" spans="1:20" ht="17.25" x14ac:dyDescent="0.3">
      <c r="A1" s="171" t="s">
        <v>53</v>
      </c>
      <c r="B1" s="172"/>
      <c r="C1" s="173"/>
      <c r="K1" s="165" t="s">
        <v>472</v>
      </c>
      <c r="L1" s="165"/>
      <c r="M1" s="166" t="s">
        <v>568</v>
      </c>
    </row>
    <row r="2" spans="1:20" x14ac:dyDescent="0.3">
      <c r="A2" s="245" t="s">
        <v>55</v>
      </c>
      <c r="B2" s="246" t="s">
        <v>1</v>
      </c>
      <c r="C2" s="247" t="s">
        <v>56</v>
      </c>
      <c r="K2" s="184" t="s">
        <v>457</v>
      </c>
      <c r="L2" s="65" t="s">
        <v>458</v>
      </c>
      <c r="M2" s="330" t="s">
        <v>567</v>
      </c>
    </row>
    <row r="3" spans="1:20" x14ac:dyDescent="0.3">
      <c r="A3" s="248" t="s">
        <v>58</v>
      </c>
      <c r="B3" s="3">
        <v>2</v>
      </c>
      <c r="C3" s="249">
        <v>25</v>
      </c>
      <c r="M3" s="330"/>
    </row>
    <row r="4" spans="1:20" x14ac:dyDescent="0.3">
      <c r="A4" s="248" t="s">
        <v>57</v>
      </c>
      <c r="B4" s="3">
        <v>2</v>
      </c>
      <c r="C4" s="249">
        <v>30</v>
      </c>
      <c r="K4" s="184"/>
      <c r="L4" s="267"/>
      <c r="M4" s="330"/>
    </row>
    <row r="5" spans="1:20" x14ac:dyDescent="0.3">
      <c r="A5" s="248" t="s">
        <v>59</v>
      </c>
      <c r="B5" s="3">
        <v>2</v>
      </c>
      <c r="C5" s="249">
        <v>44</v>
      </c>
      <c r="K5" s="184" t="s">
        <v>455</v>
      </c>
      <c r="L5" s="14" t="s">
        <v>449</v>
      </c>
      <c r="M5" s="330" t="s">
        <v>566</v>
      </c>
    </row>
    <row r="6" spans="1:20" x14ac:dyDescent="0.3">
      <c r="A6" s="248" t="s">
        <v>60</v>
      </c>
      <c r="B6" s="3">
        <v>2</v>
      </c>
      <c r="C6" s="249">
        <v>40</v>
      </c>
      <c r="J6" s="102" t="s">
        <v>550</v>
      </c>
      <c r="K6" s="184"/>
      <c r="L6" s="267"/>
      <c r="M6" s="330"/>
    </row>
    <row r="7" spans="1:20" x14ac:dyDescent="0.3">
      <c r="A7" s="248" t="s">
        <v>373</v>
      </c>
      <c r="B7" s="3">
        <v>2</v>
      </c>
      <c r="C7" s="249">
        <v>450</v>
      </c>
      <c r="J7" s="102" t="s">
        <v>550</v>
      </c>
      <c r="K7" s="184"/>
      <c r="L7" s="267"/>
      <c r="M7" s="330"/>
    </row>
    <row r="8" spans="1:20" ht="17.25" thickBot="1" x14ac:dyDescent="0.35">
      <c r="A8" s="248" t="s">
        <v>61</v>
      </c>
      <c r="B8" s="3">
        <v>2</v>
      </c>
      <c r="C8" s="249">
        <v>350</v>
      </c>
      <c r="J8" s="102" t="s">
        <v>550</v>
      </c>
      <c r="K8" s="184"/>
      <c r="L8" s="267"/>
    </row>
    <row r="9" spans="1:20" ht="17.25" x14ac:dyDescent="0.3">
      <c r="A9" s="248" t="s">
        <v>62</v>
      </c>
      <c r="B9" s="3">
        <v>2</v>
      </c>
      <c r="C9" s="250">
        <v>180</v>
      </c>
      <c r="J9" s="102" t="s">
        <v>550</v>
      </c>
      <c r="K9" s="171" t="s">
        <v>449</v>
      </c>
      <c r="L9" s="172"/>
      <c r="M9" s="172"/>
      <c r="N9" s="172"/>
      <c r="O9" s="172"/>
      <c r="P9" s="172"/>
      <c r="Q9" s="172"/>
      <c r="R9" s="172"/>
      <c r="S9" s="172"/>
      <c r="T9" s="173"/>
    </row>
    <row r="10" spans="1:20" ht="17.25" thickBot="1" x14ac:dyDescent="0.35">
      <c r="A10" s="251"/>
      <c r="B10" s="60"/>
      <c r="C10" s="252"/>
      <c r="J10" s="102" t="s">
        <v>550</v>
      </c>
      <c r="K10" s="98" t="s">
        <v>55</v>
      </c>
      <c r="L10" s="87" t="s">
        <v>462</v>
      </c>
      <c r="M10" s="86" t="s">
        <v>450</v>
      </c>
      <c r="N10" s="231" t="s">
        <v>451</v>
      </c>
      <c r="O10" s="231" t="s">
        <v>18</v>
      </c>
      <c r="P10" s="231" t="s">
        <v>456</v>
      </c>
      <c r="Q10" s="231" t="s">
        <v>32</v>
      </c>
      <c r="R10" s="231" t="s">
        <v>33</v>
      </c>
      <c r="S10" s="231" t="s">
        <v>23</v>
      </c>
      <c r="T10" s="232" t="s">
        <v>447</v>
      </c>
    </row>
    <row r="11" spans="1:20" x14ac:dyDescent="0.3">
      <c r="A11" s="33"/>
      <c r="B11" s="246" t="s">
        <v>16</v>
      </c>
      <c r="C11" s="253">
        <f>SUMPRODUCT(B3:B10,C3:C10)</f>
        <v>2238</v>
      </c>
      <c r="J11" s="102" t="s">
        <v>550</v>
      </c>
      <c r="K11" s="33" t="s">
        <v>414</v>
      </c>
      <c r="L11" s="92" t="s">
        <v>412</v>
      </c>
      <c r="M11" s="3" t="s">
        <v>575</v>
      </c>
      <c r="N11" s="201">
        <v>23000</v>
      </c>
      <c r="O11" s="3">
        <v>20</v>
      </c>
      <c r="P11" s="100">
        <v>0.3</v>
      </c>
      <c r="Q11" s="181">
        <f t="shared" ref="Q11:Q25" si="0">IF($L11=$O$146,(N11-(N11*P11))/O11,0)</f>
        <v>805</v>
      </c>
      <c r="R11" s="181">
        <f>IF($L11=$O$146,(N11+N11*P11)/2*Inputs!$K$9,0)</f>
        <v>1046.5</v>
      </c>
      <c r="S11" s="100">
        <v>0.02</v>
      </c>
      <c r="T11" s="203">
        <f t="shared" ref="T11:T25" si="1">IF(L11=$O$146,S11*N11,0)</f>
        <v>460</v>
      </c>
    </row>
    <row r="12" spans="1:20" x14ac:dyDescent="0.3">
      <c r="A12" s="33"/>
      <c r="C12" s="254"/>
      <c r="J12" s="102" t="s">
        <v>550</v>
      </c>
      <c r="K12" s="33" t="s">
        <v>426</v>
      </c>
      <c r="L12" s="92" t="s">
        <v>412</v>
      </c>
      <c r="M12" s="3" t="s">
        <v>446</v>
      </c>
      <c r="N12" s="201">
        <v>13000</v>
      </c>
      <c r="O12" s="3">
        <v>10</v>
      </c>
      <c r="P12" s="100">
        <v>0.3</v>
      </c>
      <c r="Q12" s="181">
        <f t="shared" si="0"/>
        <v>910</v>
      </c>
      <c r="R12" s="181">
        <f>IF($L12=$O$146,(N12+N12*P12)/2*Inputs!$K$9,0)</f>
        <v>591.5</v>
      </c>
      <c r="S12" s="100">
        <v>0.02</v>
      </c>
      <c r="T12" s="203">
        <f t="shared" si="1"/>
        <v>260</v>
      </c>
    </row>
    <row r="13" spans="1:20" ht="17.25" x14ac:dyDescent="0.3">
      <c r="A13" s="255" t="s">
        <v>476</v>
      </c>
      <c r="B13" s="168"/>
      <c r="C13" s="256"/>
      <c r="J13" s="102" t="s">
        <v>550</v>
      </c>
      <c r="K13" s="33" t="s">
        <v>362</v>
      </c>
      <c r="L13" s="92" t="s">
        <v>412</v>
      </c>
      <c r="M13" s="3" t="s">
        <v>437</v>
      </c>
      <c r="N13" s="201">
        <v>45000</v>
      </c>
      <c r="O13" s="3">
        <v>15</v>
      </c>
      <c r="P13" s="100">
        <v>0.2</v>
      </c>
      <c r="Q13" s="181">
        <f t="shared" si="0"/>
        <v>2400</v>
      </c>
      <c r="R13" s="181">
        <f>IF($L13=$O$146,(N13+N13*P13)/2*Inputs!$K$9,0)</f>
        <v>1890.0000000000002</v>
      </c>
      <c r="S13" s="100">
        <v>0.05</v>
      </c>
      <c r="T13" s="203">
        <f t="shared" si="1"/>
        <v>2250</v>
      </c>
    </row>
    <row r="14" spans="1:20" x14ac:dyDescent="0.3">
      <c r="A14" s="257" t="s">
        <v>55</v>
      </c>
      <c r="B14" s="258" t="s">
        <v>25</v>
      </c>
      <c r="C14" s="259" t="s">
        <v>477</v>
      </c>
      <c r="J14" s="102" t="s">
        <v>550</v>
      </c>
      <c r="K14" s="33" t="s">
        <v>416</v>
      </c>
      <c r="L14" s="92" t="s">
        <v>412</v>
      </c>
      <c r="M14" s="3" t="s">
        <v>445</v>
      </c>
      <c r="N14" s="201">
        <v>6000</v>
      </c>
      <c r="O14" s="3">
        <v>20</v>
      </c>
      <c r="P14" s="100">
        <v>0.2</v>
      </c>
      <c r="Q14" s="181">
        <f t="shared" si="0"/>
        <v>240</v>
      </c>
      <c r="R14" s="181">
        <f>IF($L14=$O$146,(N14+N14*P14)/2*Inputs!$K$9,0)</f>
        <v>252.00000000000003</v>
      </c>
      <c r="S14" s="100">
        <v>0.05</v>
      </c>
      <c r="T14" s="203">
        <f t="shared" si="1"/>
        <v>300</v>
      </c>
    </row>
    <row r="15" spans="1:20" x14ac:dyDescent="0.3">
      <c r="A15" s="33" t="s">
        <v>478</v>
      </c>
      <c r="B15" t="s">
        <v>479</v>
      </c>
      <c r="C15" s="260">
        <v>11</v>
      </c>
      <c r="J15" s="102" t="s">
        <v>551</v>
      </c>
      <c r="K15" s="33" t="s">
        <v>361</v>
      </c>
      <c r="L15" s="92" t="s">
        <v>412</v>
      </c>
      <c r="M15" s="3" t="s">
        <v>442</v>
      </c>
      <c r="N15" s="201">
        <v>20000</v>
      </c>
      <c r="O15" s="3">
        <v>15</v>
      </c>
      <c r="P15" s="100">
        <v>0.3</v>
      </c>
      <c r="Q15" s="181">
        <f t="shared" si="0"/>
        <v>933.33333333333337</v>
      </c>
      <c r="R15" s="181">
        <f>IF($L15=$O$146,(N15+N15*P15)/2*Inputs!$K$9,0)</f>
        <v>910.00000000000011</v>
      </c>
      <c r="S15" s="100">
        <v>0.05</v>
      </c>
      <c r="T15" s="203">
        <f t="shared" si="1"/>
        <v>1000</v>
      </c>
    </row>
    <row r="16" spans="1:20" x14ac:dyDescent="0.3">
      <c r="A16" s="33" t="s">
        <v>334</v>
      </c>
      <c r="B16" t="s">
        <v>480</v>
      </c>
      <c r="C16" s="254">
        <f>ROUND(B60*B57/C15,0)</f>
        <v>49</v>
      </c>
      <c r="J16" s="102" t="s">
        <v>551</v>
      </c>
      <c r="K16" s="33" t="s">
        <v>419</v>
      </c>
      <c r="L16" s="92" t="s">
        <v>412</v>
      </c>
      <c r="M16" s="3" t="s">
        <v>576</v>
      </c>
      <c r="N16" s="201">
        <v>15000</v>
      </c>
      <c r="O16" s="3">
        <v>20</v>
      </c>
      <c r="P16" s="100">
        <v>0.5</v>
      </c>
      <c r="Q16" s="181">
        <f t="shared" si="0"/>
        <v>375</v>
      </c>
      <c r="R16" s="181">
        <f>IF($L16=$O$146,(N16+N16*P16)/2*Inputs!$K$9,0)</f>
        <v>787.50000000000011</v>
      </c>
      <c r="S16" s="100">
        <v>0.02</v>
      </c>
      <c r="T16" s="203">
        <f t="shared" si="1"/>
        <v>300</v>
      </c>
    </row>
    <row r="17" spans="1:20" x14ac:dyDescent="0.3">
      <c r="A17" s="33" t="s">
        <v>481</v>
      </c>
      <c r="B17" t="s">
        <v>335</v>
      </c>
      <c r="C17" s="260">
        <v>40</v>
      </c>
      <c r="J17" s="102" t="s">
        <v>551</v>
      </c>
      <c r="K17" s="33" t="s">
        <v>420</v>
      </c>
      <c r="L17" s="92" t="s">
        <v>413</v>
      </c>
      <c r="M17" s="3" t="s">
        <v>443</v>
      </c>
      <c r="N17" s="201">
        <v>2500</v>
      </c>
      <c r="O17" s="3">
        <v>10</v>
      </c>
      <c r="P17" s="100">
        <v>0.25</v>
      </c>
      <c r="Q17" s="181">
        <f t="shared" si="0"/>
        <v>0</v>
      </c>
      <c r="R17" s="181">
        <f>IF($L17=$O$146,(N17+N17*P17)/2*Inputs!$K$9,0)</f>
        <v>0</v>
      </c>
      <c r="S17" s="100">
        <v>0.02</v>
      </c>
      <c r="T17" s="203">
        <f t="shared" si="1"/>
        <v>0</v>
      </c>
    </row>
    <row r="18" spans="1:20" x14ac:dyDescent="0.3">
      <c r="A18" s="33" t="s">
        <v>346</v>
      </c>
      <c r="B18" t="s">
        <v>482</v>
      </c>
      <c r="C18" s="261">
        <v>0.5</v>
      </c>
      <c r="J18" s="102" t="s">
        <v>551</v>
      </c>
      <c r="K18" s="33" t="s">
        <v>421</v>
      </c>
      <c r="L18" s="92" t="s">
        <v>412</v>
      </c>
      <c r="M18" s="3" t="s">
        <v>577</v>
      </c>
      <c r="N18" s="201">
        <v>15000</v>
      </c>
      <c r="O18" s="3">
        <v>10</v>
      </c>
      <c r="P18" s="100">
        <v>0.4</v>
      </c>
      <c r="Q18" s="181">
        <f t="shared" si="0"/>
        <v>900</v>
      </c>
      <c r="R18" s="181">
        <f>IF($L18=$O$146,(N18+N18*P18)/2*Inputs!$K$9,0)</f>
        <v>735.00000000000011</v>
      </c>
      <c r="S18" s="100">
        <v>0.03</v>
      </c>
      <c r="T18" s="203">
        <f t="shared" si="1"/>
        <v>450</v>
      </c>
    </row>
    <row r="19" spans="1:20" x14ac:dyDescent="0.3">
      <c r="A19" s="33" t="s">
        <v>336</v>
      </c>
      <c r="B19" t="s">
        <v>337</v>
      </c>
      <c r="C19" s="254">
        <f>C17*B60*B57*C18</f>
        <v>10800</v>
      </c>
      <c r="J19" s="102" t="s">
        <v>551</v>
      </c>
      <c r="K19" s="33" t="s">
        <v>422</v>
      </c>
      <c r="L19" s="92" t="s">
        <v>413</v>
      </c>
      <c r="M19" s="3" t="s">
        <v>454</v>
      </c>
      <c r="N19" s="201">
        <v>5200</v>
      </c>
      <c r="O19" s="3">
        <v>20</v>
      </c>
      <c r="P19" s="100">
        <v>0.3</v>
      </c>
      <c r="Q19" s="181">
        <f t="shared" si="0"/>
        <v>0</v>
      </c>
      <c r="R19" s="181">
        <f>IF($L19=$O$146,(N19+N19*P19)/2*Inputs!$K$9,0)</f>
        <v>0</v>
      </c>
      <c r="S19" s="100">
        <v>0.02</v>
      </c>
      <c r="T19" s="203">
        <f t="shared" si="1"/>
        <v>0</v>
      </c>
    </row>
    <row r="20" spans="1:20" x14ac:dyDescent="0.3">
      <c r="A20" s="33" t="s">
        <v>483</v>
      </c>
      <c r="B20" t="s">
        <v>485</v>
      </c>
      <c r="C20" s="254">
        <f>_xlfn.MINIFS($A$40:$A$48,$B$40:$B$48,"&gt;"&amp;$C$19)</f>
        <v>2.5</v>
      </c>
      <c r="J20" s="102" t="s">
        <v>551</v>
      </c>
      <c r="K20" s="33" t="s">
        <v>415</v>
      </c>
      <c r="L20" s="92" t="s">
        <v>412</v>
      </c>
      <c r="M20" s="3" t="s">
        <v>578</v>
      </c>
      <c r="N20" s="201">
        <v>19000</v>
      </c>
      <c r="O20" s="3">
        <v>20</v>
      </c>
      <c r="P20" s="100">
        <v>0.3</v>
      </c>
      <c r="Q20" s="181">
        <f t="shared" si="0"/>
        <v>665</v>
      </c>
      <c r="R20" s="181">
        <f>IF($L20=$O$146,(N20+N20*P20)/2*Inputs!$K$9,0)</f>
        <v>864.50000000000011</v>
      </c>
      <c r="S20" s="100">
        <v>0.02</v>
      </c>
      <c r="T20" s="203">
        <f t="shared" si="1"/>
        <v>380</v>
      </c>
    </row>
    <row r="21" spans="1:20" x14ac:dyDescent="0.3">
      <c r="A21" s="33" t="s">
        <v>484</v>
      </c>
      <c r="B21" t="s">
        <v>485</v>
      </c>
      <c r="C21" s="254">
        <f>_xlfn.MINIFS($A$40:$A$48,$B$40:$B$48,"&gt;"&amp;$C$16/$E$60*$C$19/C18)</f>
        <v>1</v>
      </c>
      <c r="J21" s="102" t="s">
        <v>552</v>
      </c>
      <c r="K21" s="33" t="s">
        <v>371</v>
      </c>
      <c r="L21" s="92" t="s">
        <v>412</v>
      </c>
      <c r="M21" s="3" t="s">
        <v>438</v>
      </c>
      <c r="N21" s="201">
        <v>5800</v>
      </c>
      <c r="O21" s="3">
        <v>20</v>
      </c>
      <c r="P21" s="100">
        <v>0.3</v>
      </c>
      <c r="Q21" s="181">
        <f t="shared" si="0"/>
        <v>203</v>
      </c>
      <c r="R21" s="181">
        <f>IF($L21=$O$146,(N21+N21*P21)/2*Inputs!$K$9,0)</f>
        <v>263.90000000000003</v>
      </c>
      <c r="S21" s="100">
        <v>0.04</v>
      </c>
      <c r="T21" s="203">
        <f t="shared" si="1"/>
        <v>232</v>
      </c>
    </row>
    <row r="22" spans="1:20" ht="17.25" x14ac:dyDescent="0.3">
      <c r="A22" s="255" t="s">
        <v>486</v>
      </c>
      <c r="B22" s="168"/>
      <c r="C22" s="256"/>
      <c r="J22" s="102" t="s">
        <v>552</v>
      </c>
      <c r="K22" s="33" t="s">
        <v>359</v>
      </c>
      <c r="L22" s="92" t="s">
        <v>412</v>
      </c>
      <c r="M22" s="3" t="s">
        <v>440</v>
      </c>
      <c r="N22" s="201">
        <v>7200</v>
      </c>
      <c r="O22" s="3">
        <v>20</v>
      </c>
      <c r="P22" s="100">
        <v>0.2</v>
      </c>
      <c r="Q22" s="181">
        <f t="shared" si="0"/>
        <v>288</v>
      </c>
      <c r="R22" s="181">
        <f>IF($L22=$O$146,(N22+N22*P22)/2*Inputs!$K$9,0)</f>
        <v>302.40000000000003</v>
      </c>
      <c r="S22" s="100">
        <v>0.05</v>
      </c>
      <c r="T22" s="203">
        <f t="shared" si="1"/>
        <v>360</v>
      </c>
    </row>
    <row r="23" spans="1:20" x14ac:dyDescent="0.3">
      <c r="A23" s="33"/>
      <c r="B23" t="s">
        <v>56</v>
      </c>
      <c r="C23" s="262" t="s">
        <v>473</v>
      </c>
      <c r="J23" s="102" t="s">
        <v>552</v>
      </c>
      <c r="K23" s="33" t="s">
        <v>417</v>
      </c>
      <c r="L23" s="92" t="s">
        <v>412</v>
      </c>
      <c r="M23" s="3" t="s">
        <v>579</v>
      </c>
      <c r="N23" s="201">
        <v>6000</v>
      </c>
      <c r="O23" s="3">
        <v>20</v>
      </c>
      <c r="P23" s="100">
        <v>0.2</v>
      </c>
      <c r="Q23" s="181">
        <f t="shared" si="0"/>
        <v>240</v>
      </c>
      <c r="R23" s="181">
        <f>IF($L23=$O$146,(N23+N23*P23)/2*Inputs!$K$9,0)</f>
        <v>252.00000000000003</v>
      </c>
      <c r="S23" s="100">
        <v>0.03</v>
      </c>
      <c r="T23" s="203">
        <f t="shared" si="1"/>
        <v>180</v>
      </c>
    </row>
    <row r="24" spans="1:20" x14ac:dyDescent="0.3">
      <c r="A24" s="33" t="s">
        <v>498</v>
      </c>
      <c r="B24" s="263">
        <v>10400</v>
      </c>
      <c r="C24" s="261">
        <v>1</v>
      </c>
      <c r="J24" s="102" t="s">
        <v>552</v>
      </c>
      <c r="K24" s="33" t="s">
        <v>418</v>
      </c>
      <c r="L24" s="92" t="s">
        <v>412</v>
      </c>
      <c r="M24" s="3" t="s">
        <v>580</v>
      </c>
      <c r="N24" s="201">
        <v>20000</v>
      </c>
      <c r="O24" s="3">
        <v>20</v>
      </c>
      <c r="P24" s="100">
        <v>0.2</v>
      </c>
      <c r="Q24" s="181">
        <f t="shared" si="0"/>
        <v>800</v>
      </c>
      <c r="R24" s="181">
        <f>IF($L24=$O$146,(N24+N24*P24)/2*Inputs!$K$9,0)</f>
        <v>840.00000000000011</v>
      </c>
      <c r="S24" s="100">
        <v>0.05</v>
      </c>
      <c r="T24" s="203">
        <f t="shared" si="1"/>
        <v>1000</v>
      </c>
    </row>
    <row r="25" spans="1:20" x14ac:dyDescent="0.3">
      <c r="A25" s="33" t="s">
        <v>342</v>
      </c>
      <c r="B25" s="263">
        <f>VLOOKUP(C20,A40:C48,3,FALSE)*MIN(B58:B59)</f>
        <v>2226.3999999999996</v>
      </c>
      <c r="C25" s="261">
        <v>1</v>
      </c>
      <c r="J25" s="102"/>
      <c r="K25" s="33" t="s">
        <v>360</v>
      </c>
      <c r="L25" s="92" t="s">
        <v>412</v>
      </c>
      <c r="M25" s="3" t="s">
        <v>581</v>
      </c>
      <c r="N25" s="201">
        <v>12000</v>
      </c>
      <c r="O25" s="3">
        <v>20</v>
      </c>
      <c r="P25" s="100">
        <v>0.2</v>
      </c>
      <c r="Q25" s="181">
        <f t="shared" si="0"/>
        <v>480</v>
      </c>
      <c r="R25" s="181">
        <f>IF($L25=$O$146,(N25+N25*P25)/2*Inputs!$K$9,0)</f>
        <v>504.00000000000006</v>
      </c>
      <c r="S25" s="100">
        <v>0.05</v>
      </c>
      <c r="T25" s="203">
        <f t="shared" si="1"/>
        <v>600</v>
      </c>
    </row>
    <row r="26" spans="1:20" x14ac:dyDescent="0.3">
      <c r="A26" s="33" t="s">
        <v>347</v>
      </c>
      <c r="B26" s="263">
        <f>VLOOKUP(C21,A40:C48,3,FALSE)*MAX(B58:B59)*C15</f>
        <v>2722.5</v>
      </c>
      <c r="C26" s="261">
        <v>1</v>
      </c>
      <c r="J26" s="102"/>
      <c r="K26" s="33" t="s">
        <v>423</v>
      </c>
      <c r="L26" s="88"/>
      <c r="M26" s="3" t="s">
        <v>429</v>
      </c>
      <c r="N26" s="201">
        <v>30000</v>
      </c>
      <c r="O26" s="3">
        <v>20</v>
      </c>
      <c r="P26" s="100">
        <v>0.4</v>
      </c>
      <c r="Q26" s="181">
        <f>IF($L$2=Investment!$N$146,(N26-(N26*P26))/O26,0)</f>
        <v>900</v>
      </c>
      <c r="R26" s="181">
        <f>IF($L$2=Investment!$N$146,(N26+N26*P26)/2*Inputs!$K$9,0)</f>
        <v>1470.0000000000002</v>
      </c>
      <c r="S26" s="100">
        <v>0.02</v>
      </c>
      <c r="T26" s="203">
        <f>IF($L$2=Investment!$N$146,N26*S26,0)</f>
        <v>600</v>
      </c>
    </row>
    <row r="27" spans="1:20" x14ac:dyDescent="0.3">
      <c r="A27" s="33" t="s">
        <v>348</v>
      </c>
      <c r="B27" s="263">
        <f>C15*VLOOKUP(C21,A40:D48,4,FALSE)</f>
        <v>27.39</v>
      </c>
      <c r="C27" s="261">
        <v>1</v>
      </c>
      <c r="J27" s="102"/>
      <c r="K27" s="33" t="s">
        <v>424</v>
      </c>
      <c r="L27" s="88"/>
      <c r="M27" s="3" t="s">
        <v>428</v>
      </c>
      <c r="N27" s="201">
        <v>5200</v>
      </c>
      <c r="O27" s="3">
        <v>15</v>
      </c>
      <c r="P27" s="100">
        <v>0.2</v>
      </c>
      <c r="Q27" s="181">
        <f>IF($L$2=Investment!$N$146,(N27-(N27*P27))/O27,0)</f>
        <v>277.33333333333331</v>
      </c>
      <c r="R27" s="181">
        <f>IF($L$2=Investment!$N$146,(N27+N27*P27)/2*Inputs!$K$9,0)</f>
        <v>218.40000000000003</v>
      </c>
      <c r="S27" s="100">
        <v>0.02</v>
      </c>
      <c r="T27" s="203">
        <f>IF($L$2=Investment!$N$146,N27*S27,0)</f>
        <v>104</v>
      </c>
    </row>
    <row r="28" spans="1:20" x14ac:dyDescent="0.3">
      <c r="A28" s="33" t="s">
        <v>350</v>
      </c>
      <c r="B28" s="263">
        <f>ROUNDUP(C15/10,0)*VLOOKUP(C20,A40:D49,4,FALSE)</f>
        <v>37.78</v>
      </c>
      <c r="C28" s="261">
        <v>1</v>
      </c>
      <c r="J28" s="102"/>
      <c r="K28" s="33" t="s">
        <v>434</v>
      </c>
      <c r="L28" s="88"/>
      <c r="M28" s="3" t="s">
        <v>435</v>
      </c>
      <c r="N28" s="201">
        <v>4000</v>
      </c>
      <c r="O28" s="3">
        <v>15</v>
      </c>
      <c r="P28" s="100">
        <v>0.2</v>
      </c>
      <c r="Q28" s="181">
        <f>IF($L$2=Investment!$N$146,(N28-(N28*P28))/O28,0)</f>
        <v>213.33333333333334</v>
      </c>
      <c r="R28" s="181">
        <f>IF($L$2=Investment!$N$146,(N28+N28*P28)/2*Inputs!$K$9,0)</f>
        <v>168.00000000000003</v>
      </c>
      <c r="S28" s="100">
        <v>0.02</v>
      </c>
      <c r="T28" s="203">
        <f>IF($L$2=Investment!$N$146,N28*S28,0)</f>
        <v>80</v>
      </c>
    </row>
    <row r="29" spans="1:20" ht="17.25" thickBot="1" x14ac:dyDescent="0.35">
      <c r="A29" s="33" t="s">
        <v>351</v>
      </c>
      <c r="B29" s="263">
        <f>E60*D55</f>
        <v>404.25</v>
      </c>
      <c r="C29" s="261">
        <v>1</v>
      </c>
      <c r="J29" s="102"/>
      <c r="K29" s="98" t="s">
        <v>425</v>
      </c>
      <c r="L29" s="87"/>
      <c r="M29" s="89" t="s">
        <v>432</v>
      </c>
      <c r="N29" s="202">
        <v>25000</v>
      </c>
      <c r="O29" s="89">
        <v>15</v>
      </c>
      <c r="P29" s="90">
        <v>0.1</v>
      </c>
      <c r="Q29" s="185">
        <f>IF($L$2=Investment!$N$146,(N29-(N29*P29))/O29,0)</f>
        <v>1500</v>
      </c>
      <c r="R29" s="185">
        <f>IF($L$2=Investment!$N$146,(N29+N29*P29)/2*Inputs!$K$9,0)</f>
        <v>962.50000000000011</v>
      </c>
      <c r="S29" s="90">
        <v>0.02</v>
      </c>
      <c r="T29" s="204">
        <f>IF($L$2=Investment!$N$146,N29*S29,0)</f>
        <v>500</v>
      </c>
    </row>
    <row r="30" spans="1:20" x14ac:dyDescent="0.3">
      <c r="A30" s="33" t="s">
        <v>352</v>
      </c>
      <c r="B30" s="263">
        <f>VLOOKUP(C21,A40:E42,5,FALSE)*E60</f>
        <v>485.1</v>
      </c>
      <c r="C30" s="261">
        <v>1</v>
      </c>
      <c r="J30" s="102" t="s">
        <v>550</v>
      </c>
      <c r="K30" s="192" t="s">
        <v>553</v>
      </c>
      <c r="L30" s="193"/>
      <c r="M30" s="193"/>
      <c r="N30" s="195">
        <f>SUMIF(L11:L19,"yes",N11:N19)</f>
        <v>137000</v>
      </c>
      <c r="O30" s="193"/>
      <c r="P30" s="193"/>
      <c r="Q30" s="195">
        <f>SUM(Q11:Q19)</f>
        <v>6563.333333333333</v>
      </c>
      <c r="R30" s="195">
        <f>SUM(R11:R19)</f>
        <v>6212.5</v>
      </c>
      <c r="S30" s="194"/>
      <c r="T30" s="196">
        <f>SUM(T11:T19)</f>
        <v>5020</v>
      </c>
    </row>
    <row r="31" spans="1:20" x14ac:dyDescent="0.3">
      <c r="A31" s="33" t="s">
        <v>354</v>
      </c>
      <c r="B31" s="263">
        <v>4000</v>
      </c>
      <c r="C31" s="261">
        <v>1</v>
      </c>
      <c r="J31" s="102" t="s">
        <v>550</v>
      </c>
      <c r="K31" s="42" t="s">
        <v>554</v>
      </c>
      <c r="L31" s="11"/>
      <c r="M31" s="11"/>
      <c r="N31" s="197">
        <f>SUMIF(L20:L25,"yes",N20:N25)+IF(L2="In-house",SUM(N26:N29),0)</f>
        <v>134200</v>
      </c>
      <c r="O31" s="197"/>
      <c r="P31" s="197"/>
      <c r="Q31" s="197">
        <f>SUM(Q20:Q29)</f>
        <v>5566.666666666667</v>
      </c>
      <c r="R31" s="197">
        <f t="shared" ref="R31" si="2">SUM(R20:R29)</f>
        <v>5845.7</v>
      </c>
      <c r="S31" s="197"/>
      <c r="T31" s="198">
        <f t="shared" ref="T31" si="3">SUM(T20:T29)</f>
        <v>4036</v>
      </c>
    </row>
    <row r="32" spans="1:20" x14ac:dyDescent="0.3">
      <c r="A32" s="33" t="s">
        <v>355</v>
      </c>
      <c r="B32" s="263">
        <v>50000</v>
      </c>
      <c r="C32" s="261">
        <v>0</v>
      </c>
      <c r="J32" s="102" t="s">
        <v>550</v>
      </c>
      <c r="K32" s="36" t="s">
        <v>555</v>
      </c>
      <c r="L32" s="9"/>
      <c r="M32" s="9"/>
      <c r="N32" s="205">
        <f>N30+N31</f>
        <v>271200</v>
      </c>
      <c r="O32" s="205"/>
      <c r="P32" s="205"/>
      <c r="Q32" s="205">
        <f>Q30+Q31</f>
        <v>12130</v>
      </c>
      <c r="R32" s="205">
        <f>R30+R31</f>
        <v>12058.2</v>
      </c>
      <c r="S32" s="205"/>
      <c r="T32" s="206">
        <f>T30+T31</f>
        <v>9056</v>
      </c>
    </row>
    <row r="33" spans="1:20" ht="17.25" x14ac:dyDescent="0.3">
      <c r="A33" s="33" t="s">
        <v>356</v>
      </c>
      <c r="B33" s="263">
        <v>30000</v>
      </c>
      <c r="C33" s="261">
        <v>0</v>
      </c>
      <c r="J33" s="102" t="s">
        <v>550</v>
      </c>
      <c r="K33" s="174" t="s">
        <v>448</v>
      </c>
      <c r="L33" s="175"/>
      <c r="M33" s="175"/>
      <c r="N33" s="175"/>
      <c r="O33" s="175"/>
      <c r="P33" s="175"/>
      <c r="Q33" s="175"/>
      <c r="R33" s="175"/>
      <c r="S33" s="175"/>
      <c r="T33" s="176"/>
    </row>
    <row r="34" spans="1:20" ht="17.25" thickBot="1" x14ac:dyDescent="0.35">
      <c r="A34" s="42" t="s">
        <v>357</v>
      </c>
      <c r="B34" s="154">
        <v>7200</v>
      </c>
      <c r="C34" s="264">
        <v>1</v>
      </c>
      <c r="J34" s="102" t="s">
        <v>550</v>
      </c>
      <c r="K34" s="98" t="s">
        <v>55</v>
      </c>
      <c r="L34" s="87" t="s">
        <v>462</v>
      </c>
      <c r="M34" s="86" t="s">
        <v>452</v>
      </c>
      <c r="N34" s="86" t="s">
        <v>451</v>
      </c>
      <c r="O34" s="86" t="s">
        <v>18</v>
      </c>
      <c r="P34" s="86" t="s">
        <v>456</v>
      </c>
      <c r="Q34" s="86" t="s">
        <v>32</v>
      </c>
      <c r="R34" s="86" t="s">
        <v>33</v>
      </c>
      <c r="S34" s="86" t="s">
        <v>23</v>
      </c>
      <c r="T34" s="99" t="s">
        <v>447</v>
      </c>
    </row>
    <row r="35" spans="1:20" ht="17.25" thickBot="1" x14ac:dyDescent="0.35">
      <c r="A35" s="265" t="s">
        <v>16</v>
      </c>
      <c r="B35" s="266">
        <f>SUMPRODUCT(B24:B34,C24:C34)</f>
        <v>27503.42</v>
      </c>
      <c r="C35" s="99"/>
      <c r="J35" s="102" t="s">
        <v>550</v>
      </c>
      <c r="K35" s="33" t="s">
        <v>414</v>
      </c>
      <c r="L35" s="92" t="s">
        <v>412</v>
      </c>
      <c r="M35" s="3" t="s">
        <v>582</v>
      </c>
      <c r="N35" s="201">
        <v>10000</v>
      </c>
      <c r="O35" s="3">
        <v>10</v>
      </c>
      <c r="P35" s="100">
        <v>0.3</v>
      </c>
      <c r="Q35" s="181">
        <f t="shared" ref="Q35:Q49" si="4">IF($L11=$O$146,(N35-(N35*P35))/O35,0)</f>
        <v>700</v>
      </c>
      <c r="R35" s="181">
        <f>IF($L11=$O$146,(N35+N35*P35)/2*Inputs!$K$9,0)</f>
        <v>455.00000000000006</v>
      </c>
      <c r="S35" s="100">
        <v>0.08</v>
      </c>
      <c r="T35" s="203">
        <f t="shared" ref="T35:T49" si="5">IF(L11=$O$146,S35*N35,0)</f>
        <v>800</v>
      </c>
    </row>
    <row r="36" spans="1:20" x14ac:dyDescent="0.3">
      <c r="J36" s="102" t="s">
        <v>550</v>
      </c>
      <c r="K36" s="33" t="s">
        <v>426</v>
      </c>
      <c r="L36" s="92" t="s">
        <v>412</v>
      </c>
      <c r="M36" s="3" t="s">
        <v>444</v>
      </c>
      <c r="N36" s="201">
        <v>8000</v>
      </c>
      <c r="O36" s="3">
        <v>5</v>
      </c>
      <c r="P36" s="100">
        <v>0.3</v>
      </c>
      <c r="Q36" s="181">
        <f t="shared" si="4"/>
        <v>1120</v>
      </c>
      <c r="R36" s="181">
        <f>IF($L12=$O$146,(N36+N36*P36)/2*Inputs!$K$9,0)</f>
        <v>364.00000000000006</v>
      </c>
      <c r="S36" s="100">
        <v>0.08</v>
      </c>
      <c r="T36" s="203">
        <f t="shared" si="5"/>
        <v>640</v>
      </c>
    </row>
    <row r="37" spans="1:20" x14ac:dyDescent="0.3">
      <c r="A37" s="106"/>
      <c r="B37" s="106"/>
      <c r="C37" s="106"/>
      <c r="J37" s="102" t="s">
        <v>550</v>
      </c>
      <c r="K37" s="33" t="s">
        <v>362</v>
      </c>
      <c r="L37" s="92" t="s">
        <v>412</v>
      </c>
      <c r="M37" s="3" t="s">
        <v>583</v>
      </c>
      <c r="N37" s="201">
        <v>3300</v>
      </c>
      <c r="O37" s="3">
        <v>10</v>
      </c>
      <c r="P37" s="100">
        <v>0.2</v>
      </c>
      <c r="Q37" s="181">
        <f t="shared" si="4"/>
        <v>264</v>
      </c>
      <c r="R37" s="181">
        <f>IF($L13=$O$146,(N37+N37*P37)/2*Inputs!$K$9,0)</f>
        <v>138.60000000000002</v>
      </c>
      <c r="S37" s="100">
        <v>0.12</v>
      </c>
      <c r="T37" s="203">
        <f t="shared" si="5"/>
        <v>396</v>
      </c>
    </row>
    <row r="38" spans="1:20" x14ac:dyDescent="0.3">
      <c r="A38" s="102" t="s">
        <v>338</v>
      </c>
      <c r="B38" s="102" t="s">
        <v>339</v>
      </c>
      <c r="C38" s="102"/>
      <c r="D38" s="102"/>
      <c r="E38" s="102"/>
      <c r="J38" s="102" t="s">
        <v>550</v>
      </c>
      <c r="K38" s="33" t="s">
        <v>416</v>
      </c>
      <c r="L38" s="92" t="s">
        <v>412</v>
      </c>
      <c r="M38" s="3" t="s">
        <v>584</v>
      </c>
      <c r="N38" s="201">
        <v>700</v>
      </c>
      <c r="O38" s="3">
        <v>10</v>
      </c>
      <c r="P38" s="100">
        <v>0.2</v>
      </c>
      <c r="Q38" s="181">
        <f t="shared" si="4"/>
        <v>56</v>
      </c>
      <c r="R38" s="181">
        <f>IF($L14=$O$146,(N38+N38*P38)/2*Inputs!$K$9,0)</f>
        <v>29.400000000000002</v>
      </c>
      <c r="S38" s="100">
        <v>0.15</v>
      </c>
      <c r="T38" s="203">
        <f t="shared" si="5"/>
        <v>105</v>
      </c>
    </row>
    <row r="39" spans="1:20" x14ac:dyDescent="0.3">
      <c r="A39" s="102" t="s">
        <v>340</v>
      </c>
      <c r="B39" s="102" t="s">
        <v>341</v>
      </c>
      <c r="C39" s="102" t="s">
        <v>345</v>
      </c>
      <c r="D39" s="102" t="s">
        <v>349</v>
      </c>
      <c r="E39" s="102" t="s">
        <v>352</v>
      </c>
      <c r="J39" s="102" t="s">
        <v>551</v>
      </c>
      <c r="K39" s="33" t="s">
        <v>361</v>
      </c>
      <c r="L39" s="92" t="s">
        <v>412</v>
      </c>
      <c r="M39" s="3" t="s">
        <v>585</v>
      </c>
      <c r="N39" s="201">
        <v>3000</v>
      </c>
      <c r="O39" s="3">
        <v>10</v>
      </c>
      <c r="P39" s="100">
        <v>0.3</v>
      </c>
      <c r="Q39" s="181">
        <f t="shared" si="4"/>
        <v>210</v>
      </c>
      <c r="R39" s="181">
        <f>IF($L15=$O$146,(N39+N39*P39)/2*Inputs!$K$9,0)</f>
        <v>136.5</v>
      </c>
      <c r="S39" s="100">
        <v>0.1</v>
      </c>
      <c r="T39" s="203">
        <f t="shared" si="5"/>
        <v>300</v>
      </c>
    </row>
    <row r="40" spans="1:20" x14ac:dyDescent="0.3">
      <c r="A40" s="244">
        <v>0.5</v>
      </c>
      <c r="B40" s="102">
        <v>840</v>
      </c>
      <c r="C40" s="102">
        <v>0.09</v>
      </c>
      <c r="D40" s="102">
        <v>1.0900000000000001</v>
      </c>
      <c r="E40" s="102">
        <v>0.42</v>
      </c>
      <c r="J40" s="102" t="s">
        <v>551</v>
      </c>
      <c r="K40" s="33" t="s">
        <v>419</v>
      </c>
      <c r="L40" s="92" t="s">
        <v>412</v>
      </c>
      <c r="M40" s="3" t="s">
        <v>443</v>
      </c>
      <c r="N40" s="201">
        <v>2500</v>
      </c>
      <c r="O40" s="3">
        <v>10</v>
      </c>
      <c r="P40" s="100">
        <v>0.5</v>
      </c>
      <c r="Q40" s="181">
        <f t="shared" si="4"/>
        <v>125</v>
      </c>
      <c r="R40" s="181">
        <f>IF($L16=$O$146,(N40+N40*P40)/2*Inputs!$K$9,0)</f>
        <v>131.25</v>
      </c>
      <c r="S40" s="100">
        <v>0.1</v>
      </c>
      <c r="T40" s="203">
        <f t="shared" si="5"/>
        <v>250</v>
      </c>
    </row>
    <row r="41" spans="1:20" x14ac:dyDescent="0.3">
      <c r="A41" s="102">
        <v>0.75</v>
      </c>
      <c r="B41" s="102">
        <v>1410</v>
      </c>
      <c r="C41" s="102">
        <v>0.16</v>
      </c>
      <c r="D41" s="102">
        <v>1.69</v>
      </c>
      <c r="E41" s="102">
        <v>0.48</v>
      </c>
      <c r="J41" s="102" t="s">
        <v>551</v>
      </c>
      <c r="K41" s="33" t="s">
        <v>420</v>
      </c>
      <c r="L41" s="92" t="s">
        <v>413</v>
      </c>
      <c r="M41" s="3"/>
      <c r="N41" s="201"/>
      <c r="O41" s="3">
        <v>10</v>
      </c>
      <c r="P41" s="100">
        <v>0.5</v>
      </c>
      <c r="Q41" s="181">
        <f t="shared" si="4"/>
        <v>0</v>
      </c>
      <c r="R41" s="181">
        <f>IF($L17=$O$146,(N41+N41*P41)/2*Inputs!$K$9,0)</f>
        <v>0</v>
      </c>
      <c r="S41" s="100"/>
      <c r="T41" s="203">
        <f t="shared" si="5"/>
        <v>0</v>
      </c>
    </row>
    <row r="42" spans="1:20" x14ac:dyDescent="0.3">
      <c r="A42" s="102">
        <v>1</v>
      </c>
      <c r="B42" s="102">
        <v>2200</v>
      </c>
      <c r="C42" s="102">
        <v>0.25</v>
      </c>
      <c r="D42" s="102">
        <v>2.4900000000000002</v>
      </c>
      <c r="E42" s="102">
        <v>0.9</v>
      </c>
      <c r="J42" s="102" t="s">
        <v>551</v>
      </c>
      <c r="K42" s="33" t="s">
        <v>421</v>
      </c>
      <c r="L42" s="92" t="s">
        <v>412</v>
      </c>
      <c r="M42" s="3" t="s">
        <v>586</v>
      </c>
      <c r="N42" s="201">
        <v>5000</v>
      </c>
      <c r="O42" s="3">
        <v>6</v>
      </c>
      <c r="P42" s="100">
        <v>0.4</v>
      </c>
      <c r="Q42" s="181">
        <f t="shared" si="4"/>
        <v>500</v>
      </c>
      <c r="R42" s="181">
        <f>IF($L18=$O$146,(N42+N42*P42)/2*Inputs!$K$9,0)</f>
        <v>245.00000000000003</v>
      </c>
      <c r="S42" s="100">
        <v>0.1</v>
      </c>
      <c r="T42" s="203">
        <f t="shared" si="5"/>
        <v>500</v>
      </c>
    </row>
    <row r="43" spans="1:20" x14ac:dyDescent="0.3">
      <c r="A43" s="102">
        <v>1.5</v>
      </c>
      <c r="B43" s="102">
        <v>4830</v>
      </c>
      <c r="C43" s="102">
        <v>1.19</v>
      </c>
      <c r="D43" s="102">
        <v>4.8899999999999997</v>
      </c>
      <c r="E43" s="102"/>
      <c r="J43" s="102" t="s">
        <v>551</v>
      </c>
      <c r="K43" s="33" t="s">
        <v>422</v>
      </c>
      <c r="L43" s="92" t="s">
        <v>412</v>
      </c>
      <c r="M43" s="3" t="s">
        <v>453</v>
      </c>
      <c r="N43" s="201">
        <v>1500</v>
      </c>
      <c r="O43" s="3">
        <v>10</v>
      </c>
      <c r="P43" s="100">
        <v>0.3</v>
      </c>
      <c r="Q43" s="181">
        <f t="shared" si="4"/>
        <v>0</v>
      </c>
      <c r="R43" s="181">
        <f>IF($L19=$O$146,(N43+N43*P43)/2*Inputs!$K$9,0)</f>
        <v>0</v>
      </c>
      <c r="S43" s="100">
        <v>0.05</v>
      </c>
      <c r="T43" s="203">
        <f t="shared" si="5"/>
        <v>0</v>
      </c>
    </row>
    <row r="44" spans="1:20" x14ac:dyDescent="0.3">
      <c r="A44" s="102">
        <v>2</v>
      </c>
      <c r="B44" s="102">
        <v>7650</v>
      </c>
      <c r="C44" s="102">
        <v>1.89</v>
      </c>
      <c r="D44" s="102">
        <v>6.79</v>
      </c>
      <c r="E44" s="102"/>
      <c r="J44" s="102" t="s">
        <v>551</v>
      </c>
      <c r="K44" s="33" t="s">
        <v>415</v>
      </c>
      <c r="L44" s="92" t="s">
        <v>412</v>
      </c>
      <c r="M44" s="3" t="s">
        <v>587</v>
      </c>
      <c r="N44" s="201">
        <v>8000</v>
      </c>
      <c r="O44" s="3">
        <v>10</v>
      </c>
      <c r="P44" s="100">
        <v>0.3</v>
      </c>
      <c r="Q44" s="181">
        <f t="shared" si="4"/>
        <v>560</v>
      </c>
      <c r="R44" s="181">
        <f>IF($L20=$O$146,(N44+N44*P44)/2*Inputs!$K$9,0)</f>
        <v>364.00000000000006</v>
      </c>
      <c r="S44" s="100">
        <v>0.08</v>
      </c>
      <c r="T44" s="203">
        <f t="shared" si="5"/>
        <v>640</v>
      </c>
    </row>
    <row r="45" spans="1:20" x14ac:dyDescent="0.3">
      <c r="A45" s="102">
        <v>2.5</v>
      </c>
      <c r="B45" s="102">
        <v>11400</v>
      </c>
      <c r="C45" s="102">
        <v>5.0599999999999996</v>
      </c>
      <c r="D45" s="102">
        <v>18.89</v>
      </c>
      <c r="E45" s="102"/>
      <c r="J45" s="102" t="s">
        <v>552</v>
      </c>
      <c r="K45" s="33" t="s">
        <v>371</v>
      </c>
      <c r="L45" s="92" t="s">
        <v>412</v>
      </c>
      <c r="M45" s="3" t="s">
        <v>439</v>
      </c>
      <c r="N45" s="201">
        <v>2000</v>
      </c>
      <c r="O45" s="3">
        <v>10</v>
      </c>
      <c r="P45" s="100">
        <v>0.3</v>
      </c>
      <c r="Q45" s="181">
        <f t="shared" si="4"/>
        <v>140</v>
      </c>
      <c r="R45" s="181">
        <f>IF($L21=$O$146,(N45+N45*P45)/2*Inputs!$K$9,0)</f>
        <v>91.000000000000014</v>
      </c>
      <c r="S45" s="100">
        <v>0.08</v>
      </c>
      <c r="T45" s="203">
        <f t="shared" si="5"/>
        <v>160</v>
      </c>
    </row>
    <row r="46" spans="1:20" x14ac:dyDescent="0.3">
      <c r="A46" s="102">
        <v>3</v>
      </c>
      <c r="B46" s="102">
        <v>16350</v>
      </c>
      <c r="C46" s="102">
        <v>6.07</v>
      </c>
      <c r="D46" s="102">
        <v>25</v>
      </c>
      <c r="E46" s="102"/>
      <c r="J46" s="102" t="s">
        <v>552</v>
      </c>
      <c r="K46" s="33" t="s">
        <v>359</v>
      </c>
      <c r="L46" s="92" t="s">
        <v>412</v>
      </c>
      <c r="M46" s="3" t="s">
        <v>175</v>
      </c>
      <c r="N46" s="201">
        <v>1500</v>
      </c>
      <c r="O46" s="3">
        <v>5</v>
      </c>
      <c r="P46" s="100">
        <v>0.2</v>
      </c>
      <c r="Q46" s="181">
        <f t="shared" si="4"/>
        <v>240</v>
      </c>
      <c r="R46" s="181">
        <f>IF($L22=$O$146,(N46+N46*P46)/2*Inputs!$K$9,0)</f>
        <v>63.000000000000007</v>
      </c>
      <c r="S46" s="100">
        <v>0.2</v>
      </c>
      <c r="T46" s="203">
        <f t="shared" si="5"/>
        <v>300</v>
      </c>
    </row>
    <row r="47" spans="1:20" x14ac:dyDescent="0.3">
      <c r="A47" s="102">
        <v>4</v>
      </c>
      <c r="B47" s="102">
        <v>28800</v>
      </c>
      <c r="C47" s="102">
        <v>8.26</v>
      </c>
      <c r="D47" s="102">
        <v>56.09</v>
      </c>
      <c r="E47" s="102"/>
      <c r="J47" s="102" t="s">
        <v>552</v>
      </c>
      <c r="K47" s="33" t="s">
        <v>417</v>
      </c>
      <c r="L47" s="92" t="s">
        <v>412</v>
      </c>
      <c r="M47" s="3" t="s">
        <v>588</v>
      </c>
      <c r="N47" s="201">
        <v>1200</v>
      </c>
      <c r="O47" s="3">
        <v>10</v>
      </c>
      <c r="P47" s="100">
        <v>0.2</v>
      </c>
      <c r="Q47" s="181">
        <f t="shared" si="4"/>
        <v>96</v>
      </c>
      <c r="R47" s="181">
        <f>IF($L23=$O$146,(N47+N47*P47)/2*Inputs!$K$9,0)</f>
        <v>50.400000000000006</v>
      </c>
      <c r="S47" s="100">
        <v>0.2</v>
      </c>
      <c r="T47" s="203">
        <f t="shared" si="5"/>
        <v>240</v>
      </c>
    </row>
    <row r="48" spans="1:20" x14ac:dyDescent="0.3">
      <c r="A48" s="102">
        <v>6</v>
      </c>
      <c r="B48" s="102">
        <v>66000</v>
      </c>
      <c r="C48" s="102">
        <v>15.48</v>
      </c>
      <c r="D48" s="102">
        <v>196.99</v>
      </c>
      <c r="E48" s="102"/>
      <c r="J48" s="102" t="s">
        <v>552</v>
      </c>
      <c r="K48" s="33" t="s">
        <v>418</v>
      </c>
      <c r="L48" s="92" t="s">
        <v>412</v>
      </c>
      <c r="M48" s="3" t="s">
        <v>436</v>
      </c>
      <c r="N48" s="201">
        <v>2500</v>
      </c>
      <c r="O48" s="3">
        <v>10</v>
      </c>
      <c r="P48" s="100">
        <v>0.2</v>
      </c>
      <c r="Q48" s="181">
        <f t="shared" si="4"/>
        <v>200</v>
      </c>
      <c r="R48" s="181">
        <f>IF($L24=$O$146,(N48+N48*P48)/2*Inputs!$K$9,0)</f>
        <v>105.00000000000001</v>
      </c>
      <c r="S48" s="100">
        <v>0.2</v>
      </c>
      <c r="T48" s="203">
        <f t="shared" si="5"/>
        <v>500</v>
      </c>
    </row>
    <row r="49" spans="1:20" x14ac:dyDescent="0.3">
      <c r="A49" s="106"/>
      <c r="B49" s="106"/>
      <c r="C49" s="102"/>
      <c r="D49" s="102" t="s">
        <v>448</v>
      </c>
      <c r="E49" s="102" t="s">
        <v>449</v>
      </c>
      <c r="K49" s="33" t="s">
        <v>360</v>
      </c>
      <c r="L49" s="92" t="s">
        <v>412</v>
      </c>
      <c r="M49" s="3" t="s">
        <v>441</v>
      </c>
      <c r="N49" s="201">
        <v>3500</v>
      </c>
      <c r="O49" s="3">
        <v>10</v>
      </c>
      <c r="P49" s="100">
        <v>0.2</v>
      </c>
      <c r="Q49" s="181">
        <f t="shared" si="4"/>
        <v>280</v>
      </c>
      <c r="R49" s="181">
        <f>IF($L25=$O$146,(N49+N49*P49)/2*Inputs!$K$9,0)</f>
        <v>147</v>
      </c>
      <c r="S49" s="100">
        <v>0.2</v>
      </c>
      <c r="T49" s="203">
        <f t="shared" si="5"/>
        <v>700</v>
      </c>
    </row>
    <row r="50" spans="1:20" x14ac:dyDescent="0.3">
      <c r="A50" s="106"/>
      <c r="B50" s="106"/>
      <c r="C50" s="102" t="s">
        <v>197</v>
      </c>
      <c r="D50" s="243">
        <f>N55/N56</f>
        <v>0.58024691358024694</v>
      </c>
      <c r="E50" s="243">
        <f>N31/N32</f>
        <v>0.49483775811209441</v>
      </c>
      <c r="K50" s="33" t="s">
        <v>423</v>
      </c>
      <c r="L50" s="88"/>
      <c r="M50" s="3" t="s">
        <v>430</v>
      </c>
      <c r="N50" s="201">
        <v>15000</v>
      </c>
      <c r="O50" s="3">
        <v>10</v>
      </c>
      <c r="P50" s="100">
        <v>0.4</v>
      </c>
      <c r="Q50" s="181">
        <f>IF($L$2=Investment!$N$146,(N50-(N50*P50))/O50,0)</f>
        <v>900</v>
      </c>
      <c r="R50" s="181">
        <f>IF($L$2=Investment!$N$146,(N50+N50*P50)/2*Inputs!$K$9,0)</f>
        <v>735.00000000000011</v>
      </c>
      <c r="S50" s="100">
        <v>0.1</v>
      </c>
      <c r="T50" s="203">
        <f>IF($L$2=Investment!$N$146,N50*S50,0)</f>
        <v>1500</v>
      </c>
    </row>
    <row r="51" spans="1:20" x14ac:dyDescent="0.3">
      <c r="A51" s="106"/>
      <c r="B51" s="106"/>
      <c r="C51" s="102" t="s">
        <v>561</v>
      </c>
      <c r="D51" s="243">
        <f>N54/N56</f>
        <v>0.41975308641975306</v>
      </c>
      <c r="E51" s="243">
        <f>N30/N32</f>
        <v>0.50516224188790559</v>
      </c>
      <c r="K51" s="33" t="s">
        <v>424</v>
      </c>
      <c r="L51" s="88"/>
      <c r="M51" s="3" t="s">
        <v>427</v>
      </c>
      <c r="N51" s="201">
        <v>3000</v>
      </c>
      <c r="O51" s="3">
        <v>10</v>
      </c>
      <c r="P51" s="100">
        <v>0.2</v>
      </c>
      <c r="Q51" s="181">
        <f>IF($L$2=Investment!$N$146,(N51-(N51*P51))/O51,0)</f>
        <v>240</v>
      </c>
      <c r="R51" s="181">
        <f>IF($L$2=Investment!$N$146,(N51+N51*P51)/2*Inputs!$K$9,0)</f>
        <v>126.00000000000001</v>
      </c>
      <c r="S51" s="100">
        <v>0.1</v>
      </c>
      <c r="T51" s="203">
        <f>IF($L$2=Investment!$N$146,N51*S51,0)</f>
        <v>300</v>
      </c>
    </row>
    <row r="52" spans="1:20" x14ac:dyDescent="0.3">
      <c r="A52" s="106"/>
      <c r="B52" s="106"/>
      <c r="C52" s="106"/>
      <c r="K52" s="33" t="s">
        <v>434</v>
      </c>
      <c r="L52" s="88"/>
      <c r="M52" s="3" t="s">
        <v>431</v>
      </c>
      <c r="N52" s="201">
        <v>300</v>
      </c>
      <c r="O52" s="3">
        <v>10</v>
      </c>
      <c r="P52" s="100">
        <v>0.2</v>
      </c>
      <c r="Q52" s="181">
        <f>IF($L$2=Investment!$N$146,(N52-(N52*P52))/O52,0)</f>
        <v>24</v>
      </c>
      <c r="R52" s="181">
        <f>IF($L$2=Investment!$N$146,(N52+N52*P52)/2*Inputs!$K$9,0)</f>
        <v>12.600000000000001</v>
      </c>
      <c r="S52" s="100">
        <v>0.1</v>
      </c>
      <c r="T52" s="203">
        <f>IF($L$2=Investment!$N$146,N52*S52,0)</f>
        <v>30</v>
      </c>
    </row>
    <row r="53" spans="1:20" ht="17.25" thickBot="1" x14ac:dyDescent="0.35">
      <c r="K53" s="98" t="s">
        <v>425</v>
      </c>
      <c r="L53" s="87"/>
      <c r="M53" s="89" t="s">
        <v>433</v>
      </c>
      <c r="N53" s="202">
        <v>10000</v>
      </c>
      <c r="O53" s="89">
        <v>5</v>
      </c>
      <c r="P53" s="90">
        <v>0.1</v>
      </c>
      <c r="Q53" s="185">
        <f>IF($L$2=Investment!$N$146,(N53-(N53*P53))/O53,0)</f>
        <v>1800</v>
      </c>
      <c r="R53" s="185">
        <f>IF($L$2=Investment!$N$146,(N53+N53*P53)/2*Inputs!$K$9,0)</f>
        <v>385.00000000000006</v>
      </c>
      <c r="S53" s="90">
        <v>0.1</v>
      </c>
      <c r="T53" s="204">
        <f>IF($L$2=Investment!$N$146,N53*S53,0)</f>
        <v>1000</v>
      </c>
    </row>
    <row r="54" spans="1:20" x14ac:dyDescent="0.3">
      <c r="K54" s="192" t="s">
        <v>553</v>
      </c>
      <c r="L54" s="193"/>
      <c r="M54" s="193"/>
      <c r="N54" s="195">
        <f>SUMIF(L35:L43,"yes",N35:N43)</f>
        <v>34000</v>
      </c>
      <c r="O54" s="195"/>
      <c r="P54" s="195"/>
      <c r="Q54" s="195">
        <f>SUM(Q35:Q43)</f>
        <v>2975</v>
      </c>
      <c r="R54" s="195">
        <f>SUM(R35:R43)</f>
        <v>1499.75</v>
      </c>
      <c r="S54" s="195"/>
      <c r="T54" s="196">
        <f>SUM(T35:T43)</f>
        <v>2991</v>
      </c>
    </row>
    <row r="55" spans="1:20" x14ac:dyDescent="0.3">
      <c r="A55" s="102"/>
      <c r="B55" s="102" t="s">
        <v>353</v>
      </c>
      <c r="C55" s="102"/>
      <c r="D55" s="102">
        <v>0.75</v>
      </c>
      <c r="E55" s="102"/>
      <c r="K55" s="42" t="s">
        <v>554</v>
      </c>
      <c r="L55" s="11"/>
      <c r="M55" s="11"/>
      <c r="N55" s="197">
        <f>SUMIF(L44:L49,"yes",N44:N49)+IF(L2="In-house",SUM(N50:N53),0)</f>
        <v>47000</v>
      </c>
      <c r="O55" s="197"/>
      <c r="P55" s="197"/>
      <c r="Q55" s="197">
        <f>SUM(Q44:Q53)</f>
        <v>4480</v>
      </c>
      <c r="R55" s="197">
        <f t="shared" ref="R55:T55" si="6">SUM(R44:R53)</f>
        <v>2079</v>
      </c>
      <c r="S55" s="197"/>
      <c r="T55" s="198">
        <f t="shared" si="6"/>
        <v>5370</v>
      </c>
    </row>
    <row r="56" spans="1:20" ht="17.25" thickBot="1" x14ac:dyDescent="0.35">
      <c r="A56" s="102"/>
      <c r="B56" s="102"/>
      <c r="C56" s="102"/>
      <c r="D56" s="102"/>
      <c r="E56" s="102"/>
      <c r="K56" s="37" t="s">
        <v>555</v>
      </c>
      <c r="L56" s="86"/>
      <c r="M56" s="38"/>
      <c r="N56" s="199">
        <f>N54+N55</f>
        <v>81000</v>
      </c>
      <c r="O56" s="199"/>
      <c r="P56" s="199"/>
      <c r="Q56" s="199">
        <f>Q54+Q55</f>
        <v>7455</v>
      </c>
      <c r="R56" s="199">
        <f>R54+R55</f>
        <v>3578.75</v>
      </c>
      <c r="S56" s="199"/>
      <c r="T56" s="200">
        <f>T54+T55</f>
        <v>8361</v>
      </c>
    </row>
    <row r="57" spans="1:20" x14ac:dyDescent="0.3">
      <c r="A57" s="102" t="s">
        <v>330</v>
      </c>
      <c r="B57" s="268">
        <f>Inputs!C3</f>
        <v>10</v>
      </c>
      <c r="C57" s="102"/>
      <c r="D57" s="102"/>
      <c r="E57" s="102"/>
    </row>
    <row r="58" spans="1:20" x14ac:dyDescent="0.3">
      <c r="A58" s="102" t="s">
        <v>332</v>
      </c>
      <c r="B58" s="102">
        <f>SQRT(B57*43560)/1.5</f>
        <v>440</v>
      </c>
      <c r="C58" s="102"/>
      <c r="D58" s="102" t="s">
        <v>343</v>
      </c>
      <c r="E58" s="102">
        <f>B58*B59/43560</f>
        <v>10</v>
      </c>
    </row>
    <row r="59" spans="1:20" hidden="1" x14ac:dyDescent="0.3">
      <c r="A59" s="102" t="s">
        <v>331</v>
      </c>
      <c r="B59" s="102">
        <f>43560*B57/B58</f>
        <v>990</v>
      </c>
      <c r="C59" s="102"/>
      <c r="D59" s="102"/>
      <c r="E59" s="102"/>
    </row>
    <row r="60" spans="1:20" hidden="1" x14ac:dyDescent="0.3">
      <c r="A60" s="102" t="s">
        <v>333</v>
      </c>
      <c r="B60" s="102">
        <f>Inputs!C5</f>
        <v>54</v>
      </c>
      <c r="C60" s="102"/>
      <c r="D60" s="102" t="s">
        <v>344</v>
      </c>
      <c r="E60" s="102">
        <f>C16*C15</f>
        <v>539</v>
      </c>
    </row>
    <row r="146" spans="13:15" hidden="1" x14ac:dyDescent="0.3">
      <c r="M146" t="s">
        <v>449</v>
      </c>
      <c r="N146" t="s">
        <v>458</v>
      </c>
      <c r="O146" t="s">
        <v>412</v>
      </c>
    </row>
    <row r="147" spans="13:15" hidden="1" x14ac:dyDescent="0.3">
      <c r="M147" t="s">
        <v>448</v>
      </c>
      <c r="N147" t="s">
        <v>459</v>
      </c>
      <c r="O147" t="s">
        <v>413</v>
      </c>
    </row>
    <row r="148" spans="13:15" hidden="1" x14ac:dyDescent="0.3">
      <c r="N148" t="s">
        <v>460</v>
      </c>
    </row>
    <row r="151" spans="13:15" hidden="1" x14ac:dyDescent="0.3">
      <c r="M151" t="s">
        <v>461</v>
      </c>
    </row>
  </sheetData>
  <sheetProtection sheet="1" objects="1" scenarios="1"/>
  <protectedRanges>
    <protectedRange sqref="A3:C10 C15 C17:C18 B24:C24 C25:C34 B31:B34 C40:E42 C43:D48 L11:L25 L35:L49 M11:P29 S35:S53 S11:S29 M35:P53 L5 L2" name="Grey cells"/>
  </protectedRanges>
  <sortState xmlns:xlrd2="http://schemas.microsoft.com/office/spreadsheetml/2017/richdata2" ref="J30:T48">
    <sortCondition ref="J30:J48"/>
  </sortState>
  <mergeCells count="2">
    <mergeCell ref="M2:M4"/>
    <mergeCell ref="M5:M7"/>
  </mergeCells>
  <dataValidations count="3">
    <dataValidation type="list" allowBlank="1" showInputMessage="1" showErrorMessage="1" sqref="L2" xr:uid="{5C12902C-60FB-43C2-8EAA-65A82D176394}">
      <formula1>$N$146:$N$148</formula1>
    </dataValidation>
    <dataValidation type="list" allowBlank="1" showInputMessage="1" showErrorMessage="1" sqref="L4:L8 L5" xr:uid="{73E96672-7A90-40BE-968A-D3C74FE40245}">
      <formula1>$M$146:$M$147</formula1>
    </dataValidation>
    <dataValidation type="list" allowBlank="1" showInputMessage="1" showErrorMessage="1" sqref="L35:L49 L11:L25" xr:uid="{70381967-AC59-482F-8B79-09BACBA895EB}">
      <formula1>$O$146:$O$147</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A32FB-C109-401F-87ED-707827516C17}">
  <dimension ref="A1:BY58"/>
  <sheetViews>
    <sheetView workbookViewId="0">
      <selection sqref="A1:D1"/>
    </sheetView>
  </sheetViews>
  <sheetFormatPr defaultRowHeight="16.5" zeroHeight="1" x14ac:dyDescent="0.3"/>
  <cols>
    <col min="1" max="1" width="35.5" bestFit="1" customWidth="1"/>
    <col min="2" max="2" width="16.625" bestFit="1" customWidth="1"/>
    <col min="3" max="3" width="8.125" customWidth="1"/>
    <col min="4" max="4" width="11.375" customWidth="1"/>
    <col min="5" max="5" width="9.25" bestFit="1" customWidth="1"/>
    <col min="6" max="6" width="13.25" customWidth="1"/>
    <col min="7" max="7" width="15" customWidth="1"/>
    <col min="8" max="8" width="11.375" customWidth="1"/>
    <col min="9" max="9" width="13.125" customWidth="1"/>
    <col min="10" max="11" width="8.5" customWidth="1"/>
    <col min="12" max="12" width="24.25" customWidth="1"/>
    <col min="13" max="13" width="9.125" customWidth="1"/>
    <col min="14" max="14" width="8.5" customWidth="1"/>
    <col min="15" max="15" width="10.375" customWidth="1"/>
    <col min="16" max="77" width="10.25" bestFit="1" customWidth="1"/>
  </cols>
  <sheetData>
    <row r="1" spans="1:77" ht="17.25" x14ac:dyDescent="0.3">
      <c r="A1" s="331" t="s">
        <v>531</v>
      </c>
      <c r="B1" s="332"/>
      <c r="C1" s="332"/>
      <c r="D1" s="333"/>
      <c r="F1" s="334" t="s">
        <v>532</v>
      </c>
      <c r="G1" s="335"/>
      <c r="H1" s="335"/>
      <c r="I1" s="335"/>
      <c r="J1" s="335"/>
      <c r="K1" s="335"/>
      <c r="L1" s="335"/>
      <c r="M1" s="335"/>
      <c r="N1" s="335"/>
      <c r="O1" s="336"/>
    </row>
    <row r="2" spans="1:77" x14ac:dyDescent="0.3">
      <c r="A2" s="245" t="s">
        <v>193</v>
      </c>
      <c r="B2" s="246" t="s">
        <v>0</v>
      </c>
      <c r="C2" s="246" t="s">
        <v>1</v>
      </c>
      <c r="D2" s="247" t="s">
        <v>202</v>
      </c>
      <c r="F2" s="306" t="s">
        <v>511</v>
      </c>
      <c r="G2" s="107" t="s">
        <v>515</v>
      </c>
      <c r="H2" s="107" t="s">
        <v>516</v>
      </c>
      <c r="I2" s="107" t="s">
        <v>564</v>
      </c>
      <c r="J2" s="107" t="s">
        <v>524</v>
      </c>
      <c r="K2" s="107" t="s">
        <v>523</v>
      </c>
      <c r="L2" s="246"/>
      <c r="M2" s="246" t="s">
        <v>371</v>
      </c>
      <c r="N2" s="246" t="s">
        <v>519</v>
      </c>
      <c r="O2" s="307" t="s">
        <v>520</v>
      </c>
    </row>
    <row r="3" spans="1:77" x14ac:dyDescent="0.3">
      <c r="A3" s="248" t="s">
        <v>194</v>
      </c>
      <c r="B3" s="301" t="s">
        <v>199</v>
      </c>
      <c r="C3" s="3">
        <v>15</v>
      </c>
      <c r="D3" s="302">
        <f>Inputs!AA4</f>
        <v>4.625</v>
      </c>
      <c r="E3" s="103">
        <f>Inputs!G9</f>
        <v>18.5</v>
      </c>
      <c r="F3" s="308" t="s">
        <v>512</v>
      </c>
      <c r="G3" t="s">
        <v>391</v>
      </c>
      <c r="H3" s="106">
        <f>ROUND(B48,1)</f>
        <v>12.9</v>
      </c>
      <c r="I3" s="285">
        <v>2</v>
      </c>
      <c r="J3" s="309">
        <f>H3*I3/60</f>
        <v>0.43</v>
      </c>
      <c r="K3" s="106" t="s">
        <v>526</v>
      </c>
      <c r="L3" t="s">
        <v>518</v>
      </c>
      <c r="M3" s="3">
        <v>12</v>
      </c>
      <c r="N3" s="3">
        <v>16</v>
      </c>
      <c r="O3" s="260">
        <v>8</v>
      </c>
    </row>
    <row r="4" spans="1:77" x14ac:dyDescent="0.3">
      <c r="A4" s="248" t="s">
        <v>195</v>
      </c>
      <c r="B4" s="301" t="s">
        <v>199</v>
      </c>
      <c r="C4" s="3">
        <v>8</v>
      </c>
      <c r="D4" s="302">
        <f>Inputs!AA5</f>
        <v>2.4666666666666668</v>
      </c>
      <c r="F4" s="308" t="s">
        <v>513</v>
      </c>
      <c r="G4" t="s">
        <v>391</v>
      </c>
      <c r="H4" s="106">
        <f>ROUND(C48,1)</f>
        <v>38.700000000000003</v>
      </c>
      <c r="I4" s="285">
        <v>2</v>
      </c>
      <c r="J4" s="309">
        <f>H4*I4/60</f>
        <v>1.29</v>
      </c>
      <c r="K4" s="106" t="s">
        <v>526</v>
      </c>
      <c r="L4" t="s">
        <v>517</v>
      </c>
      <c r="M4" s="3">
        <v>4</v>
      </c>
      <c r="N4" s="3">
        <v>2</v>
      </c>
      <c r="O4" s="260">
        <v>3</v>
      </c>
    </row>
    <row r="5" spans="1:77" x14ac:dyDescent="0.3">
      <c r="A5" s="248" t="s">
        <v>196</v>
      </c>
      <c r="B5" s="301" t="s">
        <v>199</v>
      </c>
      <c r="C5" s="3">
        <v>15</v>
      </c>
      <c r="D5" s="302">
        <f>Inputs!AA6</f>
        <v>4.625</v>
      </c>
      <c r="F5" s="308" t="s">
        <v>514</v>
      </c>
      <c r="G5" t="s">
        <v>391</v>
      </c>
      <c r="H5" s="106">
        <f>ROUND(D48,1)</f>
        <v>34.4</v>
      </c>
      <c r="I5" s="285">
        <v>2</v>
      </c>
      <c r="J5" s="309">
        <f>H5*I5/60</f>
        <v>1.1466666666666667</v>
      </c>
      <c r="K5" s="106" t="s">
        <v>526</v>
      </c>
      <c r="L5" t="s">
        <v>525</v>
      </c>
      <c r="M5" s="100">
        <v>0.8</v>
      </c>
      <c r="N5" s="100">
        <v>0.4</v>
      </c>
      <c r="O5" s="261">
        <v>0.6</v>
      </c>
    </row>
    <row r="6" spans="1:77" x14ac:dyDescent="0.3">
      <c r="A6" s="248" t="s">
        <v>394</v>
      </c>
      <c r="B6" s="301" t="s">
        <v>200</v>
      </c>
      <c r="C6">
        <f>F51</f>
        <v>0.375</v>
      </c>
      <c r="D6" s="302">
        <f>Inputs!AA7</f>
        <v>0.11562500000000001</v>
      </c>
      <c r="E6" s="102">
        <f>IF(Investment!$L$2="Custom",1,0)</f>
        <v>0</v>
      </c>
      <c r="F6" s="308" t="s">
        <v>521</v>
      </c>
      <c r="G6" s="106" t="s">
        <v>396</v>
      </c>
      <c r="H6" s="285">
        <v>2000</v>
      </c>
      <c r="I6" s="285">
        <v>2</v>
      </c>
      <c r="J6" s="309">
        <f>2000/H6*I6</f>
        <v>2</v>
      </c>
      <c r="K6" s="106" t="s">
        <v>527</v>
      </c>
      <c r="L6" s="106"/>
      <c r="O6" s="254"/>
    </row>
    <row r="7" spans="1:77" x14ac:dyDescent="0.3">
      <c r="A7" s="248" t="s">
        <v>198</v>
      </c>
      <c r="B7" s="301" t="s">
        <v>474</v>
      </c>
      <c r="C7" s="3">
        <v>8</v>
      </c>
      <c r="D7" s="302">
        <f>Inputs!AA8</f>
        <v>148</v>
      </c>
      <c r="F7" s="308" t="s">
        <v>522</v>
      </c>
      <c r="G7" s="106" t="s">
        <v>396</v>
      </c>
      <c r="H7" s="285">
        <v>4000</v>
      </c>
      <c r="I7" s="285">
        <v>1</v>
      </c>
      <c r="J7" s="309">
        <f t="shared" ref="J7:J8" si="0">2000/H7*I7</f>
        <v>0.5</v>
      </c>
      <c r="K7" s="106" t="s">
        <v>527</v>
      </c>
      <c r="L7" s="106"/>
      <c r="O7" s="254"/>
    </row>
    <row r="8" spans="1:77" x14ac:dyDescent="0.3">
      <c r="A8" s="248" t="s">
        <v>201</v>
      </c>
      <c r="B8" s="301" t="s">
        <v>475</v>
      </c>
      <c r="C8" s="3">
        <v>8</v>
      </c>
      <c r="D8" s="302">
        <f>Inputs!AA9</f>
        <v>148</v>
      </c>
      <c r="F8" s="308" t="s">
        <v>394</v>
      </c>
      <c r="G8" s="106" t="s">
        <v>396</v>
      </c>
      <c r="H8" s="285">
        <v>400</v>
      </c>
      <c r="I8" s="285">
        <v>2</v>
      </c>
      <c r="J8" s="309">
        <f t="shared" si="0"/>
        <v>10</v>
      </c>
      <c r="K8" s="106" t="s">
        <v>527</v>
      </c>
      <c r="L8" s="106"/>
      <c r="O8" s="254"/>
    </row>
    <row r="9" spans="1:77" ht="17.25" thickBot="1" x14ac:dyDescent="0.35">
      <c r="A9" s="303"/>
      <c r="B9" s="304"/>
      <c r="C9" s="89"/>
      <c r="D9" s="305"/>
      <c r="F9" s="310" t="s">
        <v>528</v>
      </c>
      <c r="G9" s="161" t="s">
        <v>530</v>
      </c>
      <c r="H9" s="162">
        <v>5.5</v>
      </c>
      <c r="I9" s="162">
        <v>1</v>
      </c>
      <c r="J9" s="163">
        <f>H9*I9/7*2</f>
        <v>1.5714285714285714</v>
      </c>
      <c r="K9" s="161" t="s">
        <v>527</v>
      </c>
      <c r="L9" s="161"/>
      <c r="M9" s="11"/>
      <c r="N9" s="11"/>
      <c r="O9" s="311"/>
    </row>
    <row r="10" spans="1:77" ht="32.450000000000003" customHeight="1" thickBot="1" x14ac:dyDescent="0.35">
      <c r="C10" s="102">
        <f>'Long-term Model Summary'!L2</f>
        <v>2025</v>
      </c>
      <c r="F10" s="337" t="s">
        <v>529</v>
      </c>
      <c r="G10" s="338"/>
      <c r="H10" s="338"/>
      <c r="I10" s="338"/>
      <c r="J10" s="338"/>
      <c r="K10" s="338"/>
      <c r="L10" s="338"/>
      <c r="M10" s="338"/>
      <c r="N10" s="338"/>
      <c r="O10" s="339"/>
    </row>
    <row r="11" spans="1:77" ht="17.25" thickBot="1" x14ac:dyDescent="0.35"/>
    <row r="12" spans="1:77" ht="17.25" thickBot="1" x14ac:dyDescent="0.35">
      <c r="A12" s="164" t="s">
        <v>181</v>
      </c>
      <c r="B12" s="164" t="s">
        <v>223</v>
      </c>
      <c r="C12" s="164" t="s">
        <v>224</v>
      </c>
      <c r="D12" s="164" t="s">
        <v>225</v>
      </c>
      <c r="E12" s="164" t="s">
        <v>226</v>
      </c>
      <c r="F12" s="164" t="s">
        <v>227</v>
      </c>
      <c r="G12" s="164" t="s">
        <v>228</v>
      </c>
      <c r="H12" s="164" t="s">
        <v>229</v>
      </c>
      <c r="I12" s="164" t="s">
        <v>230</v>
      </c>
      <c r="J12" s="164" t="s">
        <v>231</v>
      </c>
      <c r="K12" s="164" t="s">
        <v>232</v>
      </c>
      <c r="L12" s="164" t="s">
        <v>233</v>
      </c>
      <c r="M12" s="164" t="s">
        <v>234</v>
      </c>
      <c r="N12" s="164" t="s">
        <v>235</v>
      </c>
      <c r="O12" s="164" t="s">
        <v>236</v>
      </c>
      <c r="P12" s="164" t="s">
        <v>237</v>
      </c>
      <c r="Q12" s="164" t="s">
        <v>238</v>
      </c>
      <c r="R12" s="164" t="s">
        <v>239</v>
      </c>
      <c r="S12" s="164" t="s">
        <v>240</v>
      </c>
      <c r="T12" s="164" t="s">
        <v>241</v>
      </c>
      <c r="U12" s="164" t="s">
        <v>242</v>
      </c>
      <c r="V12" s="164" t="s">
        <v>243</v>
      </c>
      <c r="W12" s="164" t="s">
        <v>244</v>
      </c>
      <c r="X12" s="164" t="s">
        <v>245</v>
      </c>
      <c r="Y12" s="164" t="s">
        <v>246</v>
      </c>
      <c r="Z12" s="164" t="s">
        <v>247</v>
      </c>
      <c r="AA12" s="164" t="s">
        <v>248</v>
      </c>
      <c r="AB12" s="164" t="s">
        <v>249</v>
      </c>
      <c r="AC12" s="164" t="s">
        <v>250</v>
      </c>
      <c r="AD12" s="164" t="s">
        <v>251</v>
      </c>
      <c r="AE12" s="164" t="s">
        <v>252</v>
      </c>
      <c r="AF12" s="164" t="s">
        <v>253</v>
      </c>
      <c r="AG12" s="164" t="s">
        <v>254</v>
      </c>
      <c r="AH12" s="164" t="s">
        <v>255</v>
      </c>
      <c r="AI12" s="164" t="s">
        <v>256</v>
      </c>
      <c r="AJ12" s="164" t="s">
        <v>257</v>
      </c>
      <c r="AK12" s="164" t="s">
        <v>258</v>
      </c>
      <c r="AL12" s="164" t="s">
        <v>259</v>
      </c>
      <c r="AM12" s="164" t="s">
        <v>260</v>
      </c>
      <c r="AN12" s="164" t="s">
        <v>261</v>
      </c>
      <c r="AO12" s="164" t="s">
        <v>262</v>
      </c>
      <c r="AP12" s="164" t="s">
        <v>263</v>
      </c>
      <c r="AQ12" s="164" t="s">
        <v>264</v>
      </c>
      <c r="AR12" s="164" t="s">
        <v>265</v>
      </c>
      <c r="AS12" s="164" t="s">
        <v>266</v>
      </c>
      <c r="AT12" s="164" t="s">
        <v>267</v>
      </c>
      <c r="AU12" s="164" t="s">
        <v>268</v>
      </c>
      <c r="AV12" s="164" t="s">
        <v>269</v>
      </c>
      <c r="AW12" s="164" t="s">
        <v>270</v>
      </c>
      <c r="AX12" s="164" t="s">
        <v>271</v>
      </c>
      <c r="AY12" s="164" t="s">
        <v>272</v>
      </c>
      <c r="AZ12" s="164" t="s">
        <v>273</v>
      </c>
      <c r="BA12" s="164" t="s">
        <v>274</v>
      </c>
      <c r="BB12" s="164" t="s">
        <v>275</v>
      </c>
      <c r="BC12" s="164" t="s">
        <v>276</v>
      </c>
      <c r="BD12" s="164" t="s">
        <v>277</v>
      </c>
      <c r="BE12" s="164" t="s">
        <v>278</v>
      </c>
      <c r="BF12" s="164" t="s">
        <v>279</v>
      </c>
      <c r="BG12" s="164" t="s">
        <v>280</v>
      </c>
      <c r="BH12" s="164" t="s">
        <v>281</v>
      </c>
      <c r="BI12" s="164" t="s">
        <v>282</v>
      </c>
      <c r="BJ12" s="164" t="s">
        <v>283</v>
      </c>
      <c r="BK12" s="164" t="s">
        <v>284</v>
      </c>
      <c r="BL12" s="164" t="s">
        <v>285</v>
      </c>
      <c r="BM12" s="164" t="s">
        <v>286</v>
      </c>
      <c r="BN12" s="164" t="s">
        <v>287</v>
      </c>
      <c r="BO12" s="164" t="s">
        <v>288</v>
      </c>
      <c r="BP12" s="164" t="s">
        <v>289</v>
      </c>
      <c r="BQ12" s="164" t="s">
        <v>290</v>
      </c>
      <c r="BR12" s="164" t="s">
        <v>291</v>
      </c>
      <c r="BS12" s="164" t="s">
        <v>292</v>
      </c>
      <c r="BT12" s="164" t="s">
        <v>293</v>
      </c>
      <c r="BU12" s="164" t="s">
        <v>294</v>
      </c>
      <c r="BV12" s="164" t="s">
        <v>295</v>
      </c>
      <c r="BW12" s="164" t="s">
        <v>296</v>
      </c>
      <c r="BX12" s="164" t="s">
        <v>297</v>
      </c>
      <c r="BY12" s="164" t="s">
        <v>298</v>
      </c>
    </row>
    <row r="13" spans="1:77" x14ac:dyDescent="0.3">
      <c r="A13" s="83"/>
      <c r="B13" s="83">
        <f>C10</f>
        <v>2025</v>
      </c>
      <c r="C13" s="83">
        <f>B13+1</f>
        <v>2026</v>
      </c>
      <c r="D13" s="83">
        <f t="shared" ref="D13:BO13" si="1">C13+1</f>
        <v>2027</v>
      </c>
      <c r="E13" s="83">
        <f t="shared" si="1"/>
        <v>2028</v>
      </c>
      <c r="F13" s="83">
        <f t="shared" si="1"/>
        <v>2029</v>
      </c>
      <c r="G13" s="83">
        <f t="shared" si="1"/>
        <v>2030</v>
      </c>
      <c r="H13" s="83">
        <f t="shared" si="1"/>
        <v>2031</v>
      </c>
      <c r="I13" s="83">
        <f t="shared" si="1"/>
        <v>2032</v>
      </c>
      <c r="J13" s="83">
        <f t="shared" si="1"/>
        <v>2033</v>
      </c>
      <c r="K13" s="83">
        <f t="shared" si="1"/>
        <v>2034</v>
      </c>
      <c r="L13" s="83">
        <f t="shared" si="1"/>
        <v>2035</v>
      </c>
      <c r="M13" s="83">
        <f t="shared" si="1"/>
        <v>2036</v>
      </c>
      <c r="N13" s="83">
        <f t="shared" si="1"/>
        <v>2037</v>
      </c>
      <c r="O13" s="83">
        <f t="shared" si="1"/>
        <v>2038</v>
      </c>
      <c r="P13" s="83">
        <f t="shared" si="1"/>
        <v>2039</v>
      </c>
      <c r="Q13" s="83">
        <f t="shared" si="1"/>
        <v>2040</v>
      </c>
      <c r="R13" s="83">
        <f t="shared" si="1"/>
        <v>2041</v>
      </c>
      <c r="S13" s="83">
        <f t="shared" si="1"/>
        <v>2042</v>
      </c>
      <c r="T13" s="83">
        <f t="shared" si="1"/>
        <v>2043</v>
      </c>
      <c r="U13" s="83">
        <f t="shared" si="1"/>
        <v>2044</v>
      </c>
      <c r="V13" s="83">
        <f t="shared" si="1"/>
        <v>2045</v>
      </c>
      <c r="W13" s="83">
        <f t="shared" si="1"/>
        <v>2046</v>
      </c>
      <c r="X13" s="83">
        <f t="shared" si="1"/>
        <v>2047</v>
      </c>
      <c r="Y13" s="83">
        <f t="shared" si="1"/>
        <v>2048</v>
      </c>
      <c r="Z13" s="83">
        <f t="shared" si="1"/>
        <v>2049</v>
      </c>
      <c r="AA13" s="83">
        <f t="shared" si="1"/>
        <v>2050</v>
      </c>
      <c r="AB13" s="84">
        <f t="shared" si="1"/>
        <v>2051</v>
      </c>
      <c r="AC13" s="84">
        <f t="shared" si="1"/>
        <v>2052</v>
      </c>
      <c r="AD13" s="84">
        <f t="shared" si="1"/>
        <v>2053</v>
      </c>
      <c r="AE13" s="84">
        <f t="shared" si="1"/>
        <v>2054</v>
      </c>
      <c r="AF13" s="84">
        <f t="shared" si="1"/>
        <v>2055</v>
      </c>
      <c r="AG13" s="84">
        <f t="shared" si="1"/>
        <v>2056</v>
      </c>
      <c r="AH13" s="84">
        <f t="shared" si="1"/>
        <v>2057</v>
      </c>
      <c r="AI13" s="84">
        <f t="shared" si="1"/>
        <v>2058</v>
      </c>
      <c r="AJ13" s="84">
        <f t="shared" si="1"/>
        <v>2059</v>
      </c>
      <c r="AK13" s="84">
        <f t="shared" si="1"/>
        <v>2060</v>
      </c>
      <c r="AL13" s="84">
        <f t="shared" si="1"/>
        <v>2061</v>
      </c>
      <c r="AM13" s="84">
        <f t="shared" si="1"/>
        <v>2062</v>
      </c>
      <c r="AN13" s="84">
        <f t="shared" si="1"/>
        <v>2063</v>
      </c>
      <c r="AO13" s="84">
        <f t="shared" si="1"/>
        <v>2064</v>
      </c>
      <c r="AP13" s="84">
        <f t="shared" si="1"/>
        <v>2065</v>
      </c>
      <c r="AQ13" s="84">
        <f t="shared" si="1"/>
        <v>2066</v>
      </c>
      <c r="AR13" s="84">
        <f t="shared" si="1"/>
        <v>2067</v>
      </c>
      <c r="AS13" s="84">
        <f t="shared" si="1"/>
        <v>2068</v>
      </c>
      <c r="AT13" s="84">
        <f t="shared" si="1"/>
        <v>2069</v>
      </c>
      <c r="AU13" s="84">
        <f t="shared" si="1"/>
        <v>2070</v>
      </c>
      <c r="AV13" s="84">
        <f t="shared" si="1"/>
        <v>2071</v>
      </c>
      <c r="AW13" s="84">
        <f t="shared" si="1"/>
        <v>2072</v>
      </c>
      <c r="AX13" s="84">
        <f t="shared" si="1"/>
        <v>2073</v>
      </c>
      <c r="AY13" s="84">
        <f t="shared" si="1"/>
        <v>2074</v>
      </c>
      <c r="AZ13" s="84">
        <f t="shared" si="1"/>
        <v>2075</v>
      </c>
      <c r="BA13" s="84">
        <f t="shared" si="1"/>
        <v>2076</v>
      </c>
      <c r="BB13" s="84">
        <f t="shared" si="1"/>
        <v>2077</v>
      </c>
      <c r="BC13" s="84">
        <f t="shared" si="1"/>
        <v>2078</v>
      </c>
      <c r="BD13" s="84">
        <f t="shared" si="1"/>
        <v>2079</v>
      </c>
      <c r="BE13" s="84">
        <f t="shared" si="1"/>
        <v>2080</v>
      </c>
      <c r="BF13" s="84">
        <f t="shared" si="1"/>
        <v>2081</v>
      </c>
      <c r="BG13" s="84">
        <f t="shared" si="1"/>
        <v>2082</v>
      </c>
      <c r="BH13" s="84">
        <f t="shared" si="1"/>
        <v>2083</v>
      </c>
      <c r="BI13" s="84">
        <f t="shared" si="1"/>
        <v>2084</v>
      </c>
      <c r="BJ13" s="84">
        <f t="shared" si="1"/>
        <v>2085</v>
      </c>
      <c r="BK13" s="84">
        <f t="shared" si="1"/>
        <v>2086</v>
      </c>
      <c r="BL13" s="84">
        <f t="shared" si="1"/>
        <v>2087</v>
      </c>
      <c r="BM13" s="84">
        <f t="shared" si="1"/>
        <v>2088</v>
      </c>
      <c r="BN13" s="84">
        <f t="shared" si="1"/>
        <v>2089</v>
      </c>
      <c r="BO13" s="84">
        <f t="shared" si="1"/>
        <v>2090</v>
      </c>
      <c r="BP13" s="84">
        <f t="shared" ref="BP13:BY13" si="2">BO13+1</f>
        <v>2091</v>
      </c>
      <c r="BQ13" s="84">
        <f t="shared" si="2"/>
        <v>2092</v>
      </c>
      <c r="BR13" s="84">
        <f t="shared" si="2"/>
        <v>2093</v>
      </c>
      <c r="BS13" s="84">
        <f t="shared" si="2"/>
        <v>2094</v>
      </c>
      <c r="BT13" s="84">
        <f t="shared" si="2"/>
        <v>2095</v>
      </c>
      <c r="BU13" s="84">
        <f t="shared" si="2"/>
        <v>2096</v>
      </c>
      <c r="BV13" s="84">
        <f t="shared" si="2"/>
        <v>2097</v>
      </c>
      <c r="BW13" s="84">
        <f t="shared" si="2"/>
        <v>2098</v>
      </c>
      <c r="BX13" s="84">
        <f t="shared" si="2"/>
        <v>2099</v>
      </c>
      <c r="BY13" s="84">
        <f t="shared" si="2"/>
        <v>2100</v>
      </c>
    </row>
    <row r="14" spans="1:77" x14ac:dyDescent="0.3">
      <c r="A14" t="str">
        <f>'Long-term Model Summary'!J12</f>
        <v>Average yield per tree</v>
      </c>
      <c r="B14" s="85">
        <f>'Long-term Model Summary'!K12</f>
        <v>0.54</v>
      </c>
      <c r="C14" s="85">
        <f>'Long-term Model Summary'!L12</f>
        <v>0.7128000000000001</v>
      </c>
      <c r="D14" s="85">
        <f>'Long-term Model Summary'!M12</f>
        <v>0.94089600000000018</v>
      </c>
      <c r="E14" s="85">
        <f>'Long-term Model Summary'!N12</f>
        <v>1.2419827200000002</v>
      </c>
      <c r="F14" s="85">
        <f>'Long-term Model Summary'!O12</f>
        <v>1.6394171904000003</v>
      </c>
      <c r="G14" s="85">
        <f>'Long-term Model Summary'!P12</f>
        <v>2.1640306913280005</v>
      </c>
      <c r="H14" s="85">
        <f>'Long-term Model Summary'!Q12</f>
        <v>2.8565205125529607</v>
      </c>
      <c r="I14" s="85">
        <f>'Long-term Model Summary'!R12</f>
        <v>3.7706070765699082</v>
      </c>
      <c r="J14" s="85">
        <f>'Long-term Model Summary'!S12</f>
        <v>4.9772013410722789</v>
      </c>
      <c r="K14" s="85">
        <f>'Long-term Model Summary'!T12</f>
        <v>6.5699057702154082</v>
      </c>
      <c r="L14" s="85">
        <f>'Long-term Model Summary'!U12</f>
        <v>8.67227561668434</v>
      </c>
      <c r="M14" s="85">
        <f>'Long-term Model Summary'!V12</f>
        <v>11.44740381402333</v>
      </c>
      <c r="N14" s="85">
        <f>'Long-term Model Summary'!W12</f>
        <v>17.400053797315461</v>
      </c>
      <c r="O14" s="85">
        <f>'Long-term Model Summary'!X12</f>
        <v>22.968071012456409</v>
      </c>
      <c r="P14" s="85">
        <f>'Long-term Model Summary'!Y12</f>
        <v>30.317853736442462</v>
      </c>
      <c r="Q14" s="85">
        <f>'Long-term Model Summary'!Z12</f>
        <v>40.019566932104048</v>
      </c>
      <c r="R14" s="85">
        <f>'Long-term Model Summary'!AA12</f>
        <v>41.620349609388214</v>
      </c>
      <c r="S14" s="85">
        <f>'Long-term Model Summary'!AB12</f>
        <v>43.285163593763741</v>
      </c>
      <c r="T14" s="85">
        <f>'Long-term Model Summary'!AC12</f>
        <v>45.016570137514293</v>
      </c>
      <c r="U14" s="85">
        <f>'Long-term Model Summary'!AD12</f>
        <v>46.817232943014865</v>
      </c>
      <c r="V14" s="85">
        <f>'Long-term Model Summary'!AE12</f>
        <v>48.689922260735464</v>
      </c>
      <c r="W14" s="85">
        <f>'Long-term Model Summary'!AF12</f>
        <v>50.637519151164888</v>
      </c>
      <c r="X14" s="85">
        <f>'Long-term Model Summary'!AG12</f>
        <v>52.663019917211486</v>
      </c>
      <c r="Y14" s="85">
        <f>'Long-term Model Summary'!AH12</f>
        <v>54.76954071389995</v>
      </c>
      <c r="Z14" s="85">
        <f>'Long-term Model Summary'!AI12</f>
        <v>56.960322342455953</v>
      </c>
      <c r="AA14" s="85">
        <f>'Long-term Model Summary'!AJ12</f>
        <v>59.238735236154191</v>
      </c>
      <c r="AB14" s="85">
        <f>'Long-term Model Summary'!AK12</f>
        <v>61.608284645600364</v>
      </c>
      <c r="AC14" s="85">
        <f>'Long-term Model Summary'!AL12</f>
        <v>64.072616031424374</v>
      </c>
      <c r="AD14" s="85">
        <f>'Long-term Model Summary'!AM12</f>
        <v>66.635520672681352</v>
      </c>
      <c r="AE14" s="85">
        <f>'Long-term Model Summary'!AN12</f>
        <v>69.300941499588603</v>
      </c>
      <c r="AF14" s="85">
        <f>'Long-term Model Summary'!AO12</f>
        <v>72.072979159572157</v>
      </c>
      <c r="AG14" s="85">
        <f>'Long-term Model Summary'!AP12</f>
        <v>72.793708951167872</v>
      </c>
      <c r="AH14" s="85">
        <f>'Long-term Model Summary'!AQ12</f>
        <v>73.521646040679556</v>
      </c>
      <c r="AI14" s="85">
        <f>'Long-term Model Summary'!AR12</f>
        <v>74.256862501086346</v>
      </c>
      <c r="AJ14" s="85">
        <f>'Long-term Model Summary'!AS12</f>
        <v>74.999431126097207</v>
      </c>
      <c r="AK14" s="85">
        <f>'Long-term Model Summary'!AT12</f>
        <v>75.749425437358184</v>
      </c>
      <c r="AL14" s="85">
        <f>'Long-term Model Summary'!AU12</f>
        <v>76.506919691731767</v>
      </c>
      <c r="AM14" s="85">
        <f>'Long-term Model Summary'!AV12</f>
        <v>77.271988888649091</v>
      </c>
      <c r="AN14" s="85">
        <f>'Long-term Model Summary'!AW12</f>
        <v>78.044708777535575</v>
      </c>
      <c r="AO14" s="85">
        <f>'Long-term Model Summary'!AX12</f>
        <v>78.825155865310933</v>
      </c>
      <c r="AP14" s="85">
        <f>'Long-term Model Summary'!AY12</f>
        <v>79.613407423964048</v>
      </c>
      <c r="AQ14" s="85">
        <f>'Long-term Model Summary'!AZ12</f>
        <v>96.332222982996512</v>
      </c>
      <c r="AR14" s="85">
        <f>'Long-term Model Summary'!BA12</f>
        <v>97.295545212826482</v>
      </c>
      <c r="AS14" s="85">
        <f>'Long-term Model Summary'!BB12</f>
        <v>98.268500664954743</v>
      </c>
      <c r="AT14" s="85">
        <f>'Long-term Model Summary'!BC12</f>
        <v>99.25118567160429</v>
      </c>
      <c r="AU14" s="85">
        <f>'Long-term Model Summary'!BD12</f>
        <v>100.24369752832034</v>
      </c>
      <c r="AV14" s="85">
        <f>'Long-term Model Summary'!BE12</f>
        <v>101.24613450360354</v>
      </c>
      <c r="AW14" s="85">
        <f>'Long-term Model Summary'!BF12</f>
        <v>102.25859584863957</v>
      </c>
      <c r="AX14" s="85">
        <f>'Long-term Model Summary'!BG12</f>
        <v>103.28118180712598</v>
      </c>
      <c r="AY14" s="85">
        <f>'Long-term Model Summary'!BH12</f>
        <v>104.31399362519724</v>
      </c>
      <c r="AZ14" s="85">
        <f>'Long-term Model Summary'!BI12</f>
        <v>105.35713356144922</v>
      </c>
      <c r="BA14" s="85">
        <f>'Long-term Model Summary'!BJ12</f>
        <v>106.41070489706371</v>
      </c>
      <c r="BB14" s="85">
        <f>'Long-term Model Summary'!BK12</f>
        <v>107.47481194603435</v>
      </c>
      <c r="BC14" s="85">
        <f>'Long-term Model Summary'!BL12</f>
        <v>108.54956006549469</v>
      </c>
      <c r="BD14" s="85">
        <f>'Long-term Model Summary'!BM12</f>
        <v>109.63505566614964</v>
      </c>
      <c r="BE14" s="85">
        <f>'Long-term Model Summary'!BN12</f>
        <v>110.73140622281113</v>
      </c>
      <c r="BF14" s="85">
        <f>'Long-term Model Summary'!BO12</f>
        <v>111.83872028503924</v>
      </c>
      <c r="BG14" s="85">
        <f>'Long-term Model Summary'!BP12</f>
        <v>112.95710748788964</v>
      </c>
      <c r="BH14" s="85">
        <f>'Long-term Model Summary'!BQ12</f>
        <v>114.08667856276854</v>
      </c>
      <c r="BI14" s="85">
        <f>'Long-term Model Summary'!BR12</f>
        <v>115.22754534839623</v>
      </c>
      <c r="BJ14" s="85">
        <f>'Long-term Model Summary'!BS12</f>
        <v>116.3798208018802</v>
      </c>
      <c r="BK14" s="85">
        <f>'Long-term Model Summary'!BT12</f>
        <v>116.3798208018802</v>
      </c>
      <c r="BL14" s="85">
        <f>'Long-term Model Summary'!BU12</f>
        <v>116.3798208018802</v>
      </c>
      <c r="BM14" s="85">
        <f>'Long-term Model Summary'!BV12</f>
        <v>116.3798208018802</v>
      </c>
      <c r="BN14" s="85">
        <f>'Long-term Model Summary'!BW12</f>
        <v>116.3798208018802</v>
      </c>
      <c r="BO14" s="85">
        <f>'Long-term Model Summary'!BX12</f>
        <v>116.3798208018802</v>
      </c>
      <c r="BP14" s="85">
        <f>'Long-term Model Summary'!BY12</f>
        <v>116.3798208018802</v>
      </c>
      <c r="BQ14" s="85">
        <f>'Long-term Model Summary'!BZ12</f>
        <v>116.3798208018802</v>
      </c>
      <c r="BR14" s="85">
        <f>'Long-term Model Summary'!CA12</f>
        <v>116.3798208018802</v>
      </c>
      <c r="BS14" s="85">
        <f>'Long-term Model Summary'!CB12</f>
        <v>116.3798208018802</v>
      </c>
      <c r="BT14" s="85">
        <f>'Long-term Model Summary'!CC12</f>
        <v>116.3798208018802</v>
      </c>
      <c r="BU14" s="85">
        <f>'Long-term Model Summary'!CD12</f>
        <v>116.3798208018802</v>
      </c>
      <c r="BV14" s="85">
        <f>'Long-term Model Summary'!CE12</f>
        <v>116.3798208018802</v>
      </c>
      <c r="BW14" s="85">
        <f>'Long-term Model Summary'!CF12</f>
        <v>116.3798208018802</v>
      </c>
      <c r="BX14" s="85">
        <f>'Long-term Model Summary'!CG12</f>
        <v>116.3798208018802</v>
      </c>
      <c r="BY14" s="85">
        <f>'Long-term Model Summary'!CH12</f>
        <v>116.3798208018802</v>
      </c>
    </row>
    <row r="15" spans="1:77" x14ac:dyDescent="0.3">
      <c r="A15" t="str">
        <f>'Long-term Model Summary'!J16</f>
        <v>Trees in production</v>
      </c>
      <c r="B15" s="85">
        <f>'Long-term Model Summary'!K16</f>
        <v>540</v>
      </c>
      <c r="C15" s="85">
        <f>'Long-term Model Summary'!L16</f>
        <v>540</v>
      </c>
      <c r="D15" s="85">
        <f>'Long-term Model Summary'!M16</f>
        <v>540</v>
      </c>
      <c r="E15" s="85">
        <f>'Long-term Model Summary'!N16</f>
        <v>540</v>
      </c>
      <c r="F15" s="85">
        <f>'Long-term Model Summary'!O16</f>
        <v>540</v>
      </c>
      <c r="G15" s="85">
        <f>'Long-term Model Summary'!P16</f>
        <v>540</v>
      </c>
      <c r="H15" s="85">
        <f>'Long-term Model Summary'!Q16</f>
        <v>540</v>
      </c>
      <c r="I15" s="85">
        <f>'Long-term Model Summary'!R16</f>
        <v>540</v>
      </c>
      <c r="J15" s="85">
        <f>'Long-term Model Summary'!S16</f>
        <v>540</v>
      </c>
      <c r="K15" s="85">
        <f>'Long-term Model Summary'!T16</f>
        <v>540</v>
      </c>
      <c r="L15" s="85">
        <f>'Long-term Model Summary'!U16</f>
        <v>540</v>
      </c>
      <c r="M15" s="85">
        <f>'Long-term Model Summary'!V16</f>
        <v>540</v>
      </c>
      <c r="N15" s="85">
        <f>'Long-term Model Summary'!W16</f>
        <v>360</v>
      </c>
      <c r="O15" s="85">
        <f>'Long-term Model Summary'!X16</f>
        <v>360</v>
      </c>
      <c r="P15" s="85">
        <f>'Long-term Model Summary'!Y16</f>
        <v>360</v>
      </c>
      <c r="Q15" s="85">
        <f>'Long-term Model Summary'!Z16</f>
        <v>360</v>
      </c>
      <c r="R15" s="85">
        <f>'Long-term Model Summary'!AA16</f>
        <v>360</v>
      </c>
      <c r="S15" s="85">
        <f>'Long-term Model Summary'!AB16</f>
        <v>360</v>
      </c>
      <c r="T15" s="85">
        <f>'Long-term Model Summary'!AC16</f>
        <v>360</v>
      </c>
      <c r="U15" s="85">
        <f>'Long-term Model Summary'!AD16</f>
        <v>360</v>
      </c>
      <c r="V15" s="85">
        <f>'Long-term Model Summary'!AE16</f>
        <v>360</v>
      </c>
      <c r="W15" s="85">
        <f>'Long-term Model Summary'!AF16</f>
        <v>360</v>
      </c>
      <c r="X15" s="85">
        <f>'Long-term Model Summary'!AG16</f>
        <v>360</v>
      </c>
      <c r="Y15" s="85">
        <f>'Long-term Model Summary'!AH16</f>
        <v>360</v>
      </c>
      <c r="Z15" s="85">
        <f>'Long-term Model Summary'!AI16</f>
        <v>360</v>
      </c>
      <c r="AA15" s="85">
        <f>'Long-term Model Summary'!AJ16</f>
        <v>360</v>
      </c>
      <c r="AB15" s="85">
        <f>'Long-term Model Summary'!AK16</f>
        <v>360</v>
      </c>
      <c r="AC15" s="85">
        <f>'Long-term Model Summary'!AL16</f>
        <v>360</v>
      </c>
      <c r="AD15" s="85">
        <f>'Long-term Model Summary'!AM16</f>
        <v>360</v>
      </c>
      <c r="AE15" s="85">
        <f>'Long-term Model Summary'!AN16</f>
        <v>360</v>
      </c>
      <c r="AF15" s="85">
        <f>'Long-term Model Summary'!AO16</f>
        <v>360</v>
      </c>
      <c r="AG15" s="85">
        <f>'Long-term Model Summary'!AP16</f>
        <v>360</v>
      </c>
      <c r="AH15" s="85">
        <f>'Long-term Model Summary'!AQ16</f>
        <v>360</v>
      </c>
      <c r="AI15" s="85">
        <f>'Long-term Model Summary'!AR16</f>
        <v>360</v>
      </c>
      <c r="AJ15" s="85">
        <f>'Long-term Model Summary'!AS16</f>
        <v>360</v>
      </c>
      <c r="AK15" s="85">
        <f>'Long-term Model Summary'!AT16</f>
        <v>360</v>
      </c>
      <c r="AL15" s="85">
        <f>'Long-term Model Summary'!AU16</f>
        <v>360</v>
      </c>
      <c r="AM15" s="85">
        <f>'Long-term Model Summary'!AV16</f>
        <v>360</v>
      </c>
      <c r="AN15" s="85">
        <f>'Long-term Model Summary'!AW16</f>
        <v>360</v>
      </c>
      <c r="AO15" s="85">
        <f>'Long-term Model Summary'!AX16</f>
        <v>360</v>
      </c>
      <c r="AP15" s="85">
        <f>'Long-term Model Summary'!AY16</f>
        <v>360</v>
      </c>
      <c r="AQ15" s="85">
        <f>'Long-term Model Summary'!AZ16</f>
        <v>270</v>
      </c>
      <c r="AR15" s="85">
        <f>'Long-term Model Summary'!BA16</f>
        <v>270</v>
      </c>
      <c r="AS15" s="85">
        <f>'Long-term Model Summary'!BB16</f>
        <v>270</v>
      </c>
      <c r="AT15" s="85">
        <f>'Long-term Model Summary'!BC16</f>
        <v>270</v>
      </c>
      <c r="AU15" s="85">
        <f>'Long-term Model Summary'!BD16</f>
        <v>270</v>
      </c>
      <c r="AV15" s="85">
        <f>'Long-term Model Summary'!BE16</f>
        <v>270</v>
      </c>
      <c r="AW15" s="85">
        <f>'Long-term Model Summary'!BF16</f>
        <v>270</v>
      </c>
      <c r="AX15" s="85">
        <f>'Long-term Model Summary'!BG16</f>
        <v>270</v>
      </c>
      <c r="AY15" s="85">
        <f>'Long-term Model Summary'!BH16</f>
        <v>270</v>
      </c>
      <c r="AZ15" s="85">
        <f>'Long-term Model Summary'!BI16</f>
        <v>270</v>
      </c>
      <c r="BA15" s="85">
        <f>'Long-term Model Summary'!BJ16</f>
        <v>270</v>
      </c>
      <c r="BB15" s="85">
        <f>'Long-term Model Summary'!BK16</f>
        <v>270</v>
      </c>
      <c r="BC15" s="85">
        <f>'Long-term Model Summary'!BL16</f>
        <v>270</v>
      </c>
      <c r="BD15" s="85">
        <f>'Long-term Model Summary'!BM16</f>
        <v>270</v>
      </c>
      <c r="BE15" s="85">
        <f>'Long-term Model Summary'!BN16</f>
        <v>270</v>
      </c>
      <c r="BF15" s="85">
        <f>'Long-term Model Summary'!BO16</f>
        <v>270</v>
      </c>
      <c r="BG15" s="85">
        <f>'Long-term Model Summary'!BP16</f>
        <v>270</v>
      </c>
      <c r="BH15" s="85">
        <f>'Long-term Model Summary'!BQ16</f>
        <v>270</v>
      </c>
      <c r="BI15" s="85">
        <f>'Long-term Model Summary'!BR16</f>
        <v>270</v>
      </c>
      <c r="BJ15" s="85">
        <f>'Long-term Model Summary'!BS16</f>
        <v>270</v>
      </c>
      <c r="BK15" s="85">
        <f>'Long-term Model Summary'!BT16</f>
        <v>270</v>
      </c>
      <c r="BL15" s="85">
        <f>'Long-term Model Summary'!BU16</f>
        <v>270</v>
      </c>
      <c r="BM15" s="85">
        <f>'Long-term Model Summary'!BV16</f>
        <v>270</v>
      </c>
      <c r="BN15" s="85">
        <f>'Long-term Model Summary'!BW16</f>
        <v>270</v>
      </c>
      <c r="BO15" s="85">
        <f>'Long-term Model Summary'!BX16</f>
        <v>270</v>
      </c>
      <c r="BP15" s="85">
        <f>'Long-term Model Summary'!BY16</f>
        <v>270</v>
      </c>
      <c r="BQ15" s="85">
        <f>'Long-term Model Summary'!BZ16</f>
        <v>270</v>
      </c>
      <c r="BR15" s="85">
        <f>'Long-term Model Summary'!CA16</f>
        <v>270</v>
      </c>
      <c r="BS15" s="85">
        <f>'Long-term Model Summary'!CB16</f>
        <v>270</v>
      </c>
      <c r="BT15" s="85">
        <f>'Long-term Model Summary'!CC16</f>
        <v>270</v>
      </c>
      <c r="BU15" s="85">
        <f>'Long-term Model Summary'!CD16</f>
        <v>270</v>
      </c>
      <c r="BV15" s="85">
        <f>'Long-term Model Summary'!CE16</f>
        <v>270</v>
      </c>
      <c r="BW15" s="85">
        <f>'Long-term Model Summary'!CF16</f>
        <v>270</v>
      </c>
      <c r="BX15" s="85">
        <f>'Long-term Model Summary'!CG16</f>
        <v>270</v>
      </c>
      <c r="BY15" s="85">
        <f>'Long-term Model Summary'!CH16</f>
        <v>270</v>
      </c>
    </row>
    <row r="16" spans="1:77" x14ac:dyDescent="0.3">
      <c r="A16" s="11" t="str">
        <f>'Long-term Model Summary'!J20</f>
        <v>Yield by year (pounds)</v>
      </c>
      <c r="B16" s="138">
        <f>'Long-term Model Summary'!K20</f>
        <v>0</v>
      </c>
      <c r="C16" s="138">
        <f>'Long-term Model Summary'!L20</f>
        <v>0</v>
      </c>
      <c r="D16" s="138">
        <f>'Long-term Model Summary'!M20</f>
        <v>0</v>
      </c>
      <c r="E16" s="138">
        <f>'Long-term Model Summary'!N20</f>
        <v>0</v>
      </c>
      <c r="F16" s="138">
        <f>'Long-term Model Summary'!O20</f>
        <v>0</v>
      </c>
      <c r="G16" s="138">
        <f>'Long-term Model Summary'!P20</f>
        <v>0</v>
      </c>
      <c r="H16" s="138">
        <f>'Long-term Model Summary'!Q20</f>
        <v>0</v>
      </c>
      <c r="I16" s="138">
        <f>'Long-term Model Summary'!R20</f>
        <v>0</v>
      </c>
      <c r="J16" s="138">
        <f>'Long-term Model Summary'!S20</f>
        <v>0</v>
      </c>
      <c r="K16" s="138">
        <f>'Long-term Model Summary'!T20</f>
        <v>3547.7491159163205</v>
      </c>
      <c r="L16" s="138">
        <f>'Long-term Model Summary'!U20</f>
        <v>4683.0288330095436</v>
      </c>
      <c r="M16" s="138">
        <f>'Long-term Model Summary'!V20</f>
        <v>6181.5980595725987</v>
      </c>
      <c r="N16" s="138">
        <f>'Long-term Model Summary'!W20</f>
        <v>6264.0193670335657</v>
      </c>
      <c r="O16" s="138">
        <f>'Long-term Model Summary'!X20</f>
        <v>8268.5055644843069</v>
      </c>
      <c r="P16" s="138">
        <f>'Long-term Model Summary'!Y20</f>
        <v>10914.427345119286</v>
      </c>
      <c r="Q16" s="138">
        <f>'Long-term Model Summary'!Z20</f>
        <v>14407.044095557458</v>
      </c>
      <c r="R16" s="138">
        <f>'Long-term Model Summary'!AA20</f>
        <v>14983.325859379756</v>
      </c>
      <c r="S16" s="138">
        <f>'Long-term Model Summary'!AB20</f>
        <v>15582.658893754946</v>
      </c>
      <c r="T16" s="138">
        <f>'Long-term Model Summary'!AC20</f>
        <v>16205.965249505145</v>
      </c>
      <c r="U16" s="138">
        <f>'Long-term Model Summary'!AD20</f>
        <v>16854.203859485351</v>
      </c>
      <c r="V16" s="138">
        <f>'Long-term Model Summary'!AE20</f>
        <v>17528.372013864766</v>
      </c>
      <c r="W16" s="138">
        <f>'Long-term Model Summary'!AF20</f>
        <v>18229.506894419359</v>
      </c>
      <c r="X16" s="138">
        <f>'Long-term Model Summary'!AG20</f>
        <v>18958.687170196135</v>
      </c>
      <c r="Y16" s="138">
        <f>'Long-term Model Summary'!AH20</f>
        <v>19717.034657003984</v>
      </c>
      <c r="Z16" s="138">
        <f>'Long-term Model Summary'!AI20</f>
        <v>20505.716043284145</v>
      </c>
      <c r="AA16" s="138">
        <f>'Long-term Model Summary'!AJ20</f>
        <v>21325.944685015507</v>
      </c>
      <c r="AB16" s="138">
        <f>'Long-term Model Summary'!AK20</f>
        <v>22178.98247241613</v>
      </c>
      <c r="AC16" s="138">
        <f>'Long-term Model Summary'!AL20</f>
        <v>23066.141771312774</v>
      </c>
      <c r="AD16" s="138">
        <f>'Long-term Model Summary'!AM20</f>
        <v>23988.787442165285</v>
      </c>
      <c r="AE16" s="138">
        <f>'Long-term Model Summary'!AN20</f>
        <v>24948.338939851896</v>
      </c>
      <c r="AF16" s="138">
        <f>'Long-term Model Summary'!AO20</f>
        <v>25946.272497445978</v>
      </c>
      <c r="AG16" s="138">
        <f>'Long-term Model Summary'!AP20</f>
        <v>26205.735222420433</v>
      </c>
      <c r="AH16" s="138">
        <f>'Long-term Model Summary'!AQ20</f>
        <v>26467.792574644642</v>
      </c>
      <c r="AI16" s="138">
        <f>'Long-term Model Summary'!AR20</f>
        <v>26732.470500391086</v>
      </c>
      <c r="AJ16" s="138">
        <f>'Long-term Model Summary'!AS20</f>
        <v>26999.795205394996</v>
      </c>
      <c r="AK16" s="138">
        <f>'Long-term Model Summary'!AT20</f>
        <v>27269.793157448945</v>
      </c>
      <c r="AL16" s="138">
        <f>'Long-term Model Summary'!AU20</f>
        <v>27542.491089023435</v>
      </c>
      <c r="AM16" s="138">
        <f>'Long-term Model Summary'!AV20</f>
        <v>27817.915999913672</v>
      </c>
      <c r="AN16" s="138">
        <f>'Long-term Model Summary'!AW20</f>
        <v>28096.095159912806</v>
      </c>
      <c r="AO16" s="138">
        <f>'Long-term Model Summary'!AX20</f>
        <v>28377.056111511934</v>
      </c>
      <c r="AP16" s="138">
        <f>'Long-term Model Summary'!AY20</f>
        <v>28660.826672627056</v>
      </c>
      <c r="AQ16" s="138">
        <f>'Long-term Model Summary'!AZ20</f>
        <v>26009.700205409059</v>
      </c>
      <c r="AR16" s="138">
        <f>'Long-term Model Summary'!BA20</f>
        <v>26269.797207463151</v>
      </c>
      <c r="AS16" s="138">
        <f>'Long-term Model Summary'!BB20</f>
        <v>26532.495179537782</v>
      </c>
      <c r="AT16" s="138">
        <f>'Long-term Model Summary'!BC20</f>
        <v>26797.820131333159</v>
      </c>
      <c r="AU16" s="138">
        <f>'Long-term Model Summary'!BD20</f>
        <v>27065.798332646493</v>
      </c>
      <c r="AV16" s="138">
        <f>'Long-term Model Summary'!BE20</f>
        <v>27336.456315972955</v>
      </c>
      <c r="AW16" s="138">
        <f>'Long-term Model Summary'!BF20</f>
        <v>27609.820879132683</v>
      </c>
      <c r="AX16" s="138">
        <f>'Long-term Model Summary'!BG20</f>
        <v>27885.919087924012</v>
      </c>
      <c r="AY16" s="138">
        <f>'Long-term Model Summary'!BH20</f>
        <v>28164.778278803256</v>
      </c>
      <c r="AZ16" s="138">
        <f>'Long-term Model Summary'!BI20</f>
        <v>28446.42606159129</v>
      </c>
      <c r="BA16" s="138">
        <f>'Long-term Model Summary'!BJ20</f>
        <v>28730.8903222072</v>
      </c>
      <c r="BB16" s="138">
        <f>'Long-term Model Summary'!BK20</f>
        <v>29018.199225429275</v>
      </c>
      <c r="BC16" s="138">
        <f>'Long-term Model Summary'!BL20</f>
        <v>29308.381217683567</v>
      </c>
      <c r="BD16" s="138">
        <f>'Long-term Model Summary'!BM20</f>
        <v>29601.465029860403</v>
      </c>
      <c r="BE16" s="138">
        <f>'Long-term Model Summary'!BN20</f>
        <v>29897.479680159006</v>
      </c>
      <c r="BF16" s="138">
        <f>'Long-term Model Summary'!BO20</f>
        <v>30196.454476960596</v>
      </c>
      <c r="BG16" s="138">
        <f>'Long-term Model Summary'!BP20</f>
        <v>30498.419021730202</v>
      </c>
      <c r="BH16" s="138">
        <f>'Long-term Model Summary'!BQ20</f>
        <v>30803.403211947505</v>
      </c>
      <c r="BI16" s="138">
        <f>'Long-term Model Summary'!BR20</f>
        <v>31111.437244066983</v>
      </c>
      <c r="BJ16" s="138">
        <f>'Long-term Model Summary'!BS20</f>
        <v>31422.551616507655</v>
      </c>
      <c r="BK16" s="138">
        <f>'Long-term Model Summary'!BT20</f>
        <v>31422.551616507655</v>
      </c>
      <c r="BL16" s="138">
        <f>'Long-term Model Summary'!BU20</f>
        <v>31422.551616507655</v>
      </c>
      <c r="BM16" s="138">
        <f>'Long-term Model Summary'!BV20</f>
        <v>31422.551616507655</v>
      </c>
      <c r="BN16" s="138">
        <f>'Long-term Model Summary'!BW20</f>
        <v>31422.551616507655</v>
      </c>
      <c r="BO16" s="138">
        <f>'Long-term Model Summary'!BX20</f>
        <v>31422.551616507655</v>
      </c>
      <c r="BP16" s="138">
        <f>'Long-term Model Summary'!BY20</f>
        <v>31422.551616507655</v>
      </c>
      <c r="BQ16" s="138">
        <f>'Long-term Model Summary'!BZ20</f>
        <v>31422.551616507655</v>
      </c>
      <c r="BR16" s="138">
        <f>'Long-term Model Summary'!CA20</f>
        <v>31422.551616507655</v>
      </c>
      <c r="BS16" s="138">
        <f>'Long-term Model Summary'!CB20</f>
        <v>31422.551616507655</v>
      </c>
      <c r="BT16" s="138">
        <f>'Long-term Model Summary'!CC20</f>
        <v>31422.551616507655</v>
      </c>
      <c r="BU16" s="138">
        <f>'Long-term Model Summary'!CD20</f>
        <v>31422.551616507655</v>
      </c>
      <c r="BV16" s="138">
        <f>'Long-term Model Summary'!CE20</f>
        <v>31422.551616507655</v>
      </c>
      <c r="BW16" s="138">
        <f>'Long-term Model Summary'!CF20</f>
        <v>31422.551616507655</v>
      </c>
      <c r="BX16" s="138">
        <f>'Long-term Model Summary'!CG20</f>
        <v>31422.551616507655</v>
      </c>
      <c r="BY16" s="138">
        <f>'Long-term Model Summary'!CH20</f>
        <v>31422.551616507655</v>
      </c>
    </row>
    <row r="18" spans="1:77" hidden="1" x14ac:dyDescent="0.3">
      <c r="A18" t="s">
        <v>378</v>
      </c>
      <c r="B18" s="85">
        <f>C3*B15/60/Inputs!$C$3</f>
        <v>13.5</v>
      </c>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row>
    <row r="19" spans="1:77" hidden="1" x14ac:dyDescent="0.3">
      <c r="A19" t="s">
        <v>381</v>
      </c>
      <c r="B19" s="85">
        <f>B18*$E$3</f>
        <v>249.75</v>
      </c>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5"/>
      <c r="BB19" s="85"/>
      <c r="BC19" s="85"/>
      <c r="BD19" s="85"/>
      <c r="BE19" s="85"/>
      <c r="BF19" s="85"/>
      <c r="BG19" s="85"/>
      <c r="BH19" s="85"/>
      <c r="BI19" s="85"/>
      <c r="BJ19" s="85"/>
      <c r="BK19" s="85"/>
      <c r="BL19" s="85"/>
      <c r="BM19" s="85"/>
      <c r="BN19" s="85"/>
      <c r="BO19" s="85"/>
      <c r="BP19" s="85"/>
      <c r="BQ19" s="85"/>
      <c r="BR19" s="85"/>
      <c r="BS19" s="85"/>
      <c r="BT19" s="85"/>
      <c r="BU19" s="85"/>
      <c r="BV19" s="85"/>
      <c r="BW19" s="85"/>
      <c r="BX19" s="85"/>
      <c r="BY19" s="85"/>
    </row>
    <row r="20" spans="1:77" hidden="1" x14ac:dyDescent="0.3">
      <c r="A20" t="s">
        <v>379</v>
      </c>
      <c r="B20" s="85">
        <f>IF(B15=$B$15,$C$4*B15,$C$5*B15)/60/Inputs!$C$3</f>
        <v>7.2</v>
      </c>
      <c r="C20" s="85">
        <f>IF(C15=$B$15,$C$4*C15,$C$5*C15)/60/Inputs!$C$3</f>
        <v>7.2</v>
      </c>
      <c r="D20" s="85">
        <f>IF(D15=$B$15,$C$4*D15,$C$5*D15)/60/Inputs!$C$3</f>
        <v>7.2</v>
      </c>
      <c r="E20" s="85">
        <f>IF(E15=$B$15,$C$4*E15,$C$5*E15)/60/Inputs!$C$3</f>
        <v>7.2</v>
      </c>
      <c r="F20" s="85">
        <f>IF(F15=$B$15,$C$4*F15,$C$5*F15)/60/Inputs!$C$3</f>
        <v>7.2</v>
      </c>
      <c r="G20" s="85">
        <f>IF(G15=$B$15,$C$4*G15,$C$5*G15)/60/Inputs!$C$3</f>
        <v>7.2</v>
      </c>
      <c r="H20" s="85">
        <f>IF(H15=$B$15,$C$4*H15,$C$5*H15)/60/Inputs!$C$3</f>
        <v>7.2</v>
      </c>
      <c r="I20" s="85">
        <f>IF(I15=$B$15,$C$4*I15,$C$5*I15)/60/Inputs!$C$3</f>
        <v>7.2</v>
      </c>
      <c r="J20" s="85">
        <f>IF(J15=$B$15,$C$4*J15,$C$5*J15)/60/Inputs!$C$3</f>
        <v>7.2</v>
      </c>
      <c r="K20" s="85">
        <f>IF(K15=$B$15,$C$4*K15,$C$5*K15)/60/Inputs!$C$3</f>
        <v>7.2</v>
      </c>
      <c r="L20" s="85">
        <f>IF(L15=$B$15,$C$4*L15,$C$5*L15)/60/Inputs!$C$3</f>
        <v>7.2</v>
      </c>
      <c r="M20" s="85">
        <f>IF(M15=$B$15,$C$4*M15,$C$5*M15)/60/Inputs!$C$3</f>
        <v>7.2</v>
      </c>
      <c r="N20" s="85">
        <f>IF(N15=$B$15,$C$4*N15,$C$5*N15)/60/Inputs!$C$3</f>
        <v>9</v>
      </c>
      <c r="O20" s="85">
        <f>IF(O15=$B$15,$C$4*O15,$C$5*O15)/60/Inputs!$C$3</f>
        <v>9</v>
      </c>
      <c r="P20" s="85">
        <f>IF(P15=$B$15,$C$4*P15,$C$5*P15)/60/Inputs!$C$3</f>
        <v>9</v>
      </c>
      <c r="Q20" s="85">
        <f>IF(Q15=$B$15,$C$4*Q15,$C$5*Q15)/60/Inputs!$C$3</f>
        <v>9</v>
      </c>
      <c r="R20" s="85">
        <f>IF(R15=$B$15,$C$4*R15,$C$5*R15)/60/Inputs!$C$3</f>
        <v>9</v>
      </c>
      <c r="S20" s="85">
        <f>IF(S15=$B$15,$C$4*S15,$C$5*S15)/60/Inputs!$C$3</f>
        <v>9</v>
      </c>
      <c r="T20" s="85">
        <f>IF(T15=$B$15,$C$4*T15,$C$5*T15)/60/Inputs!$C$3</f>
        <v>9</v>
      </c>
      <c r="U20" s="85">
        <f>IF(U15=$B$15,$C$4*U15,$C$5*U15)/60/Inputs!$C$3</f>
        <v>9</v>
      </c>
      <c r="V20" s="85">
        <f>IF(V15=$B$15,$C$4*V15,$C$5*V15)/60/Inputs!$C$3</f>
        <v>9</v>
      </c>
      <c r="W20" s="85">
        <f>IF(W15=$B$15,$C$4*W15,$C$5*W15)/60/Inputs!$C$3</f>
        <v>9</v>
      </c>
      <c r="X20" s="85">
        <f>IF(X15=$B$15,$C$4*X15,$C$5*X15)/60/Inputs!$C$3</f>
        <v>9</v>
      </c>
      <c r="Y20" s="85">
        <f>IF(Y15=$B$15,$C$4*Y15,$C$5*Y15)/60/Inputs!$C$3</f>
        <v>9</v>
      </c>
      <c r="Z20" s="85">
        <f>IF(Z15=$B$15,$C$4*Z15,$C$5*Z15)/60/Inputs!$C$3</f>
        <v>9</v>
      </c>
      <c r="AA20" s="85">
        <f>IF(AA15=$B$15,$C$4*AA15,$C$5*AA15)/60/Inputs!$C$3</f>
        <v>9</v>
      </c>
      <c r="AB20" s="85">
        <f>IF(AB15=$B$15,$C$4*AB15,$C$5*AB15)/60/Inputs!$C$3</f>
        <v>9</v>
      </c>
      <c r="AC20" s="85">
        <f>IF(AC15=$B$15,$C$4*AC15,$C$5*AC15)/60/Inputs!$C$3</f>
        <v>9</v>
      </c>
      <c r="AD20" s="85">
        <f>IF(AD15=$B$15,$C$4*AD15,$C$5*AD15)/60/Inputs!$C$3</f>
        <v>9</v>
      </c>
      <c r="AE20" s="85">
        <f>IF(AE15=$B$15,$C$4*AE15,$C$5*AE15)/60/Inputs!$C$3</f>
        <v>9</v>
      </c>
      <c r="AF20" s="85">
        <f>IF(AF15=$B$15,$C$4*AF15,$C$5*AF15)/60/Inputs!$C$3</f>
        <v>9</v>
      </c>
      <c r="AG20" s="85">
        <f>IF(AG15=$B$15,$C$4*AG15,$C$5*AG15)/60/Inputs!$C$3</f>
        <v>9</v>
      </c>
      <c r="AH20" s="85">
        <f>IF(AH15=$B$15,$C$4*AH15,$C$5*AH15)/60/Inputs!$C$3</f>
        <v>9</v>
      </c>
      <c r="AI20" s="85">
        <f>IF(AI15=$B$15,$C$4*AI15,$C$5*AI15)/60/Inputs!$C$3</f>
        <v>9</v>
      </c>
      <c r="AJ20" s="85">
        <f>IF(AJ15=$B$15,$C$4*AJ15,$C$5*AJ15)/60/Inputs!$C$3</f>
        <v>9</v>
      </c>
      <c r="AK20" s="85">
        <f>IF(AK15=$B$15,$C$4*AK15,$C$5*AK15)/60/Inputs!$C$3</f>
        <v>9</v>
      </c>
      <c r="AL20" s="85">
        <f>IF(AL15=$B$15,$C$4*AL15,$C$5*AL15)/60/Inputs!$C$3</f>
        <v>9</v>
      </c>
      <c r="AM20" s="85">
        <f>IF(AM15=$B$15,$C$4*AM15,$C$5*AM15)/60/Inputs!$C$3</f>
        <v>9</v>
      </c>
      <c r="AN20" s="85">
        <f>IF(AN15=$B$15,$C$4*AN15,$C$5*AN15)/60/Inputs!$C$3</f>
        <v>9</v>
      </c>
      <c r="AO20" s="85">
        <f>IF(AO15=$B$15,$C$4*AO15,$C$5*AO15)/60/Inputs!$C$3</f>
        <v>9</v>
      </c>
      <c r="AP20" s="85">
        <f>IF(AP15=$B$15,$C$4*AP15,$C$5*AP15)/60/Inputs!$C$3</f>
        <v>9</v>
      </c>
      <c r="AQ20" s="85">
        <f>IF(AQ15=$B$15,$C$4*AQ15,$C$5*AQ15)/60/Inputs!$C$3</f>
        <v>6.75</v>
      </c>
      <c r="AR20" s="85">
        <f>IF(AR15=$B$15,$C$4*AR15,$C$5*AR15)/60/Inputs!$C$3</f>
        <v>6.75</v>
      </c>
      <c r="AS20" s="85">
        <f>IF(AS15=$B$15,$C$4*AS15,$C$5*AS15)/60/Inputs!$C$3</f>
        <v>6.75</v>
      </c>
      <c r="AT20" s="85">
        <f>IF(AT15=$B$15,$C$4*AT15,$C$5*AT15)/60/Inputs!$C$3</f>
        <v>6.75</v>
      </c>
      <c r="AU20" s="85">
        <f>IF(AU15=$B$15,$C$4*AU15,$C$5*AU15)/60/Inputs!$C$3</f>
        <v>6.75</v>
      </c>
      <c r="AV20" s="85">
        <f>IF(AV15=$B$15,$C$4*AV15,$C$5*AV15)/60/Inputs!$C$3</f>
        <v>6.75</v>
      </c>
      <c r="AW20" s="85">
        <f>IF(AW15=$B$15,$C$4*AW15,$C$5*AW15)/60/Inputs!$C$3</f>
        <v>6.75</v>
      </c>
      <c r="AX20" s="85">
        <f>IF(AX15=$B$15,$C$4*AX15,$C$5*AX15)/60/Inputs!$C$3</f>
        <v>6.75</v>
      </c>
      <c r="AY20" s="85">
        <f>IF(AY15=$B$15,$C$4*AY15,$C$5*AY15)/60/Inputs!$C$3</f>
        <v>6.75</v>
      </c>
      <c r="AZ20" s="85">
        <f>IF(AZ15=$B$15,$C$4*AZ15,$C$5*AZ15)/60/Inputs!$C$3</f>
        <v>6.75</v>
      </c>
      <c r="BA20" s="85">
        <f>IF(BA15=$B$15,$C$4*BA15,$C$5*BA15)/60/Inputs!$C$3</f>
        <v>6.75</v>
      </c>
      <c r="BB20" s="85">
        <f>IF(BB15=$B$15,$C$4*BB15,$C$5*BB15)/60/Inputs!$C$3</f>
        <v>6.75</v>
      </c>
      <c r="BC20" s="85">
        <f>IF(BC15=$B$15,$C$4*BC15,$C$5*BC15)/60/Inputs!$C$3</f>
        <v>6.75</v>
      </c>
      <c r="BD20" s="85">
        <f>IF(BD15=$B$15,$C$4*BD15,$C$5*BD15)/60/Inputs!$C$3</f>
        <v>6.75</v>
      </c>
      <c r="BE20" s="85">
        <f>IF(BE15=$B$15,$C$4*BE15,$C$5*BE15)/60/Inputs!$C$3</f>
        <v>6.75</v>
      </c>
      <c r="BF20" s="85">
        <f>IF(BF15=$B$15,$C$4*BF15,$C$5*BF15)/60/Inputs!$C$3</f>
        <v>6.75</v>
      </c>
      <c r="BG20" s="85">
        <f>IF(BG15=$B$15,$C$4*BG15,$C$5*BG15)/60/Inputs!$C$3</f>
        <v>6.75</v>
      </c>
      <c r="BH20" s="85">
        <f>IF(BH15=$B$15,$C$4*BH15,$C$5*BH15)/60/Inputs!$C$3</f>
        <v>6.75</v>
      </c>
      <c r="BI20" s="85">
        <f>IF(BI15=$B$15,$C$4*BI15,$C$5*BI15)/60/Inputs!$C$3</f>
        <v>6.75</v>
      </c>
      <c r="BJ20" s="85">
        <f>IF(BJ15=$B$15,$C$4*BJ15,$C$5*BJ15)/60/Inputs!$C$3</f>
        <v>6.75</v>
      </c>
      <c r="BK20" s="85">
        <f>IF(BK15=$B$15,$C$4*BK15,$C$5*BK15)/60/Inputs!$C$3</f>
        <v>6.75</v>
      </c>
      <c r="BL20" s="85">
        <f>IF(BL15=$B$15,$C$4*BL15,$C$5*BL15)/60/Inputs!$C$3</f>
        <v>6.75</v>
      </c>
      <c r="BM20" s="85">
        <f>IF(BM15=$B$15,$C$4*BM15,$C$5*BM15)/60/Inputs!$C$3</f>
        <v>6.75</v>
      </c>
      <c r="BN20" s="85">
        <f>IF(BN15=$B$15,$C$4*BN15,$C$5*BN15)/60/Inputs!$C$3</f>
        <v>6.75</v>
      </c>
      <c r="BO20" s="85">
        <f>IF(BO15=$B$15,$C$4*BO15,$C$5*BO15)/60/Inputs!$C$3</f>
        <v>6.75</v>
      </c>
      <c r="BP20" s="85">
        <f>IF(BP15=$B$15,$C$4*BP15,$C$5*BP15)/60/Inputs!$C$3</f>
        <v>6.75</v>
      </c>
      <c r="BQ20" s="85">
        <f>IF(BQ15=$B$15,$C$4*BQ15,$C$5*BQ15)/60/Inputs!$C$3</f>
        <v>6.75</v>
      </c>
      <c r="BR20" s="85">
        <f>IF(BR15=$B$15,$C$4*BR15,$C$5*BR15)/60/Inputs!$C$3</f>
        <v>6.75</v>
      </c>
      <c r="BS20" s="85">
        <f>IF(BS15=$B$15,$C$4*BS15,$C$5*BS15)/60/Inputs!$C$3</f>
        <v>6.75</v>
      </c>
      <c r="BT20" s="85">
        <f>IF(BT15=$B$15,$C$4*BT15,$C$5*BT15)/60/Inputs!$C$3</f>
        <v>6.75</v>
      </c>
      <c r="BU20" s="85">
        <f>IF(BU15=$B$15,$C$4*BU15,$C$5*BU15)/60/Inputs!$C$3</f>
        <v>6.75</v>
      </c>
      <c r="BV20" s="85">
        <f>IF(BV15=$B$15,$C$4*BV15,$C$5*BV15)/60/Inputs!$C$3</f>
        <v>6.75</v>
      </c>
      <c r="BW20" s="85">
        <f>IF(BW15=$B$15,$C$4*BW15,$C$5*BW15)/60/Inputs!$C$3</f>
        <v>6.75</v>
      </c>
      <c r="BX20" s="85">
        <f>IF(BX15=$B$15,$C$4*BX15,$C$5*BX15)/60/Inputs!$C$3</f>
        <v>6.75</v>
      </c>
      <c r="BY20" s="85">
        <f>IF(BY15=$B$15,$C$4*BY15,$C$5*BY15)/60/Inputs!$C$3</f>
        <v>6.75</v>
      </c>
    </row>
    <row r="21" spans="1:77" hidden="1" x14ac:dyDescent="0.3">
      <c r="A21" t="s">
        <v>382</v>
      </c>
      <c r="B21" s="85">
        <f t="shared" ref="B21:AG21" si="3">B20*$E$3</f>
        <v>133.20000000000002</v>
      </c>
      <c r="C21" s="85">
        <f t="shared" si="3"/>
        <v>133.20000000000002</v>
      </c>
      <c r="D21" s="85">
        <f t="shared" si="3"/>
        <v>133.20000000000002</v>
      </c>
      <c r="E21" s="85">
        <f t="shared" si="3"/>
        <v>133.20000000000002</v>
      </c>
      <c r="F21" s="85">
        <f t="shared" si="3"/>
        <v>133.20000000000002</v>
      </c>
      <c r="G21" s="85">
        <f t="shared" si="3"/>
        <v>133.20000000000002</v>
      </c>
      <c r="H21" s="85">
        <f t="shared" si="3"/>
        <v>133.20000000000002</v>
      </c>
      <c r="I21" s="85">
        <f t="shared" si="3"/>
        <v>133.20000000000002</v>
      </c>
      <c r="J21" s="85">
        <f t="shared" si="3"/>
        <v>133.20000000000002</v>
      </c>
      <c r="K21" s="85">
        <f t="shared" si="3"/>
        <v>133.20000000000002</v>
      </c>
      <c r="L21" s="85">
        <f t="shared" si="3"/>
        <v>133.20000000000002</v>
      </c>
      <c r="M21" s="85">
        <f t="shared" si="3"/>
        <v>133.20000000000002</v>
      </c>
      <c r="N21" s="85">
        <f t="shared" si="3"/>
        <v>166.5</v>
      </c>
      <c r="O21" s="85">
        <f t="shared" si="3"/>
        <v>166.5</v>
      </c>
      <c r="P21" s="85">
        <f t="shared" si="3"/>
        <v>166.5</v>
      </c>
      <c r="Q21" s="85">
        <f t="shared" si="3"/>
        <v>166.5</v>
      </c>
      <c r="R21" s="85">
        <f t="shared" si="3"/>
        <v>166.5</v>
      </c>
      <c r="S21" s="85">
        <f t="shared" si="3"/>
        <v>166.5</v>
      </c>
      <c r="T21" s="85">
        <f t="shared" si="3"/>
        <v>166.5</v>
      </c>
      <c r="U21" s="85">
        <f t="shared" si="3"/>
        <v>166.5</v>
      </c>
      <c r="V21" s="85">
        <f t="shared" si="3"/>
        <v>166.5</v>
      </c>
      <c r="W21" s="85">
        <f t="shared" si="3"/>
        <v>166.5</v>
      </c>
      <c r="X21" s="85">
        <f t="shared" si="3"/>
        <v>166.5</v>
      </c>
      <c r="Y21" s="85">
        <f t="shared" si="3"/>
        <v>166.5</v>
      </c>
      <c r="Z21" s="85">
        <f t="shared" si="3"/>
        <v>166.5</v>
      </c>
      <c r="AA21" s="85">
        <f t="shared" si="3"/>
        <v>166.5</v>
      </c>
      <c r="AB21" s="85">
        <f t="shared" si="3"/>
        <v>166.5</v>
      </c>
      <c r="AC21" s="85">
        <f t="shared" si="3"/>
        <v>166.5</v>
      </c>
      <c r="AD21" s="85">
        <f t="shared" si="3"/>
        <v>166.5</v>
      </c>
      <c r="AE21" s="85">
        <f t="shared" si="3"/>
        <v>166.5</v>
      </c>
      <c r="AF21" s="85">
        <f t="shared" si="3"/>
        <v>166.5</v>
      </c>
      <c r="AG21" s="85">
        <f t="shared" si="3"/>
        <v>166.5</v>
      </c>
      <c r="AH21" s="85">
        <f t="shared" ref="AH21:BM21" si="4">AH20*$E$3</f>
        <v>166.5</v>
      </c>
      <c r="AI21" s="85">
        <f t="shared" si="4"/>
        <v>166.5</v>
      </c>
      <c r="AJ21" s="85">
        <f t="shared" si="4"/>
        <v>166.5</v>
      </c>
      <c r="AK21" s="85">
        <f t="shared" si="4"/>
        <v>166.5</v>
      </c>
      <c r="AL21" s="85">
        <f t="shared" si="4"/>
        <v>166.5</v>
      </c>
      <c r="AM21" s="85">
        <f t="shared" si="4"/>
        <v>166.5</v>
      </c>
      <c r="AN21" s="85">
        <f t="shared" si="4"/>
        <v>166.5</v>
      </c>
      <c r="AO21" s="85">
        <f t="shared" si="4"/>
        <v>166.5</v>
      </c>
      <c r="AP21" s="85">
        <f t="shared" si="4"/>
        <v>166.5</v>
      </c>
      <c r="AQ21" s="85">
        <f t="shared" si="4"/>
        <v>124.875</v>
      </c>
      <c r="AR21" s="85">
        <f t="shared" si="4"/>
        <v>124.875</v>
      </c>
      <c r="AS21" s="85">
        <f t="shared" si="4"/>
        <v>124.875</v>
      </c>
      <c r="AT21" s="85">
        <f t="shared" si="4"/>
        <v>124.875</v>
      </c>
      <c r="AU21" s="85">
        <f t="shared" si="4"/>
        <v>124.875</v>
      </c>
      <c r="AV21" s="85">
        <f t="shared" si="4"/>
        <v>124.875</v>
      </c>
      <c r="AW21" s="85">
        <f t="shared" si="4"/>
        <v>124.875</v>
      </c>
      <c r="AX21" s="85">
        <f t="shared" si="4"/>
        <v>124.875</v>
      </c>
      <c r="AY21" s="85">
        <f t="shared" si="4"/>
        <v>124.875</v>
      </c>
      <c r="AZ21" s="85">
        <f t="shared" si="4"/>
        <v>124.875</v>
      </c>
      <c r="BA21" s="85">
        <f t="shared" si="4"/>
        <v>124.875</v>
      </c>
      <c r="BB21" s="85">
        <f t="shared" si="4"/>
        <v>124.875</v>
      </c>
      <c r="BC21" s="85">
        <f t="shared" si="4"/>
        <v>124.875</v>
      </c>
      <c r="BD21" s="85">
        <f t="shared" si="4"/>
        <v>124.875</v>
      </c>
      <c r="BE21" s="85">
        <f t="shared" si="4"/>
        <v>124.875</v>
      </c>
      <c r="BF21" s="85">
        <f t="shared" si="4"/>
        <v>124.875</v>
      </c>
      <c r="BG21" s="85">
        <f t="shared" si="4"/>
        <v>124.875</v>
      </c>
      <c r="BH21" s="85">
        <f t="shared" si="4"/>
        <v>124.875</v>
      </c>
      <c r="BI21" s="85">
        <f t="shared" si="4"/>
        <v>124.875</v>
      </c>
      <c r="BJ21" s="85">
        <f t="shared" si="4"/>
        <v>124.875</v>
      </c>
      <c r="BK21" s="85">
        <f t="shared" si="4"/>
        <v>124.875</v>
      </c>
      <c r="BL21" s="85">
        <f t="shared" si="4"/>
        <v>124.875</v>
      </c>
      <c r="BM21" s="85">
        <f t="shared" si="4"/>
        <v>124.875</v>
      </c>
      <c r="BN21" s="85">
        <f t="shared" ref="BN21:BY21" si="5">BN20*$E$3</f>
        <v>124.875</v>
      </c>
      <c r="BO21" s="85">
        <f t="shared" si="5"/>
        <v>124.875</v>
      </c>
      <c r="BP21" s="85">
        <f t="shared" si="5"/>
        <v>124.875</v>
      </c>
      <c r="BQ21" s="85">
        <f t="shared" si="5"/>
        <v>124.875</v>
      </c>
      <c r="BR21" s="85">
        <f t="shared" si="5"/>
        <v>124.875</v>
      </c>
      <c r="BS21" s="85">
        <f t="shared" si="5"/>
        <v>124.875</v>
      </c>
      <c r="BT21" s="85">
        <f t="shared" si="5"/>
        <v>124.875</v>
      </c>
      <c r="BU21" s="85">
        <f t="shared" si="5"/>
        <v>124.875</v>
      </c>
      <c r="BV21" s="85">
        <f t="shared" si="5"/>
        <v>124.875</v>
      </c>
      <c r="BW21" s="85">
        <f t="shared" si="5"/>
        <v>124.875</v>
      </c>
      <c r="BX21" s="85">
        <f t="shared" si="5"/>
        <v>124.875</v>
      </c>
      <c r="BY21" s="85">
        <f t="shared" si="5"/>
        <v>124.875</v>
      </c>
    </row>
    <row r="22" spans="1:77" hidden="1" x14ac:dyDescent="0.3">
      <c r="A22" t="s">
        <v>197</v>
      </c>
      <c r="B22" s="85">
        <f t="shared" ref="B22:L22" si="6">IF(B16&gt;0,$F$48/60,0)</f>
        <v>0</v>
      </c>
      <c r="C22" s="85">
        <f t="shared" si="6"/>
        <v>0</v>
      </c>
      <c r="D22" s="85">
        <f t="shared" si="6"/>
        <v>0</v>
      </c>
      <c r="E22" s="85">
        <f t="shared" si="6"/>
        <v>0</v>
      </c>
      <c r="F22" s="85">
        <f t="shared" si="6"/>
        <v>0</v>
      </c>
      <c r="G22" s="85">
        <f t="shared" si="6"/>
        <v>0</v>
      </c>
      <c r="H22" s="85">
        <f t="shared" si="6"/>
        <v>0</v>
      </c>
      <c r="I22" s="85">
        <f t="shared" si="6"/>
        <v>0</v>
      </c>
      <c r="J22" s="85">
        <f t="shared" si="6"/>
        <v>0</v>
      </c>
      <c r="K22" s="85">
        <f t="shared" si="6"/>
        <v>2.8645833333333335</v>
      </c>
      <c r="L22" s="85">
        <f t="shared" si="6"/>
        <v>2.8645833333333335</v>
      </c>
      <c r="M22" s="85">
        <f t="shared" ref="M22:BU22" si="7">IF(M16&gt;0,$F$48/60,0)</f>
        <v>2.8645833333333335</v>
      </c>
      <c r="N22" s="85">
        <f t="shared" si="7"/>
        <v>2.8645833333333335</v>
      </c>
      <c r="O22" s="85">
        <f t="shared" si="7"/>
        <v>2.8645833333333335</v>
      </c>
      <c r="P22" s="85">
        <f t="shared" si="7"/>
        <v>2.8645833333333335</v>
      </c>
      <c r="Q22" s="85">
        <f t="shared" si="7"/>
        <v>2.8645833333333335</v>
      </c>
      <c r="R22" s="85">
        <f t="shared" si="7"/>
        <v>2.8645833333333335</v>
      </c>
      <c r="S22" s="85">
        <f t="shared" si="7"/>
        <v>2.8645833333333335</v>
      </c>
      <c r="T22" s="85">
        <f t="shared" si="7"/>
        <v>2.8645833333333335</v>
      </c>
      <c r="U22" s="85">
        <f t="shared" si="7"/>
        <v>2.8645833333333335</v>
      </c>
      <c r="V22" s="85">
        <f t="shared" si="7"/>
        <v>2.8645833333333335</v>
      </c>
      <c r="W22" s="85">
        <f t="shared" si="7"/>
        <v>2.8645833333333335</v>
      </c>
      <c r="X22" s="85">
        <f t="shared" si="7"/>
        <v>2.8645833333333335</v>
      </c>
      <c r="Y22" s="85">
        <f t="shared" si="7"/>
        <v>2.8645833333333335</v>
      </c>
      <c r="Z22" s="85">
        <f t="shared" si="7"/>
        <v>2.8645833333333335</v>
      </c>
      <c r="AA22" s="85">
        <f t="shared" si="7"/>
        <v>2.8645833333333335</v>
      </c>
      <c r="AB22" s="85">
        <f t="shared" si="7"/>
        <v>2.8645833333333335</v>
      </c>
      <c r="AC22" s="85">
        <f t="shared" si="7"/>
        <v>2.8645833333333335</v>
      </c>
      <c r="AD22" s="85">
        <f t="shared" si="7"/>
        <v>2.8645833333333335</v>
      </c>
      <c r="AE22" s="85">
        <f t="shared" si="7"/>
        <v>2.8645833333333335</v>
      </c>
      <c r="AF22" s="85">
        <f t="shared" si="7"/>
        <v>2.8645833333333335</v>
      </c>
      <c r="AG22" s="85">
        <f t="shared" si="7"/>
        <v>2.8645833333333335</v>
      </c>
      <c r="AH22" s="85">
        <f t="shared" si="7"/>
        <v>2.8645833333333335</v>
      </c>
      <c r="AI22" s="85">
        <f t="shared" si="7"/>
        <v>2.8645833333333335</v>
      </c>
      <c r="AJ22" s="85">
        <f t="shared" si="7"/>
        <v>2.8645833333333335</v>
      </c>
      <c r="AK22" s="85">
        <f t="shared" si="7"/>
        <v>2.8645833333333335</v>
      </c>
      <c r="AL22" s="85">
        <f t="shared" si="7"/>
        <v>2.8645833333333335</v>
      </c>
      <c r="AM22" s="85">
        <f t="shared" si="7"/>
        <v>2.8645833333333335</v>
      </c>
      <c r="AN22" s="85">
        <f t="shared" si="7"/>
        <v>2.8645833333333335</v>
      </c>
      <c r="AO22" s="85">
        <f t="shared" si="7"/>
        <v>2.8645833333333335</v>
      </c>
      <c r="AP22" s="85">
        <f t="shared" si="7"/>
        <v>2.8645833333333335</v>
      </c>
      <c r="AQ22" s="85">
        <f t="shared" si="7"/>
        <v>2.8645833333333335</v>
      </c>
      <c r="AR22" s="85">
        <f t="shared" si="7"/>
        <v>2.8645833333333335</v>
      </c>
      <c r="AS22" s="85">
        <f t="shared" si="7"/>
        <v>2.8645833333333335</v>
      </c>
      <c r="AT22" s="85">
        <f t="shared" si="7"/>
        <v>2.8645833333333335</v>
      </c>
      <c r="AU22" s="85">
        <f t="shared" si="7"/>
        <v>2.8645833333333335</v>
      </c>
      <c r="AV22" s="85">
        <f t="shared" si="7"/>
        <v>2.8645833333333335</v>
      </c>
      <c r="AW22" s="85">
        <f t="shared" si="7"/>
        <v>2.8645833333333335</v>
      </c>
      <c r="AX22" s="85">
        <f t="shared" si="7"/>
        <v>2.8645833333333335</v>
      </c>
      <c r="AY22" s="85">
        <f t="shared" si="7"/>
        <v>2.8645833333333335</v>
      </c>
      <c r="AZ22" s="85">
        <f t="shared" si="7"/>
        <v>2.8645833333333335</v>
      </c>
      <c r="BA22" s="85">
        <f t="shared" si="7"/>
        <v>2.8645833333333335</v>
      </c>
      <c r="BB22" s="85">
        <f t="shared" si="7"/>
        <v>2.8645833333333335</v>
      </c>
      <c r="BC22" s="85">
        <f t="shared" si="7"/>
        <v>2.8645833333333335</v>
      </c>
      <c r="BD22" s="85">
        <f t="shared" si="7"/>
        <v>2.8645833333333335</v>
      </c>
      <c r="BE22" s="85">
        <f t="shared" si="7"/>
        <v>2.8645833333333335</v>
      </c>
      <c r="BF22" s="85">
        <f t="shared" si="7"/>
        <v>2.8645833333333335</v>
      </c>
      <c r="BG22" s="85">
        <f t="shared" si="7"/>
        <v>2.8645833333333335</v>
      </c>
      <c r="BH22" s="85">
        <f t="shared" si="7"/>
        <v>2.8645833333333335</v>
      </c>
      <c r="BI22" s="85">
        <f t="shared" si="7"/>
        <v>2.8645833333333335</v>
      </c>
      <c r="BJ22" s="85">
        <f t="shared" si="7"/>
        <v>2.8645833333333335</v>
      </c>
      <c r="BK22" s="85">
        <f t="shared" si="7"/>
        <v>2.8645833333333335</v>
      </c>
      <c r="BL22" s="85">
        <f t="shared" si="7"/>
        <v>2.8645833333333335</v>
      </c>
      <c r="BM22" s="85">
        <f t="shared" si="7"/>
        <v>2.8645833333333335</v>
      </c>
      <c r="BN22" s="85">
        <f t="shared" si="7"/>
        <v>2.8645833333333335</v>
      </c>
      <c r="BO22" s="85">
        <f t="shared" si="7"/>
        <v>2.8645833333333335</v>
      </c>
      <c r="BP22" s="85">
        <f t="shared" si="7"/>
        <v>2.8645833333333335</v>
      </c>
      <c r="BQ22" s="85">
        <f t="shared" si="7"/>
        <v>2.8645833333333335</v>
      </c>
      <c r="BR22" s="85">
        <f t="shared" si="7"/>
        <v>2.8645833333333335</v>
      </c>
      <c r="BS22" s="85">
        <f t="shared" si="7"/>
        <v>2.8645833333333335</v>
      </c>
      <c r="BT22" s="85">
        <f t="shared" si="7"/>
        <v>2.8645833333333335</v>
      </c>
      <c r="BU22" s="85">
        <f t="shared" si="7"/>
        <v>2.8645833333333335</v>
      </c>
      <c r="BV22" s="85">
        <f t="shared" ref="BV22:BY22" si="8">IF(BV16&gt;0,$F$48/60,0)</f>
        <v>2.8645833333333335</v>
      </c>
      <c r="BW22" s="85">
        <f t="shared" si="8"/>
        <v>2.8645833333333335</v>
      </c>
      <c r="BX22" s="85">
        <f t="shared" si="8"/>
        <v>2.8645833333333335</v>
      </c>
      <c r="BY22" s="85">
        <f t="shared" si="8"/>
        <v>2.8645833333333335</v>
      </c>
    </row>
    <row r="23" spans="1:77" hidden="1" x14ac:dyDescent="0.3">
      <c r="A23" t="s">
        <v>383</v>
      </c>
      <c r="B23" s="85">
        <f t="shared" ref="B23:AG23" si="9">B22*$E$3</f>
        <v>0</v>
      </c>
      <c r="C23" s="85">
        <f t="shared" si="9"/>
        <v>0</v>
      </c>
      <c r="D23" s="85">
        <f t="shared" si="9"/>
        <v>0</v>
      </c>
      <c r="E23" s="85">
        <f t="shared" si="9"/>
        <v>0</v>
      </c>
      <c r="F23" s="85">
        <f t="shared" si="9"/>
        <v>0</v>
      </c>
      <c r="G23" s="85">
        <f t="shared" si="9"/>
        <v>0</v>
      </c>
      <c r="H23" s="85">
        <f t="shared" si="9"/>
        <v>0</v>
      </c>
      <c r="I23" s="85">
        <f t="shared" si="9"/>
        <v>0</v>
      </c>
      <c r="J23" s="85">
        <f t="shared" si="9"/>
        <v>0</v>
      </c>
      <c r="K23" s="85">
        <f t="shared" si="9"/>
        <v>52.994791666666671</v>
      </c>
      <c r="L23" s="85">
        <f t="shared" si="9"/>
        <v>52.994791666666671</v>
      </c>
      <c r="M23" s="85">
        <f t="shared" si="9"/>
        <v>52.994791666666671</v>
      </c>
      <c r="N23" s="85">
        <f t="shared" si="9"/>
        <v>52.994791666666671</v>
      </c>
      <c r="O23" s="85">
        <f t="shared" si="9"/>
        <v>52.994791666666671</v>
      </c>
      <c r="P23" s="85">
        <f t="shared" si="9"/>
        <v>52.994791666666671</v>
      </c>
      <c r="Q23" s="85">
        <f t="shared" si="9"/>
        <v>52.994791666666671</v>
      </c>
      <c r="R23" s="85">
        <f t="shared" si="9"/>
        <v>52.994791666666671</v>
      </c>
      <c r="S23" s="85">
        <f t="shared" si="9"/>
        <v>52.994791666666671</v>
      </c>
      <c r="T23" s="85">
        <f t="shared" si="9"/>
        <v>52.994791666666671</v>
      </c>
      <c r="U23" s="85">
        <f t="shared" si="9"/>
        <v>52.994791666666671</v>
      </c>
      <c r="V23" s="85">
        <f t="shared" si="9"/>
        <v>52.994791666666671</v>
      </c>
      <c r="W23" s="85">
        <f t="shared" si="9"/>
        <v>52.994791666666671</v>
      </c>
      <c r="X23" s="85">
        <f t="shared" si="9"/>
        <v>52.994791666666671</v>
      </c>
      <c r="Y23" s="85">
        <f t="shared" si="9"/>
        <v>52.994791666666671</v>
      </c>
      <c r="Z23" s="85">
        <f t="shared" si="9"/>
        <v>52.994791666666671</v>
      </c>
      <c r="AA23" s="85">
        <f t="shared" si="9"/>
        <v>52.994791666666671</v>
      </c>
      <c r="AB23" s="85">
        <f t="shared" si="9"/>
        <v>52.994791666666671</v>
      </c>
      <c r="AC23" s="85">
        <f t="shared" si="9"/>
        <v>52.994791666666671</v>
      </c>
      <c r="AD23" s="85">
        <f t="shared" si="9"/>
        <v>52.994791666666671</v>
      </c>
      <c r="AE23" s="85">
        <f t="shared" si="9"/>
        <v>52.994791666666671</v>
      </c>
      <c r="AF23" s="85">
        <f t="shared" si="9"/>
        <v>52.994791666666671</v>
      </c>
      <c r="AG23" s="85">
        <f t="shared" si="9"/>
        <v>52.994791666666671</v>
      </c>
      <c r="AH23" s="85">
        <f t="shared" ref="AH23:BM23" si="10">AH22*$E$3</f>
        <v>52.994791666666671</v>
      </c>
      <c r="AI23" s="85">
        <f t="shared" si="10"/>
        <v>52.994791666666671</v>
      </c>
      <c r="AJ23" s="85">
        <f t="shared" si="10"/>
        <v>52.994791666666671</v>
      </c>
      <c r="AK23" s="85">
        <f t="shared" si="10"/>
        <v>52.994791666666671</v>
      </c>
      <c r="AL23" s="85">
        <f t="shared" si="10"/>
        <v>52.994791666666671</v>
      </c>
      <c r="AM23" s="85">
        <f t="shared" si="10"/>
        <v>52.994791666666671</v>
      </c>
      <c r="AN23" s="85">
        <f t="shared" si="10"/>
        <v>52.994791666666671</v>
      </c>
      <c r="AO23" s="85">
        <f t="shared" si="10"/>
        <v>52.994791666666671</v>
      </c>
      <c r="AP23" s="85">
        <f t="shared" si="10"/>
        <v>52.994791666666671</v>
      </c>
      <c r="AQ23" s="85">
        <f t="shared" si="10"/>
        <v>52.994791666666671</v>
      </c>
      <c r="AR23" s="85">
        <f t="shared" si="10"/>
        <v>52.994791666666671</v>
      </c>
      <c r="AS23" s="85">
        <f t="shared" si="10"/>
        <v>52.994791666666671</v>
      </c>
      <c r="AT23" s="85">
        <f t="shared" si="10"/>
        <v>52.994791666666671</v>
      </c>
      <c r="AU23" s="85">
        <f t="shared" si="10"/>
        <v>52.994791666666671</v>
      </c>
      <c r="AV23" s="85">
        <f t="shared" si="10"/>
        <v>52.994791666666671</v>
      </c>
      <c r="AW23" s="85">
        <f t="shared" si="10"/>
        <v>52.994791666666671</v>
      </c>
      <c r="AX23" s="85">
        <f t="shared" si="10"/>
        <v>52.994791666666671</v>
      </c>
      <c r="AY23" s="85">
        <f t="shared" si="10"/>
        <v>52.994791666666671</v>
      </c>
      <c r="AZ23" s="85">
        <f t="shared" si="10"/>
        <v>52.994791666666671</v>
      </c>
      <c r="BA23" s="85">
        <f t="shared" si="10"/>
        <v>52.994791666666671</v>
      </c>
      <c r="BB23" s="85">
        <f t="shared" si="10"/>
        <v>52.994791666666671</v>
      </c>
      <c r="BC23" s="85">
        <f t="shared" si="10"/>
        <v>52.994791666666671</v>
      </c>
      <c r="BD23" s="85">
        <f t="shared" si="10"/>
        <v>52.994791666666671</v>
      </c>
      <c r="BE23" s="85">
        <f t="shared" si="10"/>
        <v>52.994791666666671</v>
      </c>
      <c r="BF23" s="85">
        <f t="shared" si="10"/>
        <v>52.994791666666671</v>
      </c>
      <c r="BG23" s="85">
        <f t="shared" si="10"/>
        <v>52.994791666666671</v>
      </c>
      <c r="BH23" s="85">
        <f t="shared" si="10"/>
        <v>52.994791666666671</v>
      </c>
      <c r="BI23" s="85">
        <f t="shared" si="10"/>
        <v>52.994791666666671</v>
      </c>
      <c r="BJ23" s="85">
        <f t="shared" si="10"/>
        <v>52.994791666666671</v>
      </c>
      <c r="BK23" s="85">
        <f t="shared" si="10"/>
        <v>52.994791666666671</v>
      </c>
      <c r="BL23" s="85">
        <f t="shared" si="10"/>
        <v>52.994791666666671</v>
      </c>
      <c r="BM23" s="85">
        <f t="shared" si="10"/>
        <v>52.994791666666671</v>
      </c>
      <c r="BN23" s="85">
        <f t="shared" ref="BN23:BY23" si="11">BN22*$E$3</f>
        <v>52.994791666666671</v>
      </c>
      <c r="BO23" s="85">
        <f t="shared" si="11"/>
        <v>52.994791666666671</v>
      </c>
      <c r="BP23" s="85">
        <f t="shared" si="11"/>
        <v>52.994791666666671</v>
      </c>
      <c r="BQ23" s="85">
        <f t="shared" si="11"/>
        <v>52.994791666666671</v>
      </c>
      <c r="BR23" s="85">
        <f t="shared" si="11"/>
        <v>52.994791666666671</v>
      </c>
      <c r="BS23" s="85">
        <f t="shared" si="11"/>
        <v>52.994791666666671</v>
      </c>
      <c r="BT23" s="85">
        <f t="shared" si="11"/>
        <v>52.994791666666671</v>
      </c>
      <c r="BU23" s="85">
        <f t="shared" si="11"/>
        <v>52.994791666666671</v>
      </c>
      <c r="BV23" s="85">
        <f t="shared" si="11"/>
        <v>52.994791666666671</v>
      </c>
      <c r="BW23" s="85">
        <f t="shared" si="11"/>
        <v>52.994791666666671</v>
      </c>
      <c r="BX23" s="85">
        <f t="shared" si="11"/>
        <v>52.994791666666671</v>
      </c>
      <c r="BY23" s="85">
        <f t="shared" si="11"/>
        <v>52.994791666666671</v>
      </c>
    </row>
    <row r="24" spans="1:77" hidden="1" x14ac:dyDescent="0.3">
      <c r="A24" t="s">
        <v>394</v>
      </c>
      <c r="B24" s="85">
        <f>$C$6*B16*Inputs!$C$16/60/Inputs!$C$3*Inputs!$C$16</f>
        <v>0</v>
      </c>
      <c r="C24" s="85">
        <f>$C$6*C16*Inputs!$C$16/60/Inputs!$C$3*Inputs!$C$16</f>
        <v>0</v>
      </c>
      <c r="D24" s="85">
        <f>$C$6*D16*Inputs!$C$16/60/Inputs!$C$3*Inputs!$C$16</f>
        <v>0</v>
      </c>
      <c r="E24" s="85">
        <f>$C$6*E16*Inputs!$C$16/60/Inputs!$C$3*Inputs!$C$16</f>
        <v>0</v>
      </c>
      <c r="F24" s="85">
        <f>$C$6*F16*Inputs!$C$16/60/Inputs!$C$3*Inputs!$C$16</f>
        <v>0</v>
      </c>
      <c r="G24" s="85">
        <f>$C$6*G16*Inputs!$C$16/60/Inputs!$C$3*Inputs!$C$16</f>
        <v>0</v>
      </c>
      <c r="H24" s="85">
        <f>$C$6*H16*Inputs!$C$16/60/Inputs!$C$3*Inputs!$C$16</f>
        <v>0</v>
      </c>
      <c r="I24" s="85">
        <f>$C$6*I16*Inputs!$C$16/60/Inputs!$C$3*Inputs!$C$16</f>
        <v>0</v>
      </c>
      <c r="J24" s="85">
        <f>$C$6*J16*Inputs!$C$16/60/Inputs!$C$3*Inputs!$C$16</f>
        <v>0</v>
      </c>
      <c r="K24" s="85">
        <f>$C$6*K16*Inputs!$C$16/60/Inputs!$C$3*Inputs!$C$16</f>
        <v>2.2173431974477005</v>
      </c>
      <c r="L24" s="85">
        <f>$C$6*L16*Inputs!$C$16/60/Inputs!$C$3*Inputs!$C$16</f>
        <v>2.9268930206309651</v>
      </c>
      <c r="M24" s="85">
        <f>$C$6*M16*Inputs!$C$16/60/Inputs!$C$3*Inputs!$C$16</f>
        <v>3.8634987872328743</v>
      </c>
      <c r="N24" s="85">
        <f>$C$6*N16*Inputs!$C$16/60/Inputs!$C$3*Inputs!$C$16</f>
        <v>3.9150121043959785</v>
      </c>
      <c r="O24" s="85">
        <f>$C$6*O16*Inputs!$C$16/60/Inputs!$C$3*Inputs!$C$16</f>
        <v>5.1678159778026913</v>
      </c>
      <c r="P24" s="85">
        <f>$C$6*P16*Inputs!$C$16/60/Inputs!$C$3*Inputs!$C$16</f>
        <v>6.8215170906995537</v>
      </c>
      <c r="Q24" s="85">
        <f>$C$6*Q16*Inputs!$C$16/60/Inputs!$C$3*Inputs!$C$16</f>
        <v>9.0044025597234114</v>
      </c>
      <c r="R24" s="85">
        <f>$C$6*R16*Inputs!$C$16/60/Inputs!$C$3*Inputs!$C$16</f>
        <v>9.364578662112347</v>
      </c>
      <c r="S24" s="85">
        <f>$C$6*S16*Inputs!$C$16/60/Inputs!$C$3*Inputs!$C$16</f>
        <v>9.7391618085968421</v>
      </c>
      <c r="T24" s="85">
        <f>$C$6*T16*Inputs!$C$16/60/Inputs!$C$3*Inputs!$C$16</f>
        <v>10.128728280940717</v>
      </c>
      <c r="U24" s="85">
        <f>$C$6*U16*Inputs!$C$16/60/Inputs!$C$3*Inputs!$C$16</f>
        <v>10.533877412178345</v>
      </c>
      <c r="V24" s="85">
        <f>$C$6*V16*Inputs!$C$16/60/Inputs!$C$3*Inputs!$C$16</f>
        <v>10.955232508665478</v>
      </c>
      <c r="W24" s="85">
        <f>$C$6*W16*Inputs!$C$16/60/Inputs!$C$3*Inputs!$C$16</f>
        <v>11.393441809012099</v>
      </c>
      <c r="X24" s="85">
        <f>$C$6*X16*Inputs!$C$16/60/Inputs!$C$3*Inputs!$C$16</f>
        <v>11.849179481372584</v>
      </c>
      <c r="Y24" s="85">
        <f>$C$6*Y16*Inputs!$C$16/60/Inputs!$C$3*Inputs!$C$16</f>
        <v>12.32314666062749</v>
      </c>
      <c r="Z24" s="85">
        <f>$C$6*Z16*Inputs!$C$16/60/Inputs!$C$3*Inputs!$C$16</f>
        <v>12.816072527052588</v>
      </c>
      <c r="AA24" s="85">
        <f>$C$6*AA16*Inputs!$C$16/60/Inputs!$C$3*Inputs!$C$16</f>
        <v>13.328715428134691</v>
      </c>
      <c r="AB24" s="85">
        <f>$C$6*AB16*Inputs!$C$16/60/Inputs!$C$3*Inputs!$C$16</f>
        <v>13.861864045260081</v>
      </c>
      <c r="AC24" s="85">
        <f>$C$6*AC16*Inputs!$C$16/60/Inputs!$C$3*Inputs!$C$16</f>
        <v>14.416338607070482</v>
      </c>
      <c r="AD24" s="85">
        <f>$C$6*AD16*Inputs!$C$16/60/Inputs!$C$3*Inputs!$C$16</f>
        <v>14.992992151353302</v>
      </c>
      <c r="AE24" s="85">
        <f>$C$6*AE16*Inputs!$C$16/60/Inputs!$C$3*Inputs!$C$16</f>
        <v>15.592711837407435</v>
      </c>
      <c r="AF24" s="85">
        <f>$C$6*AF16*Inputs!$C$16/60/Inputs!$C$3*Inputs!$C$16</f>
        <v>16.216420310903736</v>
      </c>
      <c r="AG24" s="85">
        <f>$C$6*AG16*Inputs!$C$16/60/Inputs!$C$3*Inputs!$C$16</f>
        <v>16.378584514012768</v>
      </c>
      <c r="AH24" s="85">
        <f>$C$6*AH16*Inputs!$C$16/60/Inputs!$C$3*Inputs!$C$16</f>
        <v>16.542370359152901</v>
      </c>
      <c r="AI24" s="85">
        <f>$C$6*AI16*Inputs!$C$16/60/Inputs!$C$3*Inputs!$C$16</f>
        <v>16.707794062744426</v>
      </c>
      <c r="AJ24" s="85">
        <f>$C$6*AJ16*Inputs!$C$16/60/Inputs!$C$3*Inputs!$C$16</f>
        <v>16.87487200337187</v>
      </c>
      <c r="AK24" s="85">
        <f>$C$6*AK16*Inputs!$C$16/60/Inputs!$C$3*Inputs!$C$16</f>
        <v>17.043620723405589</v>
      </c>
      <c r="AL24" s="85">
        <f>$C$6*AL16*Inputs!$C$16/60/Inputs!$C$3*Inputs!$C$16</f>
        <v>17.21405693063965</v>
      </c>
      <c r="AM24" s="85">
        <f>$C$6*AM16*Inputs!$C$16/60/Inputs!$C$3*Inputs!$C$16</f>
        <v>17.386197499946043</v>
      </c>
      <c r="AN24" s="85">
        <f>$C$6*AN16*Inputs!$C$16/60/Inputs!$C$3*Inputs!$C$16</f>
        <v>17.560059474945504</v>
      </c>
      <c r="AO24" s="85">
        <f>$C$6*AO16*Inputs!$C$16/60/Inputs!$C$3*Inputs!$C$16</f>
        <v>17.735660069694958</v>
      </c>
      <c r="AP24" s="85">
        <f>$C$6*AP16*Inputs!$C$16/60/Inputs!$C$3*Inputs!$C$16</f>
        <v>17.913016670391912</v>
      </c>
      <c r="AQ24" s="85">
        <f>$C$6*AQ16*Inputs!$C$16/60/Inputs!$C$3*Inputs!$C$16</f>
        <v>16.256062628380661</v>
      </c>
      <c r="AR24" s="85">
        <f>$C$6*AR16*Inputs!$C$16/60/Inputs!$C$3*Inputs!$C$16</f>
        <v>16.418623254664467</v>
      </c>
      <c r="AS24" s="85">
        <f>$C$6*AS16*Inputs!$C$16/60/Inputs!$C$3*Inputs!$C$16</f>
        <v>16.582809487211115</v>
      </c>
      <c r="AT24" s="85">
        <f>$C$6*AT16*Inputs!$C$16/60/Inputs!$C$3*Inputs!$C$16</f>
        <v>16.748637582083223</v>
      </c>
      <c r="AU24" s="85">
        <f>$C$6*AU16*Inputs!$C$16/60/Inputs!$C$3*Inputs!$C$16</f>
        <v>16.916123957904059</v>
      </c>
      <c r="AV24" s="85">
        <f>$C$6*AV16*Inputs!$C$16/60/Inputs!$C$3*Inputs!$C$16</f>
        <v>17.085285197483095</v>
      </c>
      <c r="AW24" s="85">
        <f>$C$6*AW16*Inputs!$C$16/60/Inputs!$C$3*Inputs!$C$16</f>
        <v>17.256138049457924</v>
      </c>
      <c r="AX24" s="85">
        <f>$C$6*AX16*Inputs!$C$16/60/Inputs!$C$3*Inputs!$C$16</f>
        <v>17.428699429952509</v>
      </c>
      <c r="AY24" s="85">
        <f>$C$6*AY16*Inputs!$C$16/60/Inputs!$C$3*Inputs!$C$16</f>
        <v>17.602986424252038</v>
      </c>
      <c r="AZ24" s="85">
        <f>$C$6*AZ16*Inputs!$C$16/60/Inputs!$C$3*Inputs!$C$16</f>
        <v>17.779016288494553</v>
      </c>
      <c r="BA24" s="85">
        <f>$C$6*BA16*Inputs!$C$16/60/Inputs!$C$3*Inputs!$C$16</f>
        <v>17.956806451379499</v>
      </c>
      <c r="BB24" s="85">
        <f>$C$6*BB16*Inputs!$C$16/60/Inputs!$C$3*Inputs!$C$16</f>
        <v>18.136374515893298</v>
      </c>
      <c r="BC24" s="85">
        <f>$C$6*BC16*Inputs!$C$16/60/Inputs!$C$3*Inputs!$C$16</f>
        <v>18.317738261052231</v>
      </c>
      <c r="BD24" s="85">
        <f>$C$6*BD16*Inputs!$C$16/60/Inputs!$C$3*Inputs!$C$16</f>
        <v>18.500915643662751</v>
      </c>
      <c r="BE24" s="85">
        <f>$C$6*BE16*Inputs!$C$16/60/Inputs!$C$3*Inputs!$C$16</f>
        <v>18.685924800099379</v>
      </c>
      <c r="BF24" s="85">
        <f>$C$6*BF16*Inputs!$C$16/60/Inputs!$C$3*Inputs!$C$16</f>
        <v>18.872784048100371</v>
      </c>
      <c r="BG24" s="85">
        <f>$C$6*BG16*Inputs!$C$16/60/Inputs!$C$3*Inputs!$C$16</f>
        <v>19.061511888581379</v>
      </c>
      <c r="BH24" s="85">
        <f>$C$6*BH16*Inputs!$C$16/60/Inputs!$C$3*Inputs!$C$16</f>
        <v>19.252127007467191</v>
      </c>
      <c r="BI24" s="85">
        <f>$C$6*BI16*Inputs!$C$16/60/Inputs!$C$3*Inputs!$C$16</f>
        <v>19.444648277541866</v>
      </c>
      <c r="BJ24" s="85">
        <f>$C$6*BJ16*Inputs!$C$16/60/Inputs!$C$3*Inputs!$C$16</f>
        <v>19.639094760317285</v>
      </c>
      <c r="BK24" s="85">
        <f>$C$6*BK16*Inputs!$C$16/60/Inputs!$C$3*Inputs!$C$16</f>
        <v>19.639094760317285</v>
      </c>
      <c r="BL24" s="85">
        <f>$C$6*BL16*Inputs!$C$16/60/Inputs!$C$3*Inputs!$C$16</f>
        <v>19.639094760317285</v>
      </c>
      <c r="BM24" s="85">
        <f>$C$6*BM16*Inputs!$C$16/60/Inputs!$C$3*Inputs!$C$16</f>
        <v>19.639094760317285</v>
      </c>
      <c r="BN24" s="85">
        <f>$C$6*BN16*Inputs!$C$16/60/Inputs!$C$3*Inputs!$C$16</f>
        <v>19.639094760317285</v>
      </c>
      <c r="BO24" s="85">
        <f>$C$6*BO16*Inputs!$C$16/60/Inputs!$C$3*Inputs!$C$16</f>
        <v>19.639094760317285</v>
      </c>
      <c r="BP24" s="85">
        <f>$C$6*BP16*Inputs!$C$16/60/Inputs!$C$3*Inputs!$C$16</f>
        <v>19.639094760317285</v>
      </c>
      <c r="BQ24" s="85">
        <f>$C$6*BQ16*Inputs!$C$16/60/Inputs!$C$3*Inputs!$C$16</f>
        <v>19.639094760317285</v>
      </c>
      <c r="BR24" s="85">
        <f>$C$6*BR16*Inputs!$C$16/60/Inputs!$C$3*Inputs!$C$16</f>
        <v>19.639094760317285</v>
      </c>
      <c r="BS24" s="85">
        <f>$C$6*BS16*Inputs!$C$16/60/Inputs!$C$3*Inputs!$C$16</f>
        <v>19.639094760317285</v>
      </c>
      <c r="BT24" s="85">
        <f>$C$6*BT16*Inputs!$C$16/60/Inputs!$C$3*Inputs!$C$16</f>
        <v>19.639094760317285</v>
      </c>
      <c r="BU24" s="85">
        <f>$C$6*BU16*Inputs!$C$16/60/Inputs!$C$3*Inputs!$C$16</f>
        <v>19.639094760317285</v>
      </c>
      <c r="BV24" s="85">
        <f>$C$6*BV16*Inputs!$C$16/60/Inputs!$C$3*Inputs!$C$16</f>
        <v>19.639094760317285</v>
      </c>
      <c r="BW24" s="85">
        <f>$C$6*BW16*Inputs!$C$16/60/Inputs!$C$3*Inputs!$C$16</f>
        <v>19.639094760317285</v>
      </c>
      <c r="BX24" s="85">
        <f>$C$6*BX16*Inputs!$C$16/60/Inputs!$C$3*Inputs!$C$16</f>
        <v>19.639094760317285</v>
      </c>
      <c r="BY24" s="85">
        <f>$C$6*BY16*Inputs!$C$16/60/Inputs!$C$3*Inputs!$C$16</f>
        <v>19.639094760317285</v>
      </c>
    </row>
    <row r="25" spans="1:77" hidden="1" x14ac:dyDescent="0.3">
      <c r="A25" t="s">
        <v>407</v>
      </c>
      <c r="B25" s="85">
        <f t="shared" ref="B25:AG25" si="12">B24*$E$3</f>
        <v>0</v>
      </c>
      <c r="C25" s="85">
        <f t="shared" si="12"/>
        <v>0</v>
      </c>
      <c r="D25" s="85">
        <f t="shared" si="12"/>
        <v>0</v>
      </c>
      <c r="E25" s="85">
        <f t="shared" si="12"/>
        <v>0</v>
      </c>
      <c r="F25" s="85">
        <f t="shared" si="12"/>
        <v>0</v>
      </c>
      <c r="G25" s="85">
        <f t="shared" si="12"/>
        <v>0</v>
      </c>
      <c r="H25" s="85">
        <f t="shared" si="12"/>
        <v>0</v>
      </c>
      <c r="I25" s="85">
        <f t="shared" si="12"/>
        <v>0</v>
      </c>
      <c r="J25" s="85">
        <f t="shared" si="12"/>
        <v>0</v>
      </c>
      <c r="K25" s="85">
        <f t="shared" si="12"/>
        <v>41.020849152782461</v>
      </c>
      <c r="L25" s="85">
        <f t="shared" si="12"/>
        <v>54.147520881672854</v>
      </c>
      <c r="M25" s="85">
        <f t="shared" si="12"/>
        <v>71.474727563808173</v>
      </c>
      <c r="N25" s="85">
        <f t="shared" si="12"/>
        <v>72.427723931325602</v>
      </c>
      <c r="O25" s="85">
        <f t="shared" si="12"/>
        <v>95.604595589349785</v>
      </c>
      <c r="P25" s="85">
        <f t="shared" si="12"/>
        <v>126.19806617794174</v>
      </c>
      <c r="Q25" s="85">
        <f t="shared" si="12"/>
        <v>166.58144735488312</v>
      </c>
      <c r="R25" s="85">
        <f t="shared" si="12"/>
        <v>173.24470524907841</v>
      </c>
      <c r="S25" s="85">
        <f t="shared" si="12"/>
        <v>180.17449345904157</v>
      </c>
      <c r="T25" s="85">
        <f t="shared" si="12"/>
        <v>187.38147319740327</v>
      </c>
      <c r="U25" s="85">
        <f t="shared" si="12"/>
        <v>194.87673212529938</v>
      </c>
      <c r="V25" s="85">
        <f t="shared" si="12"/>
        <v>202.67180141031136</v>
      </c>
      <c r="W25" s="85">
        <f t="shared" si="12"/>
        <v>210.77867346672383</v>
      </c>
      <c r="X25" s="85">
        <f t="shared" si="12"/>
        <v>219.2098204053928</v>
      </c>
      <c r="Y25" s="85">
        <f t="shared" si="12"/>
        <v>227.97821322160857</v>
      </c>
      <c r="Z25" s="85">
        <f t="shared" si="12"/>
        <v>237.09734175047288</v>
      </c>
      <c r="AA25" s="85">
        <f t="shared" si="12"/>
        <v>246.58123542049179</v>
      </c>
      <c r="AB25" s="85">
        <f t="shared" si="12"/>
        <v>256.44448483731151</v>
      </c>
      <c r="AC25" s="85">
        <f t="shared" si="12"/>
        <v>266.70226423080391</v>
      </c>
      <c r="AD25" s="85">
        <f t="shared" si="12"/>
        <v>277.37035480003607</v>
      </c>
      <c r="AE25" s="85">
        <f t="shared" si="12"/>
        <v>288.46516899203755</v>
      </c>
      <c r="AF25" s="85">
        <f t="shared" si="12"/>
        <v>300.0037757517191</v>
      </c>
      <c r="AG25" s="85">
        <f t="shared" si="12"/>
        <v>303.00381350923624</v>
      </c>
      <c r="AH25" s="85">
        <f t="shared" ref="AH25:BM25" si="13">AH24*$E$3</f>
        <v>306.03385164432865</v>
      </c>
      <c r="AI25" s="85">
        <f t="shared" si="13"/>
        <v>309.09419016077186</v>
      </c>
      <c r="AJ25" s="85">
        <f t="shared" si="13"/>
        <v>312.18513206237958</v>
      </c>
      <c r="AK25" s="85">
        <f t="shared" si="13"/>
        <v>315.3069833830034</v>
      </c>
      <c r="AL25" s="85">
        <f t="shared" si="13"/>
        <v>318.4600532168335</v>
      </c>
      <c r="AM25" s="85">
        <f t="shared" si="13"/>
        <v>321.6446537490018</v>
      </c>
      <c r="AN25" s="85">
        <f t="shared" si="13"/>
        <v>324.86110028649182</v>
      </c>
      <c r="AO25" s="85">
        <f t="shared" si="13"/>
        <v>328.10971128935671</v>
      </c>
      <c r="AP25" s="85">
        <f t="shared" si="13"/>
        <v>331.39080840225034</v>
      </c>
      <c r="AQ25" s="85">
        <f t="shared" si="13"/>
        <v>300.73715862504224</v>
      </c>
      <c r="AR25" s="85">
        <f t="shared" si="13"/>
        <v>303.74453021129267</v>
      </c>
      <c r="AS25" s="85">
        <f t="shared" si="13"/>
        <v>306.78197551340565</v>
      </c>
      <c r="AT25" s="85">
        <f t="shared" si="13"/>
        <v>309.84979526853965</v>
      </c>
      <c r="AU25" s="85">
        <f t="shared" si="13"/>
        <v>312.94829322122507</v>
      </c>
      <c r="AV25" s="85">
        <f t="shared" si="13"/>
        <v>316.07777615343724</v>
      </c>
      <c r="AW25" s="85">
        <f t="shared" si="13"/>
        <v>319.23855391497159</v>
      </c>
      <c r="AX25" s="85">
        <f t="shared" si="13"/>
        <v>322.43093945412141</v>
      </c>
      <c r="AY25" s="85">
        <f t="shared" si="13"/>
        <v>325.65524884866272</v>
      </c>
      <c r="AZ25" s="85">
        <f t="shared" si="13"/>
        <v>328.91180133714926</v>
      </c>
      <c r="BA25" s="85">
        <f t="shared" si="13"/>
        <v>332.20091935052073</v>
      </c>
      <c r="BB25" s="85">
        <f t="shared" si="13"/>
        <v>335.522928544026</v>
      </c>
      <c r="BC25" s="85">
        <f t="shared" si="13"/>
        <v>338.87815782946626</v>
      </c>
      <c r="BD25" s="85">
        <f t="shared" si="13"/>
        <v>342.2669394077609</v>
      </c>
      <c r="BE25" s="85">
        <f t="shared" si="13"/>
        <v>345.68960880183852</v>
      </c>
      <c r="BF25" s="85">
        <f t="shared" si="13"/>
        <v>349.14650488985689</v>
      </c>
      <c r="BG25" s="85">
        <f t="shared" si="13"/>
        <v>352.63796993875553</v>
      </c>
      <c r="BH25" s="85">
        <f t="shared" si="13"/>
        <v>356.16434963814305</v>
      </c>
      <c r="BI25" s="85">
        <f t="shared" si="13"/>
        <v>359.72599313452451</v>
      </c>
      <c r="BJ25" s="85">
        <f t="shared" si="13"/>
        <v>363.32325306586978</v>
      </c>
      <c r="BK25" s="85">
        <f t="shared" si="13"/>
        <v>363.32325306586978</v>
      </c>
      <c r="BL25" s="85">
        <f t="shared" si="13"/>
        <v>363.32325306586978</v>
      </c>
      <c r="BM25" s="85">
        <f t="shared" si="13"/>
        <v>363.32325306586978</v>
      </c>
      <c r="BN25" s="85">
        <f t="shared" ref="BN25:BY25" si="14">BN24*$E$3</f>
        <v>363.32325306586978</v>
      </c>
      <c r="BO25" s="85">
        <f t="shared" si="14"/>
        <v>363.32325306586978</v>
      </c>
      <c r="BP25" s="85">
        <f t="shared" si="14"/>
        <v>363.32325306586978</v>
      </c>
      <c r="BQ25" s="85">
        <f t="shared" si="14"/>
        <v>363.32325306586978</v>
      </c>
      <c r="BR25" s="85">
        <f t="shared" si="14"/>
        <v>363.32325306586978</v>
      </c>
      <c r="BS25" s="85">
        <f t="shared" si="14"/>
        <v>363.32325306586978</v>
      </c>
      <c r="BT25" s="85">
        <f t="shared" si="14"/>
        <v>363.32325306586978</v>
      </c>
      <c r="BU25" s="85">
        <f t="shared" si="14"/>
        <v>363.32325306586978</v>
      </c>
      <c r="BV25" s="85">
        <f t="shared" si="14"/>
        <v>363.32325306586978</v>
      </c>
      <c r="BW25" s="85">
        <f t="shared" si="14"/>
        <v>363.32325306586978</v>
      </c>
      <c r="BX25" s="85">
        <f t="shared" si="14"/>
        <v>363.32325306586978</v>
      </c>
      <c r="BY25" s="85">
        <f t="shared" si="14"/>
        <v>363.32325306586978</v>
      </c>
    </row>
    <row r="26" spans="1:77" hidden="1" x14ac:dyDescent="0.3">
      <c r="A26" t="s">
        <v>398</v>
      </c>
      <c r="B26" s="85">
        <f>IF(OR(B16=0,Investment!$L$2="In-house"),0,MAX($F$56*B16/Inputs!$C$3,Labor!$F$57/Inputs!$C$3))</f>
        <v>0</v>
      </c>
      <c r="C26" s="85">
        <f>IF(OR(C16=0,Investment!$L$2="In-house"),0,MAX($F$56*C16/Inputs!$C$3,Labor!$F$57/Inputs!$C$3))</f>
        <v>0</v>
      </c>
      <c r="D26" s="85">
        <f>IF(OR(D16=0,Investment!$L$2="In-house"),0,MAX($F$56*D16/Inputs!$C$3,Labor!$F$57/Inputs!$C$3))</f>
        <v>0</v>
      </c>
      <c r="E26" s="85">
        <f>IF(OR(E16=0,Investment!$L$2="In-house"),0,MAX($F$56*E16/Inputs!$C$3,Labor!$F$57/Inputs!$C$3))</f>
        <v>0</v>
      </c>
      <c r="F26" s="85">
        <f>IF(OR(F16=0,Investment!$L$2="In-house"),0,MAX($F$56*F16/Inputs!$C$3,Labor!$F$57/Inputs!$C$3))</f>
        <v>0</v>
      </c>
      <c r="G26" s="85">
        <f>IF(OR(G16=0,Investment!$L$2="In-house"),0,MAX($F$56*G16/Inputs!$C$3,Labor!$F$57/Inputs!$C$3))</f>
        <v>0</v>
      </c>
      <c r="H26" s="85">
        <f>IF(OR(H16=0,Investment!$L$2="In-house"),0,MAX($F$56*H16/Inputs!$C$3,Labor!$F$57/Inputs!$C$3))</f>
        <v>0</v>
      </c>
      <c r="I26" s="85">
        <f>IF(OR(I16=0,Investment!$L$2="In-house"),0,MAX($F$56*I16/Inputs!$C$3,Labor!$F$57/Inputs!$C$3))</f>
        <v>0</v>
      </c>
      <c r="J26" s="85">
        <f>IF(OR(J16=0,Investment!$L$2="In-house"),0,MAX($F$56*J16/Inputs!$C$3,Labor!$F$57/Inputs!$C$3))</f>
        <v>0</v>
      </c>
      <c r="K26" s="85">
        <f>IF(OR(K16=0,Investment!$L$2="In-house"),0,MAX($F$56*K16/Inputs!$C$3,Labor!$F$57/Inputs!$C$3))</f>
        <v>0</v>
      </c>
      <c r="L26" s="85">
        <f>IF(OR(L16=0,Investment!$L$2="In-house"),0,MAX($F$56*L16/Inputs!$C$3,Labor!$F$57/Inputs!$C$3))</f>
        <v>0</v>
      </c>
      <c r="M26" s="85">
        <f>IF(OR(M16=0,Investment!$L$2="In-house"),0,MAX($F$56*M16/Inputs!$C$3,Labor!$F$57/Inputs!$C$3))</f>
        <v>0</v>
      </c>
      <c r="N26" s="85">
        <f>IF(OR(N16=0,Investment!$L$2="In-house"),0,MAX($F$56*N16/Inputs!$C$3,Labor!$F$57/Inputs!$C$3))</f>
        <v>0</v>
      </c>
      <c r="O26" s="85">
        <f>IF(OR(O16=0,Investment!$L$2="In-house"),0,MAX($F$56*O16/Inputs!$C$3,Labor!$F$57/Inputs!$C$3))</f>
        <v>0</v>
      </c>
      <c r="P26" s="85">
        <f>IF(OR(P16=0,Investment!$L$2="In-house"),0,MAX($F$56*P16/Inputs!$C$3,Labor!$F$57/Inputs!$C$3))</f>
        <v>0</v>
      </c>
      <c r="Q26" s="85">
        <f>IF(OR(Q16=0,Investment!$L$2="In-house"),0,MAX($F$56*Q16/Inputs!$C$3,Labor!$F$57/Inputs!$C$3))</f>
        <v>0</v>
      </c>
      <c r="R26" s="85">
        <f>IF(OR(R16=0,Investment!$L$2="In-house"),0,MAX($F$56*R16/Inputs!$C$3,Labor!$F$57/Inputs!$C$3))</f>
        <v>0</v>
      </c>
      <c r="S26" s="85">
        <f>IF(OR(S16=0,Investment!$L$2="In-house"),0,MAX($F$56*S16/Inputs!$C$3,Labor!$F$57/Inputs!$C$3))</f>
        <v>0</v>
      </c>
      <c r="T26" s="85">
        <f>IF(OR(T16=0,Investment!$L$2="In-house"),0,MAX($F$56*T16/Inputs!$C$3,Labor!$F$57/Inputs!$C$3))</f>
        <v>0</v>
      </c>
      <c r="U26" s="85">
        <f>IF(OR(U16=0,Investment!$L$2="In-house"),0,MAX($F$56*U16/Inputs!$C$3,Labor!$F$57/Inputs!$C$3))</f>
        <v>0</v>
      </c>
      <c r="V26" s="85">
        <f>IF(OR(V16=0,Investment!$L$2="In-house"),0,MAX($F$56*V16/Inputs!$C$3,Labor!$F$57/Inputs!$C$3))</f>
        <v>0</v>
      </c>
      <c r="W26" s="85">
        <f>IF(OR(W16=0,Investment!$L$2="In-house"),0,MAX($F$56*W16/Inputs!$C$3,Labor!$F$57/Inputs!$C$3))</f>
        <v>0</v>
      </c>
      <c r="X26" s="85">
        <f>IF(OR(X16=0,Investment!$L$2="In-house"),0,MAX($F$56*X16/Inputs!$C$3,Labor!$F$57/Inputs!$C$3))</f>
        <v>0</v>
      </c>
      <c r="Y26" s="85">
        <f>IF(OR(Y16=0,Investment!$L$2="In-house"),0,MAX($F$56*Y16/Inputs!$C$3,Labor!$F$57/Inputs!$C$3))</f>
        <v>0</v>
      </c>
      <c r="Z26" s="85">
        <f>IF(OR(Z16=0,Investment!$L$2="In-house"),0,MAX($F$56*Z16/Inputs!$C$3,Labor!$F$57/Inputs!$C$3))</f>
        <v>0</v>
      </c>
      <c r="AA26" s="85">
        <f>IF(OR(AA16=0,Investment!$L$2="In-house"),0,MAX($F$56*AA16/Inputs!$C$3,Labor!$F$57/Inputs!$C$3))</f>
        <v>0</v>
      </c>
      <c r="AB26" s="85">
        <f>IF(OR(AB16=0,Investment!$L$2="In-house"),0,MAX($F$56*AB16/Inputs!$C$3,Labor!$F$57/Inputs!$C$3))</f>
        <v>0</v>
      </c>
      <c r="AC26" s="85">
        <f>IF(OR(AC16=0,Investment!$L$2="In-house"),0,MAX($F$56*AC16/Inputs!$C$3,Labor!$F$57/Inputs!$C$3))</f>
        <v>0</v>
      </c>
      <c r="AD26" s="85">
        <f>IF(OR(AD16=0,Investment!$L$2="In-house"),0,MAX($F$56*AD16/Inputs!$C$3,Labor!$F$57/Inputs!$C$3))</f>
        <v>0</v>
      </c>
      <c r="AE26" s="85">
        <f>IF(OR(AE16=0,Investment!$L$2="In-house"),0,MAX($F$56*AE16/Inputs!$C$3,Labor!$F$57/Inputs!$C$3))</f>
        <v>0</v>
      </c>
      <c r="AF26" s="85">
        <f>IF(OR(AF16=0,Investment!$L$2="In-house"),0,MAX($F$56*AF16/Inputs!$C$3,Labor!$F$57/Inputs!$C$3))</f>
        <v>0</v>
      </c>
      <c r="AG26" s="85">
        <f>IF(OR(AG16=0,Investment!$L$2="In-house"),0,MAX($F$56*AG16/Inputs!$C$3,Labor!$F$57/Inputs!$C$3))</f>
        <v>0</v>
      </c>
      <c r="AH26" s="85">
        <f>IF(OR(AH16=0,Investment!$L$2="In-house"),0,MAX($F$56*AH16/Inputs!$C$3,Labor!$F$57/Inputs!$C$3))</f>
        <v>0</v>
      </c>
      <c r="AI26" s="85">
        <f>IF(OR(AI16=0,Investment!$L$2="In-house"),0,MAX($F$56*AI16/Inputs!$C$3,Labor!$F$57/Inputs!$C$3))</f>
        <v>0</v>
      </c>
      <c r="AJ26" s="85">
        <f>IF(OR(AJ16=0,Investment!$L$2="In-house"),0,MAX($F$56*AJ16/Inputs!$C$3,Labor!$F$57/Inputs!$C$3))</f>
        <v>0</v>
      </c>
      <c r="AK26" s="85">
        <f>IF(OR(AK16=0,Investment!$L$2="In-house"),0,MAX($F$56*AK16/Inputs!$C$3,Labor!$F$57/Inputs!$C$3))</f>
        <v>0</v>
      </c>
      <c r="AL26" s="85">
        <f>IF(OR(AL16=0,Investment!$L$2="In-house"),0,MAX($F$56*AL16/Inputs!$C$3,Labor!$F$57/Inputs!$C$3))</f>
        <v>0</v>
      </c>
      <c r="AM26" s="85">
        <f>IF(OR(AM16=0,Investment!$L$2="In-house"),0,MAX($F$56*AM16/Inputs!$C$3,Labor!$F$57/Inputs!$C$3))</f>
        <v>0</v>
      </c>
      <c r="AN26" s="85">
        <f>IF(OR(AN16=0,Investment!$L$2="In-house"),0,MAX($F$56*AN16/Inputs!$C$3,Labor!$F$57/Inputs!$C$3))</f>
        <v>0</v>
      </c>
      <c r="AO26" s="85">
        <f>IF(OR(AO16=0,Investment!$L$2="In-house"),0,MAX($F$56*AO16/Inputs!$C$3,Labor!$F$57/Inputs!$C$3))</f>
        <v>0</v>
      </c>
      <c r="AP26" s="85">
        <f>IF(OR(AP16=0,Investment!$L$2="In-house"),0,MAX($F$56*AP16/Inputs!$C$3,Labor!$F$57/Inputs!$C$3))</f>
        <v>0</v>
      </c>
      <c r="AQ26" s="85">
        <f>IF(OR(AQ16=0,Investment!$L$2="In-house"),0,MAX($F$56*AQ16/Inputs!$C$3,Labor!$F$57/Inputs!$C$3))</f>
        <v>0</v>
      </c>
      <c r="AR26" s="85">
        <f>IF(OR(AR16=0,Investment!$L$2="In-house"),0,MAX($F$56*AR16/Inputs!$C$3,Labor!$F$57/Inputs!$C$3))</f>
        <v>0</v>
      </c>
      <c r="AS26" s="85">
        <f>IF(OR(AS16=0,Investment!$L$2="In-house"),0,MAX($F$56*AS16/Inputs!$C$3,Labor!$F$57/Inputs!$C$3))</f>
        <v>0</v>
      </c>
      <c r="AT26" s="85">
        <f>IF(OR(AT16=0,Investment!$L$2="In-house"),0,MAX($F$56*AT16/Inputs!$C$3,Labor!$F$57/Inputs!$C$3))</f>
        <v>0</v>
      </c>
      <c r="AU26" s="85">
        <f>IF(OR(AU16=0,Investment!$L$2="In-house"),0,MAX($F$56*AU16/Inputs!$C$3,Labor!$F$57/Inputs!$C$3))</f>
        <v>0</v>
      </c>
      <c r="AV26" s="85">
        <f>IF(OR(AV16=0,Investment!$L$2="In-house"),0,MAX($F$56*AV16/Inputs!$C$3,Labor!$F$57/Inputs!$C$3))</f>
        <v>0</v>
      </c>
      <c r="AW26" s="85">
        <f>IF(OR(AW16=0,Investment!$L$2="In-house"),0,MAX($F$56*AW16/Inputs!$C$3,Labor!$F$57/Inputs!$C$3))</f>
        <v>0</v>
      </c>
      <c r="AX26" s="85">
        <f>IF(OR(AX16=0,Investment!$L$2="In-house"),0,MAX($F$56*AX16/Inputs!$C$3,Labor!$F$57/Inputs!$C$3))</f>
        <v>0</v>
      </c>
      <c r="AY26" s="85">
        <f>IF(OR(AY16=0,Investment!$L$2="In-house"),0,MAX($F$56*AY16/Inputs!$C$3,Labor!$F$57/Inputs!$C$3))</f>
        <v>0</v>
      </c>
      <c r="AZ26" s="85">
        <f>IF(OR(AZ16=0,Investment!$L$2="In-house"),0,MAX($F$56*AZ16/Inputs!$C$3,Labor!$F$57/Inputs!$C$3))</f>
        <v>0</v>
      </c>
      <c r="BA26" s="85">
        <f>IF(OR(BA16=0,Investment!$L$2="In-house"),0,MAX($F$56*BA16/Inputs!$C$3,Labor!$F$57/Inputs!$C$3))</f>
        <v>0</v>
      </c>
      <c r="BB26" s="85">
        <f>IF(OR(BB16=0,Investment!$L$2="In-house"),0,MAX($F$56*BB16/Inputs!$C$3,Labor!$F$57/Inputs!$C$3))</f>
        <v>0</v>
      </c>
      <c r="BC26" s="85">
        <f>IF(OR(BC16=0,Investment!$L$2="In-house"),0,MAX($F$56*BC16/Inputs!$C$3,Labor!$F$57/Inputs!$C$3))</f>
        <v>0</v>
      </c>
      <c r="BD26" s="85">
        <f>IF(OR(BD16=0,Investment!$L$2="In-house"),0,MAX($F$56*BD16/Inputs!$C$3,Labor!$F$57/Inputs!$C$3))</f>
        <v>0</v>
      </c>
      <c r="BE26" s="85">
        <f>IF(OR(BE16=0,Investment!$L$2="In-house"),0,MAX($F$56*BE16/Inputs!$C$3,Labor!$F$57/Inputs!$C$3))</f>
        <v>0</v>
      </c>
      <c r="BF26" s="85">
        <f>IF(OR(BF16=0,Investment!$L$2="In-house"),0,MAX($F$56*BF16/Inputs!$C$3,Labor!$F$57/Inputs!$C$3))</f>
        <v>0</v>
      </c>
      <c r="BG26" s="85">
        <f>IF(OR(BG16=0,Investment!$L$2="In-house"),0,MAX($F$56*BG16/Inputs!$C$3,Labor!$F$57/Inputs!$C$3))</f>
        <v>0</v>
      </c>
      <c r="BH26" s="85">
        <f>IF(OR(BH16=0,Investment!$L$2="In-house"),0,MAX($F$56*BH16/Inputs!$C$3,Labor!$F$57/Inputs!$C$3))</f>
        <v>0</v>
      </c>
      <c r="BI26" s="85">
        <f>IF(OR(BI16=0,Investment!$L$2="In-house"),0,MAX($F$56*BI16/Inputs!$C$3,Labor!$F$57/Inputs!$C$3))</f>
        <v>0</v>
      </c>
      <c r="BJ26" s="85">
        <f>IF(OR(BJ16=0,Investment!$L$2="In-house"),0,MAX($F$56*BJ16/Inputs!$C$3,Labor!$F$57/Inputs!$C$3))</f>
        <v>0</v>
      </c>
      <c r="BK26" s="85">
        <f>IF(OR(BK16=0,Investment!$L$2="In-house"),0,MAX($F$56*BK16/Inputs!$C$3,Labor!$F$57/Inputs!$C$3))</f>
        <v>0</v>
      </c>
      <c r="BL26" s="85">
        <f>IF(OR(BL16=0,Investment!$L$2="In-house"),0,MAX($F$56*BL16/Inputs!$C$3,Labor!$F$57/Inputs!$C$3))</f>
        <v>0</v>
      </c>
      <c r="BM26" s="85">
        <f>IF(OR(BM16=0,Investment!$L$2="In-house"),0,MAX($F$56*BM16/Inputs!$C$3,Labor!$F$57/Inputs!$C$3))</f>
        <v>0</v>
      </c>
      <c r="BN26" s="85">
        <f>IF(OR(BN16=0,Investment!$L$2="In-house"),0,MAX($F$56*BN16/Inputs!$C$3,Labor!$F$57/Inputs!$C$3))</f>
        <v>0</v>
      </c>
      <c r="BO26" s="85">
        <f>IF(OR(BO16=0,Investment!$L$2="In-house"),0,MAX($F$56*BO16/Inputs!$C$3,Labor!$F$57/Inputs!$C$3))</f>
        <v>0</v>
      </c>
      <c r="BP26" s="85">
        <f>IF(OR(BP16=0,Investment!$L$2="In-house"),0,MAX($F$56*BP16/Inputs!$C$3,Labor!$F$57/Inputs!$C$3))</f>
        <v>0</v>
      </c>
      <c r="BQ26" s="85">
        <f>IF(OR(BQ16=0,Investment!$L$2="In-house"),0,MAX($F$56*BQ16/Inputs!$C$3,Labor!$F$57/Inputs!$C$3))</f>
        <v>0</v>
      </c>
      <c r="BR26" s="85">
        <f>IF(OR(BR16=0,Investment!$L$2="In-house"),0,MAX($F$56*BR16/Inputs!$C$3,Labor!$F$57/Inputs!$C$3))</f>
        <v>0</v>
      </c>
      <c r="BS26" s="85">
        <f>IF(OR(BS16=0,Investment!$L$2="In-house"),0,MAX($F$56*BS16/Inputs!$C$3,Labor!$F$57/Inputs!$C$3))</f>
        <v>0</v>
      </c>
      <c r="BT26" s="85">
        <f>IF(OR(BT16=0,Investment!$L$2="In-house"),0,MAX($F$56*BT16/Inputs!$C$3,Labor!$F$57/Inputs!$C$3))</f>
        <v>0</v>
      </c>
      <c r="BU26" s="85">
        <f>IF(OR(BU16=0,Investment!$L$2="In-house"),0,MAX($F$56*BU16/Inputs!$C$3,Labor!$F$57/Inputs!$C$3))</f>
        <v>0</v>
      </c>
      <c r="BV26" s="85">
        <f>IF(OR(BV16=0,Investment!$L$2="In-house"),0,MAX($F$56*BV16/Inputs!$C$3,Labor!$F$57/Inputs!$C$3))</f>
        <v>0</v>
      </c>
      <c r="BW26" s="85">
        <f>IF(OR(BW16=0,Investment!$L$2="In-house"),0,MAX($F$56*BW16/Inputs!$C$3,Labor!$F$57/Inputs!$C$3))</f>
        <v>0</v>
      </c>
      <c r="BX26" s="85">
        <f>IF(OR(BX16=0,Investment!$L$2="In-house"),0,MAX($F$56*BX16/Inputs!$C$3,Labor!$F$57/Inputs!$C$3))</f>
        <v>0</v>
      </c>
      <c r="BY26" s="85">
        <f>IF(OR(BY16=0,Investment!$L$2="In-house"),0,MAX($F$56*BY16/Inputs!$C$3,Labor!$F$57/Inputs!$C$3))</f>
        <v>0</v>
      </c>
    </row>
    <row r="27" spans="1:77" hidden="1" x14ac:dyDescent="0.3">
      <c r="A27" t="s">
        <v>408</v>
      </c>
      <c r="B27" s="85">
        <f t="shared" ref="B27:AG27" si="15">B26*$E$3</f>
        <v>0</v>
      </c>
      <c r="C27" s="85">
        <f t="shared" si="15"/>
        <v>0</v>
      </c>
      <c r="D27" s="85">
        <f t="shared" si="15"/>
        <v>0</v>
      </c>
      <c r="E27" s="85">
        <f t="shared" si="15"/>
        <v>0</v>
      </c>
      <c r="F27" s="85">
        <f t="shared" si="15"/>
        <v>0</v>
      </c>
      <c r="G27" s="85">
        <f t="shared" si="15"/>
        <v>0</v>
      </c>
      <c r="H27" s="85">
        <f t="shared" si="15"/>
        <v>0</v>
      </c>
      <c r="I27" s="85">
        <f t="shared" si="15"/>
        <v>0</v>
      </c>
      <c r="J27" s="85">
        <f t="shared" si="15"/>
        <v>0</v>
      </c>
      <c r="K27" s="85">
        <f t="shared" si="15"/>
        <v>0</v>
      </c>
      <c r="L27" s="85">
        <f t="shared" si="15"/>
        <v>0</v>
      </c>
      <c r="M27" s="85">
        <f t="shared" si="15"/>
        <v>0</v>
      </c>
      <c r="N27" s="85">
        <f t="shared" si="15"/>
        <v>0</v>
      </c>
      <c r="O27" s="85">
        <f t="shared" si="15"/>
        <v>0</v>
      </c>
      <c r="P27" s="85">
        <f t="shared" si="15"/>
        <v>0</v>
      </c>
      <c r="Q27" s="85">
        <f t="shared" si="15"/>
        <v>0</v>
      </c>
      <c r="R27" s="85">
        <f t="shared" si="15"/>
        <v>0</v>
      </c>
      <c r="S27" s="85">
        <f t="shared" si="15"/>
        <v>0</v>
      </c>
      <c r="T27" s="85">
        <f t="shared" si="15"/>
        <v>0</v>
      </c>
      <c r="U27" s="85">
        <f t="shared" si="15"/>
        <v>0</v>
      </c>
      <c r="V27" s="85">
        <f t="shared" si="15"/>
        <v>0</v>
      </c>
      <c r="W27" s="85">
        <f t="shared" si="15"/>
        <v>0</v>
      </c>
      <c r="X27" s="85">
        <f t="shared" si="15"/>
        <v>0</v>
      </c>
      <c r="Y27" s="85">
        <f t="shared" si="15"/>
        <v>0</v>
      </c>
      <c r="Z27" s="85">
        <f t="shared" si="15"/>
        <v>0</v>
      </c>
      <c r="AA27" s="85">
        <f t="shared" si="15"/>
        <v>0</v>
      </c>
      <c r="AB27" s="85">
        <f t="shared" si="15"/>
        <v>0</v>
      </c>
      <c r="AC27" s="85">
        <f t="shared" si="15"/>
        <v>0</v>
      </c>
      <c r="AD27" s="85">
        <f t="shared" si="15"/>
        <v>0</v>
      </c>
      <c r="AE27" s="85">
        <f t="shared" si="15"/>
        <v>0</v>
      </c>
      <c r="AF27" s="85">
        <f t="shared" si="15"/>
        <v>0</v>
      </c>
      <c r="AG27" s="85">
        <f t="shared" si="15"/>
        <v>0</v>
      </c>
      <c r="AH27" s="85">
        <f t="shared" ref="AH27:BM27" si="16">AH26*$E$3</f>
        <v>0</v>
      </c>
      <c r="AI27" s="85">
        <f t="shared" si="16"/>
        <v>0</v>
      </c>
      <c r="AJ27" s="85">
        <f t="shared" si="16"/>
        <v>0</v>
      </c>
      <c r="AK27" s="85">
        <f t="shared" si="16"/>
        <v>0</v>
      </c>
      <c r="AL27" s="85">
        <f t="shared" si="16"/>
        <v>0</v>
      </c>
      <c r="AM27" s="85">
        <f t="shared" si="16"/>
        <v>0</v>
      </c>
      <c r="AN27" s="85">
        <f t="shared" si="16"/>
        <v>0</v>
      </c>
      <c r="AO27" s="85">
        <f t="shared" si="16"/>
        <v>0</v>
      </c>
      <c r="AP27" s="85">
        <f t="shared" si="16"/>
        <v>0</v>
      </c>
      <c r="AQ27" s="85">
        <f t="shared" si="16"/>
        <v>0</v>
      </c>
      <c r="AR27" s="85">
        <f t="shared" si="16"/>
        <v>0</v>
      </c>
      <c r="AS27" s="85">
        <f t="shared" si="16"/>
        <v>0</v>
      </c>
      <c r="AT27" s="85">
        <f t="shared" si="16"/>
        <v>0</v>
      </c>
      <c r="AU27" s="85">
        <f t="shared" si="16"/>
        <v>0</v>
      </c>
      <c r="AV27" s="85">
        <f t="shared" si="16"/>
        <v>0</v>
      </c>
      <c r="AW27" s="85">
        <f t="shared" si="16"/>
        <v>0</v>
      </c>
      <c r="AX27" s="85">
        <f t="shared" si="16"/>
        <v>0</v>
      </c>
      <c r="AY27" s="85">
        <f t="shared" si="16"/>
        <v>0</v>
      </c>
      <c r="AZ27" s="85">
        <f t="shared" si="16"/>
        <v>0</v>
      </c>
      <c r="BA27" s="85">
        <f t="shared" si="16"/>
        <v>0</v>
      </c>
      <c r="BB27" s="85">
        <f t="shared" si="16"/>
        <v>0</v>
      </c>
      <c r="BC27" s="85">
        <f t="shared" si="16"/>
        <v>0</v>
      </c>
      <c r="BD27" s="85">
        <f t="shared" si="16"/>
        <v>0</v>
      </c>
      <c r="BE27" s="85">
        <f t="shared" si="16"/>
        <v>0</v>
      </c>
      <c r="BF27" s="85">
        <f t="shared" si="16"/>
        <v>0</v>
      </c>
      <c r="BG27" s="85">
        <f t="shared" si="16"/>
        <v>0</v>
      </c>
      <c r="BH27" s="85">
        <f t="shared" si="16"/>
        <v>0</v>
      </c>
      <c r="BI27" s="85">
        <f t="shared" si="16"/>
        <v>0</v>
      </c>
      <c r="BJ27" s="85">
        <f t="shared" si="16"/>
        <v>0</v>
      </c>
      <c r="BK27" s="85">
        <f t="shared" si="16"/>
        <v>0</v>
      </c>
      <c r="BL27" s="85">
        <f t="shared" si="16"/>
        <v>0</v>
      </c>
      <c r="BM27" s="85">
        <f t="shared" si="16"/>
        <v>0</v>
      </c>
      <c r="BN27" s="85">
        <f t="shared" ref="BN27:BY27" si="17">BN26*$E$3</f>
        <v>0</v>
      </c>
      <c r="BO27" s="85">
        <f t="shared" si="17"/>
        <v>0</v>
      </c>
      <c r="BP27" s="85">
        <f t="shared" si="17"/>
        <v>0</v>
      </c>
      <c r="BQ27" s="85">
        <f t="shared" si="17"/>
        <v>0</v>
      </c>
      <c r="BR27" s="85">
        <f t="shared" si="17"/>
        <v>0</v>
      </c>
      <c r="BS27" s="85">
        <f t="shared" si="17"/>
        <v>0</v>
      </c>
      <c r="BT27" s="85">
        <f t="shared" si="17"/>
        <v>0</v>
      </c>
      <c r="BU27" s="85">
        <f t="shared" si="17"/>
        <v>0</v>
      </c>
      <c r="BV27" s="85">
        <f t="shared" si="17"/>
        <v>0</v>
      </c>
      <c r="BW27" s="85">
        <f t="shared" si="17"/>
        <v>0</v>
      </c>
      <c r="BX27" s="85">
        <f t="shared" si="17"/>
        <v>0</v>
      </c>
      <c r="BY27" s="85">
        <f t="shared" si="17"/>
        <v>0</v>
      </c>
    </row>
    <row r="28" spans="1:77" hidden="1" x14ac:dyDescent="0.3">
      <c r="A28" t="s">
        <v>198</v>
      </c>
      <c r="B28" s="85">
        <f>$C$7</f>
        <v>8</v>
      </c>
      <c r="C28" s="85">
        <f t="shared" ref="C28:BN28" si="18">$C$7</f>
        <v>8</v>
      </c>
      <c r="D28" s="85">
        <f t="shared" si="18"/>
        <v>8</v>
      </c>
      <c r="E28" s="85">
        <f t="shared" si="18"/>
        <v>8</v>
      </c>
      <c r="F28" s="85">
        <f t="shared" si="18"/>
        <v>8</v>
      </c>
      <c r="G28" s="85">
        <f t="shared" si="18"/>
        <v>8</v>
      </c>
      <c r="H28" s="85">
        <f t="shared" si="18"/>
        <v>8</v>
      </c>
      <c r="I28" s="85">
        <f t="shared" si="18"/>
        <v>8</v>
      </c>
      <c r="J28" s="85">
        <f t="shared" si="18"/>
        <v>8</v>
      </c>
      <c r="K28" s="85">
        <f t="shared" si="18"/>
        <v>8</v>
      </c>
      <c r="L28" s="85">
        <f t="shared" si="18"/>
        <v>8</v>
      </c>
      <c r="M28" s="85">
        <f t="shared" si="18"/>
        <v>8</v>
      </c>
      <c r="N28" s="85">
        <f t="shared" si="18"/>
        <v>8</v>
      </c>
      <c r="O28" s="85">
        <f t="shared" si="18"/>
        <v>8</v>
      </c>
      <c r="P28" s="85">
        <f t="shared" si="18"/>
        <v>8</v>
      </c>
      <c r="Q28" s="85">
        <f t="shared" si="18"/>
        <v>8</v>
      </c>
      <c r="R28" s="85">
        <f t="shared" si="18"/>
        <v>8</v>
      </c>
      <c r="S28" s="85">
        <f t="shared" si="18"/>
        <v>8</v>
      </c>
      <c r="T28" s="85">
        <f t="shared" si="18"/>
        <v>8</v>
      </c>
      <c r="U28" s="85">
        <f t="shared" si="18"/>
        <v>8</v>
      </c>
      <c r="V28" s="85">
        <f t="shared" si="18"/>
        <v>8</v>
      </c>
      <c r="W28" s="85">
        <f t="shared" si="18"/>
        <v>8</v>
      </c>
      <c r="X28" s="85">
        <f t="shared" si="18"/>
        <v>8</v>
      </c>
      <c r="Y28" s="85">
        <f t="shared" si="18"/>
        <v>8</v>
      </c>
      <c r="Z28" s="85">
        <f t="shared" si="18"/>
        <v>8</v>
      </c>
      <c r="AA28" s="85">
        <f t="shared" si="18"/>
        <v>8</v>
      </c>
      <c r="AB28" s="85">
        <f t="shared" si="18"/>
        <v>8</v>
      </c>
      <c r="AC28" s="85">
        <f t="shared" si="18"/>
        <v>8</v>
      </c>
      <c r="AD28" s="85">
        <f t="shared" si="18"/>
        <v>8</v>
      </c>
      <c r="AE28" s="85">
        <f t="shared" si="18"/>
        <v>8</v>
      </c>
      <c r="AF28" s="85">
        <f t="shared" si="18"/>
        <v>8</v>
      </c>
      <c r="AG28" s="85">
        <f t="shared" si="18"/>
        <v>8</v>
      </c>
      <c r="AH28" s="85">
        <f t="shared" si="18"/>
        <v>8</v>
      </c>
      <c r="AI28" s="85">
        <f t="shared" si="18"/>
        <v>8</v>
      </c>
      <c r="AJ28" s="85">
        <f t="shared" si="18"/>
        <v>8</v>
      </c>
      <c r="AK28" s="85">
        <f t="shared" si="18"/>
        <v>8</v>
      </c>
      <c r="AL28" s="85">
        <f t="shared" si="18"/>
        <v>8</v>
      </c>
      <c r="AM28" s="85">
        <f t="shared" si="18"/>
        <v>8</v>
      </c>
      <c r="AN28" s="85">
        <f t="shared" si="18"/>
        <v>8</v>
      </c>
      <c r="AO28" s="85">
        <f t="shared" si="18"/>
        <v>8</v>
      </c>
      <c r="AP28" s="85">
        <f t="shared" si="18"/>
        <v>8</v>
      </c>
      <c r="AQ28" s="85">
        <f t="shared" si="18"/>
        <v>8</v>
      </c>
      <c r="AR28" s="85">
        <f t="shared" si="18"/>
        <v>8</v>
      </c>
      <c r="AS28" s="85">
        <f t="shared" si="18"/>
        <v>8</v>
      </c>
      <c r="AT28" s="85">
        <f t="shared" si="18"/>
        <v>8</v>
      </c>
      <c r="AU28" s="85">
        <f t="shared" si="18"/>
        <v>8</v>
      </c>
      <c r="AV28" s="85">
        <f t="shared" si="18"/>
        <v>8</v>
      </c>
      <c r="AW28" s="85">
        <f t="shared" si="18"/>
        <v>8</v>
      </c>
      <c r="AX28" s="85">
        <f t="shared" si="18"/>
        <v>8</v>
      </c>
      <c r="AY28" s="85">
        <f t="shared" si="18"/>
        <v>8</v>
      </c>
      <c r="AZ28" s="85">
        <f t="shared" si="18"/>
        <v>8</v>
      </c>
      <c r="BA28" s="85">
        <f t="shared" si="18"/>
        <v>8</v>
      </c>
      <c r="BB28" s="85">
        <f t="shared" si="18"/>
        <v>8</v>
      </c>
      <c r="BC28" s="85">
        <f t="shared" si="18"/>
        <v>8</v>
      </c>
      <c r="BD28" s="85">
        <f t="shared" si="18"/>
        <v>8</v>
      </c>
      <c r="BE28" s="85">
        <f t="shared" si="18"/>
        <v>8</v>
      </c>
      <c r="BF28" s="85">
        <f t="shared" si="18"/>
        <v>8</v>
      </c>
      <c r="BG28" s="85">
        <f t="shared" si="18"/>
        <v>8</v>
      </c>
      <c r="BH28" s="85">
        <f t="shared" si="18"/>
        <v>8</v>
      </c>
      <c r="BI28" s="85">
        <f t="shared" si="18"/>
        <v>8</v>
      </c>
      <c r="BJ28" s="85">
        <f t="shared" si="18"/>
        <v>8</v>
      </c>
      <c r="BK28" s="85">
        <f t="shared" si="18"/>
        <v>8</v>
      </c>
      <c r="BL28" s="85">
        <f t="shared" si="18"/>
        <v>8</v>
      </c>
      <c r="BM28" s="85">
        <f t="shared" si="18"/>
        <v>8</v>
      </c>
      <c r="BN28" s="85">
        <f t="shared" si="18"/>
        <v>8</v>
      </c>
      <c r="BO28" s="85">
        <f t="shared" ref="BO28:BY28" si="19">$C$7</f>
        <v>8</v>
      </c>
      <c r="BP28" s="85">
        <f t="shared" si="19"/>
        <v>8</v>
      </c>
      <c r="BQ28" s="85">
        <f t="shared" si="19"/>
        <v>8</v>
      </c>
      <c r="BR28" s="85">
        <f t="shared" si="19"/>
        <v>8</v>
      </c>
      <c r="BS28" s="85">
        <f t="shared" si="19"/>
        <v>8</v>
      </c>
      <c r="BT28" s="85">
        <f t="shared" si="19"/>
        <v>8</v>
      </c>
      <c r="BU28" s="85">
        <f t="shared" si="19"/>
        <v>8</v>
      </c>
      <c r="BV28" s="85">
        <f t="shared" si="19"/>
        <v>8</v>
      </c>
      <c r="BW28" s="85">
        <f t="shared" si="19"/>
        <v>8</v>
      </c>
      <c r="BX28" s="85">
        <f t="shared" si="19"/>
        <v>8</v>
      </c>
      <c r="BY28" s="85">
        <f t="shared" si="19"/>
        <v>8</v>
      </c>
    </row>
    <row r="29" spans="1:77" hidden="1" x14ac:dyDescent="0.3">
      <c r="A29" t="s">
        <v>562</v>
      </c>
      <c r="B29" s="85">
        <f t="shared" ref="B29:AG29" si="20">B28*$E$3</f>
        <v>148</v>
      </c>
      <c r="C29" s="85">
        <f t="shared" si="20"/>
        <v>148</v>
      </c>
      <c r="D29" s="85">
        <f t="shared" si="20"/>
        <v>148</v>
      </c>
      <c r="E29" s="85">
        <f t="shared" si="20"/>
        <v>148</v>
      </c>
      <c r="F29" s="85">
        <f t="shared" si="20"/>
        <v>148</v>
      </c>
      <c r="G29" s="85">
        <f t="shared" si="20"/>
        <v>148</v>
      </c>
      <c r="H29" s="85">
        <f t="shared" si="20"/>
        <v>148</v>
      </c>
      <c r="I29" s="85">
        <f t="shared" si="20"/>
        <v>148</v>
      </c>
      <c r="J29" s="85">
        <f t="shared" si="20"/>
        <v>148</v>
      </c>
      <c r="K29" s="85">
        <f t="shared" si="20"/>
        <v>148</v>
      </c>
      <c r="L29" s="85">
        <f t="shared" si="20"/>
        <v>148</v>
      </c>
      <c r="M29" s="85">
        <f t="shared" si="20"/>
        <v>148</v>
      </c>
      <c r="N29" s="85">
        <f t="shared" si="20"/>
        <v>148</v>
      </c>
      <c r="O29" s="85">
        <f t="shared" si="20"/>
        <v>148</v>
      </c>
      <c r="P29" s="85">
        <f t="shared" si="20"/>
        <v>148</v>
      </c>
      <c r="Q29" s="85">
        <f t="shared" si="20"/>
        <v>148</v>
      </c>
      <c r="R29" s="85">
        <f t="shared" si="20"/>
        <v>148</v>
      </c>
      <c r="S29" s="85">
        <f t="shared" si="20"/>
        <v>148</v>
      </c>
      <c r="T29" s="85">
        <f t="shared" si="20"/>
        <v>148</v>
      </c>
      <c r="U29" s="85">
        <f t="shared" si="20"/>
        <v>148</v>
      </c>
      <c r="V29" s="85">
        <f t="shared" si="20"/>
        <v>148</v>
      </c>
      <c r="W29" s="85">
        <f t="shared" si="20"/>
        <v>148</v>
      </c>
      <c r="X29" s="85">
        <f t="shared" si="20"/>
        <v>148</v>
      </c>
      <c r="Y29" s="85">
        <f t="shared" si="20"/>
        <v>148</v>
      </c>
      <c r="Z29" s="85">
        <f t="shared" si="20"/>
        <v>148</v>
      </c>
      <c r="AA29" s="85">
        <f t="shared" si="20"/>
        <v>148</v>
      </c>
      <c r="AB29" s="85">
        <f t="shared" si="20"/>
        <v>148</v>
      </c>
      <c r="AC29" s="85">
        <f t="shared" si="20"/>
        <v>148</v>
      </c>
      <c r="AD29" s="85">
        <f t="shared" si="20"/>
        <v>148</v>
      </c>
      <c r="AE29" s="85">
        <f t="shared" si="20"/>
        <v>148</v>
      </c>
      <c r="AF29" s="85">
        <f t="shared" si="20"/>
        <v>148</v>
      </c>
      <c r="AG29" s="85">
        <f t="shared" si="20"/>
        <v>148</v>
      </c>
      <c r="AH29" s="85">
        <f t="shared" ref="AH29:BM29" si="21">AH28*$E$3</f>
        <v>148</v>
      </c>
      <c r="AI29" s="85">
        <f t="shared" si="21"/>
        <v>148</v>
      </c>
      <c r="AJ29" s="85">
        <f t="shared" si="21"/>
        <v>148</v>
      </c>
      <c r="AK29" s="85">
        <f t="shared" si="21"/>
        <v>148</v>
      </c>
      <c r="AL29" s="85">
        <f t="shared" si="21"/>
        <v>148</v>
      </c>
      <c r="AM29" s="85">
        <f t="shared" si="21"/>
        <v>148</v>
      </c>
      <c r="AN29" s="85">
        <f t="shared" si="21"/>
        <v>148</v>
      </c>
      <c r="AO29" s="85">
        <f t="shared" si="21"/>
        <v>148</v>
      </c>
      <c r="AP29" s="85">
        <f t="shared" si="21"/>
        <v>148</v>
      </c>
      <c r="AQ29" s="85">
        <f t="shared" si="21"/>
        <v>148</v>
      </c>
      <c r="AR29" s="85">
        <f t="shared" si="21"/>
        <v>148</v>
      </c>
      <c r="AS29" s="85">
        <f t="shared" si="21"/>
        <v>148</v>
      </c>
      <c r="AT29" s="85">
        <f t="shared" si="21"/>
        <v>148</v>
      </c>
      <c r="AU29" s="85">
        <f t="shared" si="21"/>
        <v>148</v>
      </c>
      <c r="AV29" s="85">
        <f t="shared" si="21"/>
        <v>148</v>
      </c>
      <c r="AW29" s="85">
        <f t="shared" si="21"/>
        <v>148</v>
      </c>
      <c r="AX29" s="85">
        <f t="shared" si="21"/>
        <v>148</v>
      </c>
      <c r="AY29" s="85">
        <f t="shared" si="21"/>
        <v>148</v>
      </c>
      <c r="AZ29" s="85">
        <f t="shared" si="21"/>
        <v>148</v>
      </c>
      <c r="BA29" s="85">
        <f t="shared" si="21"/>
        <v>148</v>
      </c>
      <c r="BB29" s="85">
        <f t="shared" si="21"/>
        <v>148</v>
      </c>
      <c r="BC29" s="85">
        <f t="shared" si="21"/>
        <v>148</v>
      </c>
      <c r="BD29" s="85">
        <f t="shared" si="21"/>
        <v>148</v>
      </c>
      <c r="BE29" s="85">
        <f t="shared" si="21"/>
        <v>148</v>
      </c>
      <c r="BF29" s="85">
        <f t="shared" si="21"/>
        <v>148</v>
      </c>
      <c r="BG29" s="85">
        <f t="shared" si="21"/>
        <v>148</v>
      </c>
      <c r="BH29" s="85">
        <f t="shared" si="21"/>
        <v>148</v>
      </c>
      <c r="BI29" s="85">
        <f t="shared" si="21"/>
        <v>148</v>
      </c>
      <c r="BJ29" s="85">
        <f t="shared" si="21"/>
        <v>148</v>
      </c>
      <c r="BK29" s="85">
        <f t="shared" si="21"/>
        <v>148</v>
      </c>
      <c r="BL29" s="85">
        <f t="shared" si="21"/>
        <v>148</v>
      </c>
      <c r="BM29" s="85">
        <f t="shared" si="21"/>
        <v>148</v>
      </c>
      <c r="BN29" s="85">
        <f t="shared" ref="BN29:BY29" si="22">BN28*$E$3</f>
        <v>148</v>
      </c>
      <c r="BO29" s="85">
        <f t="shared" si="22"/>
        <v>148</v>
      </c>
      <c r="BP29" s="85">
        <f t="shared" si="22"/>
        <v>148</v>
      </c>
      <c r="BQ29" s="85">
        <f t="shared" si="22"/>
        <v>148</v>
      </c>
      <c r="BR29" s="85">
        <f t="shared" si="22"/>
        <v>148</v>
      </c>
      <c r="BS29" s="85">
        <f t="shared" si="22"/>
        <v>148</v>
      </c>
      <c r="BT29" s="85">
        <f t="shared" si="22"/>
        <v>148</v>
      </c>
      <c r="BU29" s="85">
        <f t="shared" si="22"/>
        <v>148</v>
      </c>
      <c r="BV29" s="85">
        <f t="shared" si="22"/>
        <v>148</v>
      </c>
      <c r="BW29" s="85">
        <f t="shared" si="22"/>
        <v>148</v>
      </c>
      <c r="BX29" s="85">
        <f t="shared" si="22"/>
        <v>148</v>
      </c>
      <c r="BY29" s="85">
        <f t="shared" si="22"/>
        <v>148</v>
      </c>
    </row>
    <row r="30" spans="1:77" hidden="1" x14ac:dyDescent="0.3">
      <c r="A30" t="s">
        <v>201</v>
      </c>
      <c r="B30" s="85">
        <f>IF(Inputs!$C$11=Investment!$O$146,$C$8,0)</f>
        <v>0</v>
      </c>
      <c r="C30" s="85">
        <f>IF(Inputs!$C$11=Investment!$O$146,$C$8,0)</f>
        <v>0</v>
      </c>
      <c r="D30" s="85">
        <f>IF(Inputs!$C$11=Investment!$O$146,$C$8,0)</f>
        <v>0</v>
      </c>
      <c r="E30" s="85">
        <f>IF(Inputs!$C$11=Investment!$O$146,$C$8,0)</f>
        <v>0</v>
      </c>
      <c r="F30" s="85">
        <f>IF(Inputs!$C$11=Investment!$O$146,$C$8,0)</f>
        <v>0</v>
      </c>
      <c r="G30" s="85">
        <f>IF(Inputs!$C$11=Investment!$O$146,$C$8,0)</f>
        <v>0</v>
      </c>
      <c r="H30" s="85">
        <f>IF(Inputs!$C$11=Investment!$O$146,$C$8,0)</f>
        <v>0</v>
      </c>
      <c r="I30" s="85">
        <f>IF(Inputs!$C$11=Investment!$O$146,$C$8,0)</f>
        <v>0</v>
      </c>
      <c r="J30" s="85">
        <f>IF(Inputs!$C$11=Investment!$O$146,$C$8,0)</f>
        <v>0</v>
      </c>
      <c r="K30" s="85">
        <f>IF(Inputs!$C$11=Investment!$O$146,$C$8,0)</f>
        <v>0</v>
      </c>
      <c r="L30" s="85">
        <f>IF(Inputs!$C$11=Investment!$O$146,$C$8,0)</f>
        <v>0</v>
      </c>
      <c r="M30" s="85">
        <f>IF(Inputs!$C$11=Investment!$O$146,$C$8,0)</f>
        <v>0</v>
      </c>
      <c r="N30" s="85">
        <f>IF(Inputs!$C$11=Investment!$O$146,$C$8,0)</f>
        <v>0</v>
      </c>
      <c r="O30" s="85">
        <f>IF(Inputs!$C$11=Investment!$O$146,$C$8,0)</f>
        <v>0</v>
      </c>
      <c r="P30" s="85">
        <f>IF(Inputs!$C$11=Investment!$O$146,$C$8,0)</f>
        <v>0</v>
      </c>
      <c r="Q30" s="85">
        <f>IF(Inputs!$C$11=Investment!$O$146,$C$8,0)</f>
        <v>0</v>
      </c>
      <c r="R30" s="85">
        <f>IF(Inputs!$C$11=Investment!$O$146,$C$8,0)</f>
        <v>0</v>
      </c>
      <c r="S30" s="85">
        <f>IF(Inputs!$C$11=Investment!$O$146,$C$8,0)</f>
        <v>0</v>
      </c>
      <c r="T30" s="85">
        <f>IF(Inputs!$C$11=Investment!$O$146,$C$8,0)</f>
        <v>0</v>
      </c>
      <c r="U30" s="85">
        <f>IF(Inputs!$C$11=Investment!$O$146,$C$8,0)</f>
        <v>0</v>
      </c>
      <c r="V30" s="85">
        <f>IF(Inputs!$C$11=Investment!$O$146,$C$8,0)</f>
        <v>0</v>
      </c>
      <c r="W30" s="85">
        <f>IF(Inputs!$C$11=Investment!$O$146,$C$8,0)</f>
        <v>0</v>
      </c>
      <c r="X30" s="85">
        <f>IF(Inputs!$C$11=Investment!$O$146,$C$8,0)</f>
        <v>0</v>
      </c>
      <c r="Y30" s="85">
        <f>IF(Inputs!$C$11=Investment!$O$146,$C$8,0)</f>
        <v>0</v>
      </c>
      <c r="Z30" s="85">
        <f>IF(Inputs!$C$11=Investment!$O$146,$C$8,0)</f>
        <v>0</v>
      </c>
      <c r="AA30" s="85">
        <f>IF(Inputs!$C$11=Investment!$O$146,$C$8,0)</f>
        <v>0</v>
      </c>
      <c r="AB30" s="85">
        <f>IF(Inputs!$C$11=Investment!$O$146,$C$8,0)</f>
        <v>0</v>
      </c>
      <c r="AC30" s="85">
        <f>IF(Inputs!$C$11=Investment!$O$146,$C$8,0)</f>
        <v>0</v>
      </c>
      <c r="AD30" s="85">
        <f>IF(Inputs!$C$11=Investment!$O$146,$C$8,0)</f>
        <v>0</v>
      </c>
      <c r="AE30" s="85">
        <f>IF(Inputs!$C$11=Investment!$O$146,$C$8,0)</f>
        <v>0</v>
      </c>
      <c r="AF30" s="85">
        <f>IF(Inputs!$C$11=Investment!$O$146,$C$8,0)</f>
        <v>0</v>
      </c>
      <c r="AG30" s="85">
        <f>IF(Inputs!$C$11=Investment!$O$146,$C$8,0)</f>
        <v>0</v>
      </c>
      <c r="AH30" s="85">
        <f>IF(Inputs!$C$11=Investment!$O$146,$C$8,0)</f>
        <v>0</v>
      </c>
      <c r="AI30" s="85">
        <f>IF(Inputs!$C$11=Investment!$O$146,$C$8,0)</f>
        <v>0</v>
      </c>
      <c r="AJ30" s="85">
        <f>IF(Inputs!$C$11=Investment!$O$146,$C$8,0)</f>
        <v>0</v>
      </c>
      <c r="AK30" s="85">
        <f>IF(Inputs!$C$11=Investment!$O$146,$C$8,0)</f>
        <v>0</v>
      </c>
      <c r="AL30" s="85">
        <f>IF(Inputs!$C$11=Investment!$O$146,$C$8,0)</f>
        <v>0</v>
      </c>
      <c r="AM30" s="85">
        <f>IF(Inputs!$C$11=Investment!$O$146,$C$8,0)</f>
        <v>0</v>
      </c>
      <c r="AN30" s="85">
        <f>IF(Inputs!$C$11=Investment!$O$146,$C$8,0)</f>
        <v>0</v>
      </c>
      <c r="AO30" s="85">
        <f>IF(Inputs!$C$11=Investment!$O$146,$C$8,0)</f>
        <v>0</v>
      </c>
      <c r="AP30" s="85">
        <f>IF(Inputs!$C$11=Investment!$O$146,$C$8,0)</f>
        <v>0</v>
      </c>
      <c r="AQ30" s="85">
        <f>IF(Inputs!$C$11=Investment!$O$146,$C$8,0)</f>
        <v>0</v>
      </c>
      <c r="AR30" s="85">
        <f>IF(Inputs!$C$11=Investment!$O$146,$C$8,0)</f>
        <v>0</v>
      </c>
      <c r="AS30" s="85">
        <f>IF(Inputs!$C$11=Investment!$O$146,$C$8,0)</f>
        <v>0</v>
      </c>
      <c r="AT30" s="85">
        <f>IF(Inputs!$C$11=Investment!$O$146,$C$8,0)</f>
        <v>0</v>
      </c>
      <c r="AU30" s="85">
        <f>IF(Inputs!$C$11=Investment!$O$146,$C$8,0)</f>
        <v>0</v>
      </c>
      <c r="AV30" s="85">
        <f>IF(Inputs!$C$11=Investment!$O$146,$C$8,0)</f>
        <v>0</v>
      </c>
      <c r="AW30" s="85">
        <f>IF(Inputs!$C$11=Investment!$O$146,$C$8,0)</f>
        <v>0</v>
      </c>
      <c r="AX30" s="85">
        <f>IF(Inputs!$C$11=Investment!$O$146,$C$8,0)</f>
        <v>0</v>
      </c>
      <c r="AY30" s="85">
        <f>IF(Inputs!$C$11=Investment!$O$146,$C$8,0)</f>
        <v>0</v>
      </c>
      <c r="AZ30" s="85">
        <f>IF(Inputs!$C$11=Investment!$O$146,$C$8,0)</f>
        <v>0</v>
      </c>
      <c r="BA30" s="85">
        <f>IF(Inputs!$C$11=Investment!$O$146,$C$8,0)</f>
        <v>0</v>
      </c>
      <c r="BB30" s="85">
        <f>IF(Inputs!$C$11=Investment!$O$146,$C$8,0)</f>
        <v>0</v>
      </c>
      <c r="BC30" s="85">
        <f>IF(Inputs!$C$11=Investment!$O$146,$C$8,0)</f>
        <v>0</v>
      </c>
      <c r="BD30" s="85">
        <f>IF(Inputs!$C$11=Investment!$O$146,$C$8,0)</f>
        <v>0</v>
      </c>
      <c r="BE30" s="85">
        <f>IF(Inputs!$C$11=Investment!$O$146,$C$8,0)</f>
        <v>0</v>
      </c>
      <c r="BF30" s="85">
        <f>IF(Inputs!$C$11=Investment!$O$146,$C$8,0)</f>
        <v>0</v>
      </c>
      <c r="BG30" s="85">
        <f>IF(Inputs!$C$11=Investment!$O$146,$C$8,0)</f>
        <v>0</v>
      </c>
      <c r="BH30" s="85">
        <f>IF(Inputs!$C$11=Investment!$O$146,$C$8,0)</f>
        <v>0</v>
      </c>
      <c r="BI30" s="85">
        <f>IF(Inputs!$C$11=Investment!$O$146,$C$8,0)</f>
        <v>0</v>
      </c>
      <c r="BJ30" s="85">
        <f>IF(Inputs!$C$11=Investment!$O$146,$C$8,0)</f>
        <v>0</v>
      </c>
      <c r="BK30" s="85">
        <f>IF(Inputs!$C$11=Investment!$O$146,$C$8,0)</f>
        <v>0</v>
      </c>
      <c r="BL30" s="85">
        <f>IF(Inputs!$C$11=Investment!$O$146,$C$8,0)</f>
        <v>0</v>
      </c>
      <c r="BM30" s="85">
        <f>IF(Inputs!$C$11=Investment!$O$146,$C$8,0)</f>
        <v>0</v>
      </c>
      <c r="BN30" s="85">
        <f>IF(Inputs!$C$11=Investment!$O$146,$C$8,0)</f>
        <v>0</v>
      </c>
      <c r="BO30" s="85">
        <f>IF(Inputs!$C$11=Investment!$O$146,$C$8,0)</f>
        <v>0</v>
      </c>
      <c r="BP30" s="85">
        <f>IF(Inputs!$C$11=Investment!$O$146,$C$8,0)</f>
        <v>0</v>
      </c>
      <c r="BQ30" s="85">
        <f>IF(Inputs!$C$11=Investment!$O$146,$C$8,0)</f>
        <v>0</v>
      </c>
      <c r="BR30" s="85">
        <f>IF(Inputs!$C$11=Investment!$O$146,$C$8,0)</f>
        <v>0</v>
      </c>
      <c r="BS30" s="85">
        <f>IF(Inputs!$C$11=Investment!$O$146,$C$8,0)</f>
        <v>0</v>
      </c>
      <c r="BT30" s="85">
        <f>IF(Inputs!$C$11=Investment!$O$146,$C$8,0)</f>
        <v>0</v>
      </c>
      <c r="BU30" s="85">
        <f>IF(Inputs!$C$11=Investment!$O$146,$C$8,0)</f>
        <v>0</v>
      </c>
      <c r="BV30" s="85">
        <f>IF(Inputs!$C$11=Investment!$O$146,$C$8,0)</f>
        <v>0</v>
      </c>
      <c r="BW30" s="85">
        <f>IF(Inputs!$C$11=Investment!$O$146,$C$8,0)</f>
        <v>0</v>
      </c>
      <c r="BX30" s="85">
        <f>IF(Inputs!$C$11=Investment!$O$146,$C$8,0)</f>
        <v>0</v>
      </c>
      <c r="BY30" s="85">
        <f>IF(Inputs!$C$11=Investment!$O$146,$C$8,0)</f>
        <v>0</v>
      </c>
    </row>
    <row r="31" spans="1:77" ht="34.5" hidden="1" customHeight="1" x14ac:dyDescent="0.3">
      <c r="A31" s="233" t="s">
        <v>563</v>
      </c>
      <c r="B31" s="138">
        <f t="shared" ref="B31:AG31" si="23">B30*$E$3</f>
        <v>0</v>
      </c>
      <c r="C31" s="138">
        <f t="shared" si="23"/>
        <v>0</v>
      </c>
      <c r="D31" s="138">
        <f t="shared" si="23"/>
        <v>0</v>
      </c>
      <c r="E31" s="138">
        <f t="shared" si="23"/>
        <v>0</v>
      </c>
      <c r="F31" s="138">
        <f t="shared" si="23"/>
        <v>0</v>
      </c>
      <c r="G31" s="138">
        <f t="shared" si="23"/>
        <v>0</v>
      </c>
      <c r="H31" s="138">
        <f t="shared" si="23"/>
        <v>0</v>
      </c>
      <c r="I31" s="138">
        <f t="shared" si="23"/>
        <v>0</v>
      </c>
      <c r="J31" s="138">
        <f t="shared" si="23"/>
        <v>0</v>
      </c>
      <c r="K31" s="138">
        <f t="shared" si="23"/>
        <v>0</v>
      </c>
      <c r="L31" s="138">
        <f t="shared" si="23"/>
        <v>0</v>
      </c>
      <c r="M31" s="138">
        <f t="shared" si="23"/>
        <v>0</v>
      </c>
      <c r="N31" s="138">
        <f t="shared" si="23"/>
        <v>0</v>
      </c>
      <c r="O31" s="138">
        <f t="shared" si="23"/>
        <v>0</v>
      </c>
      <c r="P31" s="138">
        <f t="shared" si="23"/>
        <v>0</v>
      </c>
      <c r="Q31" s="138">
        <f t="shared" si="23"/>
        <v>0</v>
      </c>
      <c r="R31" s="138">
        <f t="shared" si="23"/>
        <v>0</v>
      </c>
      <c r="S31" s="138">
        <f t="shared" si="23"/>
        <v>0</v>
      </c>
      <c r="T31" s="138">
        <f t="shared" si="23"/>
        <v>0</v>
      </c>
      <c r="U31" s="138">
        <f t="shared" si="23"/>
        <v>0</v>
      </c>
      <c r="V31" s="138">
        <f t="shared" si="23"/>
        <v>0</v>
      </c>
      <c r="W31" s="138">
        <f t="shared" si="23"/>
        <v>0</v>
      </c>
      <c r="X31" s="138">
        <f t="shared" si="23"/>
        <v>0</v>
      </c>
      <c r="Y31" s="138">
        <f t="shared" si="23"/>
        <v>0</v>
      </c>
      <c r="Z31" s="138">
        <f t="shared" si="23"/>
        <v>0</v>
      </c>
      <c r="AA31" s="138">
        <f t="shared" si="23"/>
        <v>0</v>
      </c>
      <c r="AB31" s="138">
        <f t="shared" si="23"/>
        <v>0</v>
      </c>
      <c r="AC31" s="138">
        <f t="shared" si="23"/>
        <v>0</v>
      </c>
      <c r="AD31" s="138">
        <f t="shared" si="23"/>
        <v>0</v>
      </c>
      <c r="AE31" s="138">
        <f t="shared" si="23"/>
        <v>0</v>
      </c>
      <c r="AF31" s="138">
        <f t="shared" si="23"/>
        <v>0</v>
      </c>
      <c r="AG31" s="138">
        <f t="shared" si="23"/>
        <v>0</v>
      </c>
      <c r="AH31" s="138">
        <f t="shared" ref="AH31:BM31" si="24">AH30*$E$3</f>
        <v>0</v>
      </c>
      <c r="AI31" s="138">
        <f t="shared" si="24"/>
        <v>0</v>
      </c>
      <c r="AJ31" s="138">
        <f t="shared" si="24"/>
        <v>0</v>
      </c>
      <c r="AK31" s="138">
        <f t="shared" si="24"/>
        <v>0</v>
      </c>
      <c r="AL31" s="138">
        <f t="shared" si="24"/>
        <v>0</v>
      </c>
      <c r="AM31" s="138">
        <f t="shared" si="24"/>
        <v>0</v>
      </c>
      <c r="AN31" s="138">
        <f t="shared" si="24"/>
        <v>0</v>
      </c>
      <c r="AO31" s="138">
        <f t="shared" si="24"/>
        <v>0</v>
      </c>
      <c r="AP31" s="138">
        <f t="shared" si="24"/>
        <v>0</v>
      </c>
      <c r="AQ31" s="138">
        <f t="shared" si="24"/>
        <v>0</v>
      </c>
      <c r="AR31" s="138">
        <f t="shared" si="24"/>
        <v>0</v>
      </c>
      <c r="AS31" s="138">
        <f t="shared" si="24"/>
        <v>0</v>
      </c>
      <c r="AT31" s="138">
        <f t="shared" si="24"/>
        <v>0</v>
      </c>
      <c r="AU31" s="138">
        <f t="shared" si="24"/>
        <v>0</v>
      </c>
      <c r="AV31" s="138">
        <f t="shared" si="24"/>
        <v>0</v>
      </c>
      <c r="AW31" s="138">
        <f t="shared" si="24"/>
        <v>0</v>
      </c>
      <c r="AX31" s="138">
        <f t="shared" si="24"/>
        <v>0</v>
      </c>
      <c r="AY31" s="138">
        <f t="shared" si="24"/>
        <v>0</v>
      </c>
      <c r="AZ31" s="138">
        <f t="shared" si="24"/>
        <v>0</v>
      </c>
      <c r="BA31" s="138">
        <f t="shared" si="24"/>
        <v>0</v>
      </c>
      <c r="BB31" s="138">
        <f t="shared" si="24"/>
        <v>0</v>
      </c>
      <c r="BC31" s="138">
        <f t="shared" si="24"/>
        <v>0</v>
      </c>
      <c r="BD31" s="138">
        <f t="shared" si="24"/>
        <v>0</v>
      </c>
      <c r="BE31" s="138">
        <f t="shared" si="24"/>
        <v>0</v>
      </c>
      <c r="BF31" s="138">
        <f t="shared" si="24"/>
        <v>0</v>
      </c>
      <c r="BG31" s="138">
        <f t="shared" si="24"/>
        <v>0</v>
      </c>
      <c r="BH31" s="138">
        <f t="shared" si="24"/>
        <v>0</v>
      </c>
      <c r="BI31" s="138">
        <f t="shared" si="24"/>
        <v>0</v>
      </c>
      <c r="BJ31" s="138">
        <f t="shared" si="24"/>
        <v>0</v>
      </c>
      <c r="BK31" s="138">
        <f t="shared" si="24"/>
        <v>0</v>
      </c>
      <c r="BL31" s="138">
        <f t="shared" si="24"/>
        <v>0</v>
      </c>
      <c r="BM31" s="138">
        <f t="shared" si="24"/>
        <v>0</v>
      </c>
      <c r="BN31" s="138">
        <f t="shared" ref="BN31:BY31" si="25">BN30*$E$3</f>
        <v>0</v>
      </c>
      <c r="BO31" s="138">
        <f t="shared" si="25"/>
        <v>0</v>
      </c>
      <c r="BP31" s="138">
        <f t="shared" si="25"/>
        <v>0</v>
      </c>
      <c r="BQ31" s="138">
        <f t="shared" si="25"/>
        <v>0</v>
      </c>
      <c r="BR31" s="138">
        <f t="shared" si="25"/>
        <v>0</v>
      </c>
      <c r="BS31" s="138">
        <f t="shared" si="25"/>
        <v>0</v>
      </c>
      <c r="BT31" s="138">
        <f t="shared" si="25"/>
        <v>0</v>
      </c>
      <c r="BU31" s="138">
        <f t="shared" si="25"/>
        <v>0</v>
      </c>
      <c r="BV31" s="138">
        <f t="shared" si="25"/>
        <v>0</v>
      </c>
      <c r="BW31" s="138">
        <f t="shared" si="25"/>
        <v>0</v>
      </c>
      <c r="BX31" s="138">
        <f t="shared" si="25"/>
        <v>0</v>
      </c>
      <c r="BY31" s="138">
        <f t="shared" si="25"/>
        <v>0</v>
      </c>
    </row>
    <row r="32" spans="1:77" x14ac:dyDescent="0.3">
      <c r="A32" s="9" t="s">
        <v>384</v>
      </c>
      <c r="B32" s="139">
        <f>SUM(B30,B28,B24,B20,B18,B22,B26)</f>
        <v>28.7</v>
      </c>
      <c r="C32" s="139">
        <f t="shared" ref="C32:BN32" si="26">SUM(C30,C28,C24,C20,C18,C22,C26)</f>
        <v>15.2</v>
      </c>
      <c r="D32" s="139">
        <f t="shared" si="26"/>
        <v>15.2</v>
      </c>
      <c r="E32" s="139">
        <f t="shared" si="26"/>
        <v>15.2</v>
      </c>
      <c r="F32" s="139">
        <f t="shared" si="26"/>
        <v>15.2</v>
      </c>
      <c r="G32" s="139">
        <f t="shared" si="26"/>
        <v>15.2</v>
      </c>
      <c r="H32" s="139">
        <f t="shared" si="26"/>
        <v>15.2</v>
      </c>
      <c r="I32" s="139">
        <f t="shared" si="26"/>
        <v>15.2</v>
      </c>
      <c r="J32" s="139">
        <f t="shared" si="26"/>
        <v>15.2</v>
      </c>
      <c r="K32" s="139">
        <f t="shared" si="26"/>
        <v>20.281926530781032</v>
      </c>
      <c r="L32" s="139">
        <f t="shared" si="26"/>
        <v>20.991476353964298</v>
      </c>
      <c r="M32" s="139">
        <f t="shared" si="26"/>
        <v>21.928082120566206</v>
      </c>
      <c r="N32" s="139">
        <f t="shared" si="26"/>
        <v>23.779595437729309</v>
      </c>
      <c r="O32" s="139">
        <f t="shared" si="26"/>
        <v>25.032399311136022</v>
      </c>
      <c r="P32" s="139">
        <f t="shared" si="26"/>
        <v>26.686100424032887</v>
      </c>
      <c r="Q32" s="139">
        <f t="shared" si="26"/>
        <v>28.868985893056742</v>
      </c>
      <c r="R32" s="139">
        <f t="shared" si="26"/>
        <v>29.229161995445679</v>
      </c>
      <c r="S32" s="139">
        <f t="shared" si="26"/>
        <v>29.603745141930172</v>
      </c>
      <c r="T32" s="139">
        <f t="shared" si="26"/>
        <v>29.993311614274049</v>
      </c>
      <c r="U32" s="139">
        <f t="shared" si="26"/>
        <v>30.398460745511677</v>
      </c>
      <c r="V32" s="139">
        <f t="shared" si="26"/>
        <v>30.81981584199881</v>
      </c>
      <c r="W32" s="139">
        <f t="shared" si="26"/>
        <v>31.258025142345431</v>
      </c>
      <c r="X32" s="139">
        <f t="shared" si="26"/>
        <v>31.713762814705916</v>
      </c>
      <c r="Y32" s="139">
        <f t="shared" si="26"/>
        <v>32.187729993960822</v>
      </c>
      <c r="Z32" s="139">
        <f t="shared" si="26"/>
        <v>32.680655860385926</v>
      </c>
      <c r="AA32" s="139">
        <f t="shared" si="26"/>
        <v>33.193298761468029</v>
      </c>
      <c r="AB32" s="139">
        <f t="shared" si="26"/>
        <v>33.726447378593413</v>
      </c>
      <c r="AC32" s="139">
        <f t="shared" si="26"/>
        <v>34.280921940403815</v>
      </c>
      <c r="AD32" s="139">
        <f t="shared" si="26"/>
        <v>34.857575484686635</v>
      </c>
      <c r="AE32" s="139">
        <f t="shared" si="26"/>
        <v>35.457295170740771</v>
      </c>
      <c r="AF32" s="139">
        <f t="shared" si="26"/>
        <v>36.081003644237072</v>
      </c>
      <c r="AG32" s="139">
        <f t="shared" si="26"/>
        <v>36.243167847346108</v>
      </c>
      <c r="AH32" s="139">
        <f t="shared" si="26"/>
        <v>36.406953692486233</v>
      </c>
      <c r="AI32" s="139">
        <f t="shared" si="26"/>
        <v>36.572377396077762</v>
      </c>
      <c r="AJ32" s="139">
        <f t="shared" si="26"/>
        <v>36.739455336705205</v>
      </c>
      <c r="AK32" s="139">
        <f t="shared" si="26"/>
        <v>36.908204056738924</v>
      </c>
      <c r="AL32" s="139">
        <f t="shared" si="26"/>
        <v>37.078640263972986</v>
      </c>
      <c r="AM32" s="139">
        <f t="shared" si="26"/>
        <v>37.250780833279379</v>
      </c>
      <c r="AN32" s="139">
        <f t="shared" si="26"/>
        <v>37.42464280827884</v>
      </c>
      <c r="AO32" s="139">
        <f t="shared" si="26"/>
        <v>37.600243403028294</v>
      </c>
      <c r="AP32" s="139">
        <f t="shared" si="26"/>
        <v>37.777600003725247</v>
      </c>
      <c r="AQ32" s="139">
        <f t="shared" si="26"/>
        <v>33.870645961713997</v>
      </c>
      <c r="AR32" s="139">
        <f t="shared" si="26"/>
        <v>34.033206587997803</v>
      </c>
      <c r="AS32" s="139">
        <f t="shared" si="26"/>
        <v>34.197392820544451</v>
      </c>
      <c r="AT32" s="139">
        <f t="shared" si="26"/>
        <v>34.363220915416555</v>
      </c>
      <c r="AU32" s="139">
        <f t="shared" si="26"/>
        <v>34.530707291237391</v>
      </c>
      <c r="AV32" s="139">
        <f t="shared" si="26"/>
        <v>34.699868530816431</v>
      </c>
      <c r="AW32" s="139">
        <f t="shared" si="26"/>
        <v>34.87072138279126</v>
      </c>
      <c r="AX32" s="139">
        <f t="shared" si="26"/>
        <v>35.043282763285845</v>
      </c>
      <c r="AY32" s="139">
        <f t="shared" si="26"/>
        <v>35.217569757585373</v>
      </c>
      <c r="AZ32" s="139">
        <f t="shared" si="26"/>
        <v>35.393599621827889</v>
      </c>
      <c r="BA32" s="139">
        <f t="shared" si="26"/>
        <v>35.571389784712835</v>
      </c>
      <c r="BB32" s="139">
        <f t="shared" si="26"/>
        <v>35.75095784922663</v>
      </c>
      <c r="BC32" s="139">
        <f t="shared" si="26"/>
        <v>35.932321594385563</v>
      </c>
      <c r="BD32" s="139">
        <f t="shared" si="26"/>
        <v>36.115498976996086</v>
      </c>
      <c r="BE32" s="139">
        <f t="shared" si="26"/>
        <v>36.300508133432714</v>
      </c>
      <c r="BF32" s="139">
        <f t="shared" si="26"/>
        <v>36.487367381433707</v>
      </c>
      <c r="BG32" s="139">
        <f t="shared" si="26"/>
        <v>36.676095221914714</v>
      </c>
      <c r="BH32" s="139">
        <f t="shared" si="26"/>
        <v>36.86671034080053</v>
      </c>
      <c r="BI32" s="139">
        <f t="shared" si="26"/>
        <v>37.059231610875202</v>
      </c>
      <c r="BJ32" s="139">
        <f t="shared" si="26"/>
        <v>37.25367809365062</v>
      </c>
      <c r="BK32" s="139">
        <f t="shared" si="26"/>
        <v>37.25367809365062</v>
      </c>
      <c r="BL32" s="139">
        <f t="shared" si="26"/>
        <v>37.25367809365062</v>
      </c>
      <c r="BM32" s="139">
        <f t="shared" si="26"/>
        <v>37.25367809365062</v>
      </c>
      <c r="BN32" s="139">
        <f t="shared" si="26"/>
        <v>37.25367809365062</v>
      </c>
      <c r="BO32" s="139">
        <f t="shared" ref="BO32:BY32" si="27">SUM(BO30,BO28,BO24,BO20,BO18,BO22,BO26)</f>
        <v>37.25367809365062</v>
      </c>
      <c r="BP32" s="139">
        <f t="shared" si="27"/>
        <v>37.25367809365062</v>
      </c>
      <c r="BQ32" s="139">
        <f t="shared" si="27"/>
        <v>37.25367809365062</v>
      </c>
      <c r="BR32" s="139">
        <f t="shared" si="27"/>
        <v>37.25367809365062</v>
      </c>
      <c r="BS32" s="139">
        <f t="shared" si="27"/>
        <v>37.25367809365062</v>
      </c>
      <c r="BT32" s="139">
        <f t="shared" si="27"/>
        <v>37.25367809365062</v>
      </c>
      <c r="BU32" s="139">
        <f t="shared" si="27"/>
        <v>37.25367809365062</v>
      </c>
      <c r="BV32" s="139">
        <f t="shared" si="27"/>
        <v>37.25367809365062</v>
      </c>
      <c r="BW32" s="139">
        <f t="shared" si="27"/>
        <v>37.25367809365062</v>
      </c>
      <c r="BX32" s="139">
        <f t="shared" si="27"/>
        <v>37.25367809365062</v>
      </c>
      <c r="BY32" s="139">
        <f t="shared" si="27"/>
        <v>37.25367809365062</v>
      </c>
    </row>
    <row r="33" spans="1:77" ht="17.25" thickBot="1" x14ac:dyDescent="0.35">
      <c r="A33" s="38" t="s">
        <v>385</v>
      </c>
      <c r="B33" s="140">
        <f>SUM(B31,B29,B25,B21,B19,B23,B27)</f>
        <v>530.95000000000005</v>
      </c>
      <c r="C33" s="140">
        <f t="shared" ref="C33:BN33" si="28">SUM(C31,C29,C25,C21,C19,C23,C27)</f>
        <v>281.20000000000005</v>
      </c>
      <c r="D33" s="140">
        <f t="shared" si="28"/>
        <v>281.20000000000005</v>
      </c>
      <c r="E33" s="140">
        <f t="shared" si="28"/>
        <v>281.20000000000005</v>
      </c>
      <c r="F33" s="140">
        <f t="shared" si="28"/>
        <v>281.20000000000005</v>
      </c>
      <c r="G33" s="140">
        <f t="shared" si="28"/>
        <v>281.20000000000005</v>
      </c>
      <c r="H33" s="140">
        <f t="shared" si="28"/>
        <v>281.20000000000005</v>
      </c>
      <c r="I33" s="140">
        <f t="shared" si="28"/>
        <v>281.20000000000005</v>
      </c>
      <c r="J33" s="140">
        <f t="shared" si="28"/>
        <v>281.20000000000005</v>
      </c>
      <c r="K33" s="140">
        <f t="shared" si="28"/>
        <v>375.21564081944916</v>
      </c>
      <c r="L33" s="140">
        <f t="shared" si="28"/>
        <v>388.34231254833952</v>
      </c>
      <c r="M33" s="140">
        <f t="shared" si="28"/>
        <v>405.66951923047492</v>
      </c>
      <c r="N33" s="140">
        <f t="shared" si="28"/>
        <v>439.92251559799229</v>
      </c>
      <c r="O33" s="140">
        <f t="shared" si="28"/>
        <v>463.09938725601648</v>
      </c>
      <c r="P33" s="140">
        <f t="shared" si="28"/>
        <v>493.69285784460845</v>
      </c>
      <c r="Q33" s="140">
        <f t="shared" si="28"/>
        <v>534.07623902154978</v>
      </c>
      <c r="R33" s="140">
        <f t="shared" si="28"/>
        <v>540.73949691574501</v>
      </c>
      <c r="S33" s="140">
        <f t="shared" si="28"/>
        <v>547.66928512570826</v>
      </c>
      <c r="T33" s="140">
        <f t="shared" si="28"/>
        <v>554.87626486406987</v>
      </c>
      <c r="U33" s="140">
        <f t="shared" si="28"/>
        <v>562.37152379196607</v>
      </c>
      <c r="V33" s="140">
        <f t="shared" si="28"/>
        <v>570.16659307697796</v>
      </c>
      <c r="W33" s="140">
        <f t="shared" si="28"/>
        <v>578.27346513339046</v>
      </c>
      <c r="X33" s="140">
        <f t="shared" si="28"/>
        <v>586.70461207205938</v>
      </c>
      <c r="Y33" s="140">
        <f t="shared" si="28"/>
        <v>595.47300488827523</v>
      </c>
      <c r="Z33" s="140">
        <f t="shared" si="28"/>
        <v>604.59213341713951</v>
      </c>
      <c r="AA33" s="140">
        <f t="shared" si="28"/>
        <v>614.07602708715842</v>
      </c>
      <c r="AB33" s="140">
        <f t="shared" si="28"/>
        <v>623.93927650397814</v>
      </c>
      <c r="AC33" s="140">
        <f t="shared" si="28"/>
        <v>634.19705589747048</v>
      </c>
      <c r="AD33" s="140">
        <f t="shared" si="28"/>
        <v>644.86514646670264</v>
      </c>
      <c r="AE33" s="140">
        <f t="shared" si="28"/>
        <v>655.95996065870418</v>
      </c>
      <c r="AF33" s="140">
        <f t="shared" si="28"/>
        <v>667.49856741838573</v>
      </c>
      <c r="AG33" s="140">
        <f t="shared" si="28"/>
        <v>670.49860517590287</v>
      </c>
      <c r="AH33" s="140">
        <f t="shared" si="28"/>
        <v>673.52864331099534</v>
      </c>
      <c r="AI33" s="140">
        <f t="shared" si="28"/>
        <v>676.58898182743849</v>
      </c>
      <c r="AJ33" s="140">
        <f t="shared" si="28"/>
        <v>679.67992372904621</v>
      </c>
      <c r="AK33" s="140">
        <f t="shared" si="28"/>
        <v>682.80177504967003</v>
      </c>
      <c r="AL33" s="140">
        <f t="shared" si="28"/>
        <v>685.95484488350019</v>
      </c>
      <c r="AM33" s="140">
        <f t="shared" si="28"/>
        <v>689.13944541566843</v>
      </c>
      <c r="AN33" s="140">
        <f t="shared" si="28"/>
        <v>692.35589195315845</v>
      </c>
      <c r="AO33" s="140">
        <f t="shared" si="28"/>
        <v>695.60450295602334</v>
      </c>
      <c r="AP33" s="140">
        <f t="shared" si="28"/>
        <v>698.88560006891692</v>
      </c>
      <c r="AQ33" s="140">
        <f t="shared" si="28"/>
        <v>626.60695029170881</v>
      </c>
      <c r="AR33" s="140">
        <f t="shared" si="28"/>
        <v>629.61432187795924</v>
      </c>
      <c r="AS33" s="140">
        <f t="shared" si="28"/>
        <v>632.65176718007228</v>
      </c>
      <c r="AT33" s="140">
        <f t="shared" si="28"/>
        <v>635.71958693520628</v>
      </c>
      <c r="AU33" s="140">
        <f t="shared" si="28"/>
        <v>638.8180848878917</v>
      </c>
      <c r="AV33" s="140">
        <f t="shared" si="28"/>
        <v>641.94756782010393</v>
      </c>
      <c r="AW33" s="140">
        <f t="shared" si="28"/>
        <v>645.10834558163822</v>
      </c>
      <c r="AX33" s="140">
        <f t="shared" si="28"/>
        <v>648.3007311207881</v>
      </c>
      <c r="AY33" s="140">
        <f t="shared" si="28"/>
        <v>651.52504051532935</v>
      </c>
      <c r="AZ33" s="140">
        <f t="shared" si="28"/>
        <v>654.78159300381583</v>
      </c>
      <c r="BA33" s="140">
        <f t="shared" si="28"/>
        <v>658.07071101718736</v>
      </c>
      <c r="BB33" s="140">
        <f t="shared" si="28"/>
        <v>661.39272021069257</v>
      </c>
      <c r="BC33" s="140">
        <f t="shared" si="28"/>
        <v>664.74794949613295</v>
      </c>
      <c r="BD33" s="140">
        <f t="shared" si="28"/>
        <v>668.13673107442753</v>
      </c>
      <c r="BE33" s="140">
        <f t="shared" si="28"/>
        <v>671.55940046850515</v>
      </c>
      <c r="BF33" s="140">
        <f t="shared" si="28"/>
        <v>675.01629655652357</v>
      </c>
      <c r="BG33" s="140">
        <f t="shared" si="28"/>
        <v>678.50776160542216</v>
      </c>
      <c r="BH33" s="140">
        <f t="shared" si="28"/>
        <v>682.03414130480962</v>
      </c>
      <c r="BI33" s="140">
        <f t="shared" si="28"/>
        <v>685.59578480119114</v>
      </c>
      <c r="BJ33" s="140">
        <f t="shared" si="28"/>
        <v>689.19304473253635</v>
      </c>
      <c r="BK33" s="140">
        <f t="shared" si="28"/>
        <v>689.19304473253635</v>
      </c>
      <c r="BL33" s="140">
        <f t="shared" si="28"/>
        <v>689.19304473253635</v>
      </c>
      <c r="BM33" s="140">
        <f t="shared" si="28"/>
        <v>689.19304473253635</v>
      </c>
      <c r="BN33" s="140">
        <f t="shared" si="28"/>
        <v>689.19304473253635</v>
      </c>
      <c r="BO33" s="140">
        <f t="shared" ref="BO33:BY33" si="29">SUM(BO31,BO29,BO25,BO21,BO19,BO23,BO27)</f>
        <v>689.19304473253635</v>
      </c>
      <c r="BP33" s="140">
        <f t="shared" si="29"/>
        <v>689.19304473253635</v>
      </c>
      <c r="BQ33" s="140">
        <f t="shared" si="29"/>
        <v>689.19304473253635</v>
      </c>
      <c r="BR33" s="140">
        <f t="shared" si="29"/>
        <v>689.19304473253635</v>
      </c>
      <c r="BS33" s="140">
        <f t="shared" si="29"/>
        <v>689.19304473253635</v>
      </c>
      <c r="BT33" s="140">
        <f t="shared" si="29"/>
        <v>689.19304473253635</v>
      </c>
      <c r="BU33" s="140">
        <f t="shared" si="29"/>
        <v>689.19304473253635</v>
      </c>
      <c r="BV33" s="140">
        <f t="shared" si="29"/>
        <v>689.19304473253635</v>
      </c>
      <c r="BW33" s="140">
        <f t="shared" si="29"/>
        <v>689.19304473253635</v>
      </c>
      <c r="BX33" s="140">
        <f t="shared" si="29"/>
        <v>689.19304473253635</v>
      </c>
      <c r="BY33" s="140">
        <f t="shared" si="29"/>
        <v>689.19304473253635</v>
      </c>
    </row>
    <row r="34" spans="1:77" x14ac:dyDescent="0.3"/>
    <row r="36" spans="1:77" hidden="1" x14ac:dyDescent="0.3">
      <c r="BV36" t="s">
        <v>569</v>
      </c>
      <c r="BW36" s="75">
        <f>MIN(B32:BY32)</f>
        <v>15.2</v>
      </c>
    </row>
    <row r="37" spans="1:77" hidden="1" x14ac:dyDescent="0.3">
      <c r="BV37" t="s">
        <v>570</v>
      </c>
      <c r="BW37" s="75">
        <f>MAX(B32:BY32)</f>
        <v>37.777600003725247</v>
      </c>
    </row>
    <row r="38" spans="1:77" hidden="1" x14ac:dyDescent="0.3">
      <c r="BV38" t="s">
        <v>571</v>
      </c>
      <c r="BW38" s="75">
        <f>AVERAGE(B32:BY32)</f>
        <v>32.136723543013147</v>
      </c>
    </row>
    <row r="47" spans="1:77" hidden="1" x14ac:dyDescent="0.3">
      <c r="A47" t="s">
        <v>197</v>
      </c>
      <c r="B47" t="s">
        <v>390</v>
      </c>
      <c r="C47" t="s">
        <v>392</v>
      </c>
      <c r="D47" t="s">
        <v>393</v>
      </c>
    </row>
    <row r="48" spans="1:77" hidden="1" x14ac:dyDescent="0.3">
      <c r="A48" t="s">
        <v>391</v>
      </c>
      <c r="B48">
        <f>60/((M3*M4*5280*(M5)/43560))</f>
        <v>12.890625</v>
      </c>
      <c r="C48">
        <f>60/((N3*N4*5280*(N5)/43560))</f>
        <v>38.671875</v>
      </c>
      <c r="D48">
        <f>60/((O3*O4*5280*(O5)/43560))</f>
        <v>34.375</v>
      </c>
      <c r="F48">
        <f>SUMPRODUCT(B48:D48,B49:D49)</f>
        <v>171.875</v>
      </c>
      <c r="G48" t="s">
        <v>401</v>
      </c>
    </row>
    <row r="49" spans="1:7" hidden="1" x14ac:dyDescent="0.3">
      <c r="A49" t="s">
        <v>397</v>
      </c>
      <c r="B49">
        <v>2</v>
      </c>
      <c r="C49">
        <v>2</v>
      </c>
      <c r="D49">
        <v>2</v>
      </c>
    </row>
    <row r="50" spans="1:7" hidden="1" x14ac:dyDescent="0.3">
      <c r="A50" t="s">
        <v>394</v>
      </c>
      <c r="B50" t="s">
        <v>395</v>
      </c>
      <c r="C50" t="s">
        <v>405</v>
      </c>
      <c r="D50" t="s">
        <v>394</v>
      </c>
      <c r="E50" t="s">
        <v>464</v>
      </c>
    </row>
    <row r="51" spans="1:7" hidden="1" x14ac:dyDescent="0.3">
      <c r="A51" t="s">
        <v>396</v>
      </c>
      <c r="B51">
        <v>2000</v>
      </c>
      <c r="C51">
        <v>4000</v>
      </c>
      <c r="D51">
        <v>400</v>
      </c>
      <c r="E51">
        <f>IF(Investment!L2=Investment!N146,2000/B51*B52+2000/C51*C52+2000/D51*D52,0)</f>
        <v>12.5</v>
      </c>
      <c r="F51">
        <f>SUM(J6:J8)/2000*60</f>
        <v>0.375</v>
      </c>
      <c r="G51" t="s">
        <v>406</v>
      </c>
    </row>
    <row r="52" spans="1:7" hidden="1" x14ac:dyDescent="0.3">
      <c r="A52" t="s">
        <v>397</v>
      </c>
      <c r="B52">
        <v>2</v>
      </c>
      <c r="C52">
        <v>1</v>
      </c>
      <c r="D52">
        <v>2</v>
      </c>
    </row>
    <row r="53" spans="1:7" hidden="1" x14ac:dyDescent="0.3">
      <c r="A53" t="s">
        <v>398</v>
      </c>
      <c r="B53" t="s">
        <v>399</v>
      </c>
      <c r="C53" t="s">
        <v>400</v>
      </c>
      <c r="D53" t="s">
        <v>402</v>
      </c>
      <c r="E53" t="s">
        <v>403</v>
      </c>
      <c r="F53" t="s">
        <v>404</v>
      </c>
    </row>
    <row r="54" spans="1:7" hidden="1" x14ac:dyDescent="0.3">
      <c r="B54">
        <v>100</v>
      </c>
      <c r="C54">
        <v>7000</v>
      </c>
      <c r="D54">
        <v>45</v>
      </c>
      <c r="E54">
        <v>20</v>
      </c>
      <c r="F54">
        <v>60</v>
      </c>
    </row>
    <row r="56" spans="1:7" hidden="1" x14ac:dyDescent="0.3">
      <c r="F56">
        <f>IF(Investment!L2=Investment!N146,0,J9/2000*60)</f>
        <v>0</v>
      </c>
      <c r="G56" t="s">
        <v>409</v>
      </c>
    </row>
    <row r="57" spans="1:7" hidden="1" x14ac:dyDescent="0.3">
      <c r="F57">
        <f>H9</f>
        <v>5.5</v>
      </c>
      <c r="G57" t="s">
        <v>410</v>
      </c>
    </row>
    <row r="58" spans="1:7" hidden="1" x14ac:dyDescent="0.3">
      <c r="D58" t="s">
        <v>572</v>
      </c>
      <c r="E58">
        <f>IF(Investment!$L$2="Custom",1,0)</f>
        <v>0</v>
      </c>
    </row>
  </sheetData>
  <sheetProtection sheet="1" objects="1" scenarios="1"/>
  <protectedRanges>
    <protectedRange sqref="A3:B9 C3:D5 D6:D9 C7:C9 I3:I9 H6:H9 M3:O5" name="Grey cells"/>
  </protectedRanges>
  <mergeCells count="3">
    <mergeCell ref="A1:D1"/>
    <mergeCell ref="F1:O1"/>
    <mergeCell ref="F10:O10"/>
  </mergeCells>
  <pageMargins left="0.7" right="0.7" top="0.75" bottom="0.75" header="0.3" footer="0.3"/>
  <ignoredErrors>
    <ignoredError sqref="B28:Q28 B2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DB1AA-DA6F-4AB4-8B57-688FDF2185A8}">
  <sheetPr>
    <pageSetUpPr fitToPage="1"/>
  </sheetPr>
  <dimension ref="A1:AD42"/>
  <sheetViews>
    <sheetView workbookViewId="0"/>
  </sheetViews>
  <sheetFormatPr defaultColWidth="0" defaultRowHeight="16.5" zeroHeight="1" x14ac:dyDescent="0.3"/>
  <cols>
    <col min="1" max="1" width="2.5" style="1" customWidth="1"/>
    <col min="2" max="2" width="40.625" style="1" customWidth="1"/>
    <col min="3" max="3" width="11.375" style="1" customWidth="1"/>
    <col min="4" max="4" width="20.125" style="1" customWidth="1"/>
    <col min="5" max="6" width="16.625" style="1" customWidth="1"/>
    <col min="7" max="7" width="15" style="2" customWidth="1"/>
    <col min="8" max="8" width="8.75" style="2" bestFit="1" customWidth="1"/>
    <col min="9" max="9" width="12.5" style="2" bestFit="1" customWidth="1"/>
    <col min="10" max="10" width="12.375" style="1" bestFit="1" customWidth="1"/>
    <col min="11" max="13" width="4.875" style="1" customWidth="1"/>
    <col min="14" max="14" width="35.25" hidden="1" customWidth="1"/>
    <col min="15" max="15" width="15.625" hidden="1" customWidth="1"/>
    <col min="16" max="16" width="17.875" hidden="1" customWidth="1"/>
    <col min="17" max="17" width="15.875" hidden="1" customWidth="1"/>
    <col min="18" max="19" width="12.625" hidden="1" customWidth="1"/>
    <col min="20" max="20" width="10.25" hidden="1" customWidth="1"/>
    <col min="21" max="22" width="8.125" hidden="1" customWidth="1"/>
    <col min="23" max="27" width="9" hidden="1" customWidth="1"/>
    <col min="28" max="30" width="21.375" hidden="1" customWidth="1"/>
    <col min="31" max="16384" width="9" hidden="1"/>
  </cols>
  <sheetData>
    <row r="1" spans="2:25" ht="20.25" x14ac:dyDescent="0.35">
      <c r="B1" s="340" t="str">
        <f>"Missouri Improved Variety Pecan Budget - Establishment (years 1-"&amp;'Long-term Model Summary'!Q2&amp;")"</f>
        <v>Missouri Improved Variety Pecan Budget - Establishment (years 1-9)</v>
      </c>
      <c r="C1" s="341"/>
      <c r="D1" s="341"/>
      <c r="E1" s="341"/>
      <c r="F1" s="341"/>
      <c r="G1" s="341"/>
      <c r="H1" s="341"/>
      <c r="I1" s="341"/>
      <c r="J1" s="342"/>
      <c r="K1"/>
      <c r="L1"/>
      <c r="M1"/>
    </row>
    <row r="2" spans="2:25" ht="16.5" customHeight="1" x14ac:dyDescent="0.3">
      <c r="B2" s="26"/>
      <c r="C2" s="27"/>
      <c r="D2" s="27"/>
      <c r="E2" s="343" t="s">
        <v>490</v>
      </c>
      <c r="F2" s="343"/>
      <c r="G2" s="343"/>
      <c r="H2" s="344" t="str">
        <f>"Maintenance phase (years 2-"&amp;'Long-term Model Summary'!Q2&amp;")"</f>
        <v>Maintenance phase (years 2-9)</v>
      </c>
      <c r="I2" s="345"/>
      <c r="J2" s="346"/>
      <c r="K2"/>
      <c r="L2"/>
      <c r="M2"/>
    </row>
    <row r="3" spans="2:25" ht="16.5" customHeight="1" x14ac:dyDescent="0.3">
      <c r="B3" s="26" t="s">
        <v>28</v>
      </c>
      <c r="C3" s="40" t="s">
        <v>25</v>
      </c>
      <c r="D3" s="40" t="s">
        <v>8</v>
      </c>
      <c r="E3" s="40" t="s">
        <v>1</v>
      </c>
      <c r="F3" s="40" t="s">
        <v>488</v>
      </c>
      <c r="G3" s="40" t="s">
        <v>489</v>
      </c>
      <c r="H3" s="129" t="s">
        <v>1</v>
      </c>
      <c r="I3" s="40" t="s">
        <v>488</v>
      </c>
      <c r="J3" s="101" t="s">
        <v>489</v>
      </c>
      <c r="K3"/>
      <c r="L3"/>
      <c r="M3"/>
      <c r="V3" s="10"/>
      <c r="W3" s="10"/>
      <c r="X3" s="10"/>
      <c r="Y3" s="68"/>
    </row>
    <row r="4" spans="2:25" ht="16.5" customHeight="1" x14ac:dyDescent="0.3">
      <c r="B4" s="31" t="s">
        <v>41</v>
      </c>
      <c r="C4" s="25" t="s">
        <v>73</v>
      </c>
      <c r="D4" s="53">
        <f>O22</f>
        <v>259.88</v>
      </c>
      <c r="E4" s="52"/>
      <c r="F4" s="52">
        <f>D4</f>
        <v>259.88</v>
      </c>
      <c r="G4" s="52">
        <f>F4/SUM($E$5:$E$6)</f>
        <v>4.8125925925925923</v>
      </c>
      <c r="H4" s="130"/>
      <c r="I4" s="16"/>
      <c r="J4" s="44"/>
      <c r="K4"/>
      <c r="L4"/>
      <c r="M4"/>
      <c r="O4" t="s">
        <v>85</v>
      </c>
      <c r="V4" s="10"/>
      <c r="W4" s="10"/>
      <c r="X4" s="10"/>
      <c r="Y4" s="68"/>
    </row>
    <row r="5" spans="2:25" ht="16.5" customHeight="1" x14ac:dyDescent="0.3">
      <c r="B5" s="31" t="s">
        <v>218</v>
      </c>
      <c r="C5" s="25" t="s">
        <v>172</v>
      </c>
      <c r="D5" s="53">
        <v>40</v>
      </c>
      <c r="E5" s="52">
        <f>Inputs!C5-E6</f>
        <v>40</v>
      </c>
      <c r="F5" s="52">
        <f>D5*E5</f>
        <v>1600</v>
      </c>
      <c r="G5" s="62">
        <f t="shared" ref="G5:G22" si="0">F5/SUM($E$5:$E$6)</f>
        <v>29.62962962962963</v>
      </c>
      <c r="H5" s="130"/>
      <c r="I5" s="16"/>
      <c r="J5" s="44"/>
      <c r="K5"/>
      <c r="L5"/>
      <c r="M5"/>
      <c r="V5" s="69"/>
      <c r="Y5" s="19"/>
    </row>
    <row r="6" spans="2:25" ht="16.5" customHeight="1" x14ac:dyDescent="0.3">
      <c r="B6" s="31" t="s">
        <v>389</v>
      </c>
      <c r="C6" s="25" t="s">
        <v>172</v>
      </c>
      <c r="D6" s="53">
        <v>30</v>
      </c>
      <c r="E6" s="52">
        <f>ROUNDUP(Inputs!C5*Inputs!C6,0)</f>
        <v>14</v>
      </c>
      <c r="F6" s="52">
        <f t="shared" ref="F6:F22" si="1">D6*E6</f>
        <v>420</v>
      </c>
      <c r="G6" s="62">
        <f t="shared" si="0"/>
        <v>7.7777777777777777</v>
      </c>
      <c r="H6" s="130"/>
      <c r="I6" s="16"/>
      <c r="J6" s="44"/>
      <c r="K6"/>
      <c r="L6"/>
      <c r="M6"/>
      <c r="V6" s="69"/>
      <c r="Y6" s="19"/>
    </row>
    <row r="7" spans="2:25" ht="16.5" customHeight="1" x14ac:dyDescent="0.3">
      <c r="B7" s="31" t="s">
        <v>205</v>
      </c>
      <c r="C7" s="25" t="s">
        <v>204</v>
      </c>
      <c r="D7" s="62">
        <f>Inputs!G9</f>
        <v>18.5</v>
      </c>
      <c r="E7" s="52">
        <f>Labor!B18</f>
        <v>13.5</v>
      </c>
      <c r="F7" s="52">
        <f t="shared" si="1"/>
        <v>249.75</v>
      </c>
      <c r="G7" s="62">
        <f t="shared" si="0"/>
        <v>4.625</v>
      </c>
      <c r="H7" s="130"/>
      <c r="I7" s="16"/>
      <c r="J7" s="44"/>
      <c r="K7"/>
      <c r="L7"/>
      <c r="M7"/>
      <c r="V7" s="69"/>
      <c r="Y7" s="19"/>
    </row>
    <row r="8" spans="2:25" ht="16.5" customHeight="1" x14ac:dyDescent="0.3">
      <c r="B8" s="31" t="s">
        <v>49</v>
      </c>
      <c r="C8" s="25"/>
      <c r="D8" s="62"/>
      <c r="E8" s="55"/>
      <c r="F8" s="52"/>
      <c r="G8" s="62"/>
      <c r="H8" s="130"/>
      <c r="I8" s="16"/>
      <c r="J8" s="44"/>
      <c r="K8"/>
      <c r="L8"/>
      <c r="M8"/>
      <c r="N8" t="s">
        <v>495</v>
      </c>
      <c r="Y8" s="4"/>
    </row>
    <row r="9" spans="2:25" ht="16.5" customHeight="1" x14ac:dyDescent="0.3">
      <c r="B9" s="51" t="s">
        <v>48</v>
      </c>
      <c r="C9" s="25" t="s">
        <v>50</v>
      </c>
      <c r="D9" s="62">
        <f>Inputs!G8</f>
        <v>25</v>
      </c>
      <c r="E9" s="55">
        <v>4</v>
      </c>
      <c r="F9" s="52">
        <f t="shared" si="1"/>
        <v>100</v>
      </c>
      <c r="G9" s="62">
        <f t="shared" si="0"/>
        <v>1.8518518518518519</v>
      </c>
      <c r="H9" s="131">
        <v>1</v>
      </c>
      <c r="I9" s="52">
        <f>D9*H9</f>
        <v>25</v>
      </c>
      <c r="J9" s="126">
        <f t="shared" ref="J9:J14" si="2">I9/SUM($E$5:$E$6)</f>
        <v>0.46296296296296297</v>
      </c>
      <c r="K9"/>
      <c r="L9"/>
      <c r="M9"/>
      <c r="N9" t="s">
        <v>494</v>
      </c>
      <c r="Y9" s="4"/>
    </row>
    <row r="10" spans="2:25" ht="16.5" customHeight="1" x14ac:dyDescent="0.3">
      <c r="B10" s="51" t="s">
        <v>45</v>
      </c>
      <c r="C10" s="25" t="s">
        <v>51</v>
      </c>
      <c r="D10" s="62">
        <f>Inputs!G4</f>
        <v>0.48</v>
      </c>
      <c r="E10" s="55">
        <v>30</v>
      </c>
      <c r="F10" s="52">
        <f t="shared" si="1"/>
        <v>14.399999999999999</v>
      </c>
      <c r="G10" s="62">
        <f t="shared" si="0"/>
        <v>0.26666666666666666</v>
      </c>
      <c r="H10" s="131">
        <v>60</v>
      </c>
      <c r="I10" s="52">
        <f t="shared" ref="I10:I22" si="3">D10*H10</f>
        <v>28.799999999999997</v>
      </c>
      <c r="J10" s="126">
        <f t="shared" si="2"/>
        <v>0.53333333333333333</v>
      </c>
      <c r="K10"/>
      <c r="L10"/>
      <c r="M10"/>
      <c r="N10" t="s">
        <v>493</v>
      </c>
      <c r="Y10" s="4"/>
    </row>
    <row r="11" spans="2:25" ht="16.5" customHeight="1" x14ac:dyDescent="0.3">
      <c r="B11" s="51" t="s">
        <v>46</v>
      </c>
      <c r="C11" s="25" t="s">
        <v>51</v>
      </c>
      <c r="D11" s="62">
        <f>Inputs!G5</f>
        <v>0.61</v>
      </c>
      <c r="E11" s="55">
        <v>40</v>
      </c>
      <c r="F11" s="52">
        <f t="shared" si="1"/>
        <v>24.4</v>
      </c>
      <c r="G11" s="62">
        <f t="shared" si="0"/>
        <v>0.45185185185185184</v>
      </c>
      <c r="H11" s="131">
        <v>10</v>
      </c>
      <c r="I11" s="52">
        <f t="shared" si="3"/>
        <v>6.1</v>
      </c>
      <c r="J11" s="126">
        <f t="shared" si="2"/>
        <v>0.11296296296296296</v>
      </c>
      <c r="K11"/>
      <c r="L11"/>
      <c r="M11"/>
      <c r="Y11" s="4"/>
    </row>
    <row r="12" spans="2:25" ht="16.5" customHeight="1" x14ac:dyDescent="0.3">
      <c r="B12" s="51" t="s">
        <v>47</v>
      </c>
      <c r="C12" s="25" t="s">
        <v>51</v>
      </c>
      <c r="D12" s="62">
        <f>Inputs!G6</f>
        <v>0.62</v>
      </c>
      <c r="E12" s="55">
        <v>40</v>
      </c>
      <c r="F12" s="52">
        <f t="shared" si="1"/>
        <v>24.8</v>
      </c>
      <c r="G12" s="62">
        <f t="shared" si="0"/>
        <v>0.45925925925925926</v>
      </c>
      <c r="H12" s="131">
        <v>10</v>
      </c>
      <c r="I12" s="52">
        <f t="shared" si="3"/>
        <v>6.2</v>
      </c>
      <c r="J12" s="126">
        <f t="shared" si="2"/>
        <v>0.11481481481481481</v>
      </c>
      <c r="K12"/>
      <c r="L12"/>
      <c r="M12"/>
      <c r="Y12" s="4"/>
    </row>
    <row r="13" spans="2:25" ht="16.5" customHeight="1" x14ac:dyDescent="0.3">
      <c r="B13" s="51" t="s">
        <v>52</v>
      </c>
      <c r="C13" s="25" t="s">
        <v>51</v>
      </c>
      <c r="D13" s="62">
        <f>Inputs!K3</f>
        <v>1.75</v>
      </c>
      <c r="E13" s="55">
        <v>30</v>
      </c>
      <c r="F13" s="52">
        <f t="shared" si="1"/>
        <v>52.5</v>
      </c>
      <c r="G13" s="62">
        <f t="shared" si="0"/>
        <v>0.97222222222222221</v>
      </c>
      <c r="H13" s="131">
        <v>40</v>
      </c>
      <c r="I13" s="52">
        <f t="shared" si="3"/>
        <v>70</v>
      </c>
      <c r="J13" s="126">
        <f t="shared" si="2"/>
        <v>1.2962962962962963</v>
      </c>
      <c r="K13"/>
      <c r="L13"/>
      <c r="M13"/>
      <c r="Y13" s="4"/>
    </row>
    <row r="14" spans="2:25" ht="16.5" customHeight="1" x14ac:dyDescent="0.3">
      <c r="B14" s="51" t="s">
        <v>42</v>
      </c>
      <c r="C14" s="25" t="s">
        <v>44</v>
      </c>
      <c r="D14" s="62">
        <f>Inputs!G7</f>
        <v>30</v>
      </c>
      <c r="E14" s="56">
        <v>2</v>
      </c>
      <c r="F14" s="52">
        <f t="shared" si="1"/>
        <v>60</v>
      </c>
      <c r="G14" s="62">
        <f t="shared" si="0"/>
        <v>1.1111111111111112</v>
      </c>
      <c r="H14" s="132">
        <v>0</v>
      </c>
      <c r="I14" s="52">
        <f t="shared" si="3"/>
        <v>0</v>
      </c>
      <c r="J14" s="126">
        <f t="shared" si="2"/>
        <v>0</v>
      </c>
      <c r="K14"/>
      <c r="L14"/>
      <c r="M14"/>
      <c r="Y14" s="4"/>
    </row>
    <row r="15" spans="2:25" ht="16.5" customHeight="1" x14ac:dyDescent="0.3">
      <c r="B15" s="31" t="s">
        <v>92</v>
      </c>
      <c r="C15" s="25"/>
      <c r="D15" s="62"/>
      <c r="E15" s="76"/>
      <c r="F15" s="52"/>
      <c r="G15" s="62"/>
      <c r="H15" s="133"/>
      <c r="I15" s="52"/>
      <c r="J15" s="126"/>
      <c r="K15"/>
      <c r="L15"/>
      <c r="M15"/>
      <c r="N15" t="s">
        <v>499</v>
      </c>
      <c r="P15" t="s">
        <v>507</v>
      </c>
      <c r="Y15" s="4"/>
    </row>
    <row r="16" spans="2:25" ht="16.5" customHeight="1" x14ac:dyDescent="0.3">
      <c r="B16" s="51" t="str">
        <f>Inputs!I4</f>
        <v>Broadcast herbicide</v>
      </c>
      <c r="C16" s="25" t="s">
        <v>72</v>
      </c>
      <c r="D16" s="62">
        <f>Inputs!K4</f>
        <v>15</v>
      </c>
      <c r="E16" s="56">
        <v>2</v>
      </c>
      <c r="F16" s="52">
        <f t="shared" si="1"/>
        <v>30</v>
      </c>
      <c r="G16" s="62">
        <f t="shared" si="0"/>
        <v>0.55555555555555558</v>
      </c>
      <c r="H16" s="132">
        <v>1</v>
      </c>
      <c r="I16" s="52">
        <f t="shared" si="3"/>
        <v>15</v>
      </c>
      <c r="J16" s="126">
        <f t="shared" ref="J16:J22" si="4">I16/SUM($E$5:$E$6)</f>
        <v>0.27777777777777779</v>
      </c>
      <c r="K16"/>
      <c r="L16"/>
      <c r="M16"/>
      <c r="N16" t="s">
        <v>500</v>
      </c>
      <c r="O16">
        <v>27.1</v>
      </c>
      <c r="Y16" s="4"/>
    </row>
    <row r="17" spans="2:25" ht="16.5" customHeight="1" x14ac:dyDescent="0.3">
      <c r="B17" s="51" t="s">
        <v>221</v>
      </c>
      <c r="C17" s="25" t="s">
        <v>72</v>
      </c>
      <c r="D17" s="62">
        <f>Inputs!K5</f>
        <v>10</v>
      </c>
      <c r="E17" s="56">
        <v>4</v>
      </c>
      <c r="F17" s="52">
        <f t="shared" si="1"/>
        <v>40</v>
      </c>
      <c r="G17" s="62">
        <f t="shared" si="0"/>
        <v>0.7407407407407407</v>
      </c>
      <c r="H17" s="132">
        <v>3</v>
      </c>
      <c r="I17" s="52">
        <f t="shared" si="3"/>
        <v>30</v>
      </c>
      <c r="J17" s="126">
        <f t="shared" si="4"/>
        <v>0.55555555555555558</v>
      </c>
      <c r="K17"/>
      <c r="L17"/>
      <c r="M17"/>
      <c r="N17" t="s">
        <v>501</v>
      </c>
      <c r="O17">
        <v>23.81</v>
      </c>
      <c r="Y17" s="4"/>
    </row>
    <row r="18" spans="2:25" ht="16.5" customHeight="1" x14ac:dyDescent="0.3">
      <c r="B18" s="51" t="str">
        <f>Inputs!I7</f>
        <v>Fungicide</v>
      </c>
      <c r="C18" s="25" t="s">
        <v>35</v>
      </c>
      <c r="D18" s="62">
        <f>Inputs!K7</f>
        <v>10</v>
      </c>
      <c r="E18" s="55">
        <v>0</v>
      </c>
      <c r="F18" s="52">
        <f t="shared" si="1"/>
        <v>0</v>
      </c>
      <c r="G18" s="62">
        <f t="shared" si="0"/>
        <v>0</v>
      </c>
      <c r="H18" s="131">
        <v>3</v>
      </c>
      <c r="I18" s="52">
        <f t="shared" si="3"/>
        <v>30</v>
      </c>
      <c r="J18" s="126">
        <f t="shared" si="4"/>
        <v>0.55555555555555558</v>
      </c>
      <c r="K18"/>
      <c r="L18"/>
      <c r="M18"/>
      <c r="N18" s="57" t="s">
        <v>503</v>
      </c>
      <c r="O18">
        <v>125</v>
      </c>
      <c r="Y18" s="4"/>
    </row>
    <row r="19" spans="2:25" ht="16.5" customHeight="1" x14ac:dyDescent="0.3">
      <c r="B19" s="51" t="str">
        <f>Inputs!I6</f>
        <v>Insecticide 1</v>
      </c>
      <c r="C19" s="25" t="s">
        <v>35</v>
      </c>
      <c r="D19" s="62">
        <f>Inputs!K6</f>
        <v>35</v>
      </c>
      <c r="E19" s="55">
        <v>3</v>
      </c>
      <c r="F19" s="52">
        <f t="shared" si="1"/>
        <v>105</v>
      </c>
      <c r="G19" s="62">
        <f t="shared" si="0"/>
        <v>1.9444444444444444</v>
      </c>
      <c r="H19" s="131">
        <v>3</v>
      </c>
      <c r="I19" s="52">
        <f t="shared" si="3"/>
        <v>105</v>
      </c>
      <c r="J19" s="126">
        <f t="shared" si="4"/>
        <v>1.9444444444444444</v>
      </c>
      <c r="K19" s="17"/>
      <c r="L19" s="17"/>
      <c r="M19" s="17"/>
      <c r="N19" s="57" t="s">
        <v>502</v>
      </c>
      <c r="O19">
        <v>24.77</v>
      </c>
      <c r="Y19" s="4"/>
    </row>
    <row r="20" spans="2:25" ht="16.5" customHeight="1" x14ac:dyDescent="0.3">
      <c r="B20" s="31" t="s">
        <v>21</v>
      </c>
      <c r="C20" s="25" t="s">
        <v>204</v>
      </c>
      <c r="D20" s="62">
        <f>Inputs!G9</f>
        <v>18.5</v>
      </c>
      <c r="E20" s="52">
        <f>Labor!B20+Labor!B28+Labor!B30+Labor!B18</f>
        <v>28.7</v>
      </c>
      <c r="F20" s="52">
        <f t="shared" si="1"/>
        <v>530.94999999999993</v>
      </c>
      <c r="G20" s="62">
        <f t="shared" si="0"/>
        <v>9.8324074074074055</v>
      </c>
      <c r="H20" s="134">
        <f>Labor!E20+Labor!E28+Labor!E30+Labor!E18</f>
        <v>15.2</v>
      </c>
      <c r="I20" s="52">
        <f t="shared" si="3"/>
        <v>281.2</v>
      </c>
      <c r="J20" s="126">
        <f t="shared" si="4"/>
        <v>5.2074074074074073</v>
      </c>
      <c r="K20" s="17"/>
      <c r="L20" s="17"/>
      <c r="M20" s="17"/>
      <c r="N20" s="17" t="s">
        <v>539</v>
      </c>
      <c r="O20">
        <v>35.4</v>
      </c>
      <c r="Y20" s="4"/>
    </row>
    <row r="21" spans="2:25" ht="16.5" customHeight="1" x14ac:dyDescent="0.3">
      <c r="B21" s="31" t="s">
        <v>69</v>
      </c>
      <c r="C21" s="25" t="s">
        <v>70</v>
      </c>
      <c r="D21" s="62">
        <f>Inputs!G3</f>
        <v>4.5</v>
      </c>
      <c r="E21" s="55">
        <v>6</v>
      </c>
      <c r="F21" s="52">
        <f t="shared" si="1"/>
        <v>27</v>
      </c>
      <c r="G21" s="62">
        <f t="shared" si="0"/>
        <v>0.5</v>
      </c>
      <c r="H21" s="131">
        <v>6</v>
      </c>
      <c r="I21" s="52">
        <f t="shared" si="3"/>
        <v>27</v>
      </c>
      <c r="J21" s="126">
        <f t="shared" si="4"/>
        <v>0.5</v>
      </c>
      <c r="K21" s="17"/>
      <c r="L21" s="17"/>
      <c r="M21" s="17"/>
      <c r="N21" s="17" t="s">
        <v>540</v>
      </c>
      <c r="O21">
        <v>23.8</v>
      </c>
      <c r="P21" t="s">
        <v>504</v>
      </c>
      <c r="Q21" t="s">
        <v>506</v>
      </c>
      <c r="X21" s="4"/>
      <c r="Y21" s="4"/>
    </row>
    <row r="22" spans="2:25" ht="16.5" customHeight="1" x14ac:dyDescent="0.3">
      <c r="B22" s="31" t="s">
        <v>67</v>
      </c>
      <c r="C22" s="25" t="s">
        <v>68</v>
      </c>
      <c r="D22" s="62">
        <f>Inputs!G10</f>
        <v>10</v>
      </c>
      <c r="E22" s="55">
        <v>4</v>
      </c>
      <c r="F22" s="52">
        <f t="shared" si="1"/>
        <v>40</v>
      </c>
      <c r="G22" s="62">
        <f t="shared" si="0"/>
        <v>0.7407407407407407</v>
      </c>
      <c r="H22" s="131">
        <v>4</v>
      </c>
      <c r="I22" s="52">
        <f t="shared" si="3"/>
        <v>40</v>
      </c>
      <c r="J22" s="126">
        <f t="shared" si="4"/>
        <v>0.7407407407407407</v>
      </c>
      <c r="K22" s="17"/>
      <c r="L22" s="17"/>
      <c r="M22" s="17"/>
      <c r="O22">
        <f>SUM(O16:O21)</f>
        <v>259.88</v>
      </c>
      <c r="P22" t="s">
        <v>505</v>
      </c>
      <c r="X22" s="4"/>
      <c r="Y22" s="4"/>
    </row>
    <row r="23" spans="2:25" ht="16.5" customHeight="1" x14ac:dyDescent="0.3">
      <c r="B23" s="31" t="s">
        <v>66</v>
      </c>
      <c r="C23" s="25"/>
      <c r="D23" s="25"/>
      <c r="E23" s="52"/>
      <c r="F23" s="13">
        <v>300</v>
      </c>
      <c r="G23" s="62"/>
      <c r="H23" s="134"/>
      <c r="I23" s="13">
        <v>150</v>
      </c>
      <c r="J23" s="126"/>
      <c r="K23"/>
      <c r="L23"/>
      <c r="M23"/>
      <c r="N23" s="17"/>
      <c r="X23" s="4"/>
      <c r="Y23" s="4"/>
    </row>
    <row r="24" spans="2:25" ht="16.5" customHeight="1" x14ac:dyDescent="0.3">
      <c r="B24" s="31" t="s">
        <v>65</v>
      </c>
      <c r="C24" s="25"/>
      <c r="D24" s="25"/>
      <c r="E24" s="61"/>
      <c r="F24" s="16">
        <f>IF(Investment!L2=Investment!$M$146,Investment!T30/2,Investment!T54/2)/Inputs!C3</f>
        <v>149.55000000000001</v>
      </c>
      <c r="G24" s="57"/>
      <c r="H24" s="135"/>
      <c r="I24" s="16">
        <f>IF(Investment!L2=Investment!$M$146,Investment!T30/2,Investment!T54/2)/Inputs!C3</f>
        <v>149.55000000000001</v>
      </c>
      <c r="J24" s="127"/>
      <c r="K24" s="17"/>
      <c r="L24" s="17"/>
      <c r="M24" s="17"/>
      <c r="N24" s="17"/>
      <c r="X24" s="4"/>
      <c r="Y24" s="4"/>
    </row>
    <row r="25" spans="2:25" ht="16.5" customHeight="1" x14ac:dyDescent="0.3">
      <c r="B25" s="31" t="s">
        <v>463</v>
      </c>
      <c r="C25" s="25"/>
      <c r="D25" s="25"/>
      <c r="E25" s="61"/>
      <c r="F25" s="13"/>
      <c r="G25" s="57"/>
      <c r="H25" s="135"/>
      <c r="I25" s="13"/>
      <c r="J25" s="127"/>
      <c r="K25" s="17"/>
      <c r="L25" s="17"/>
      <c r="M25" s="17"/>
      <c r="N25" s="17"/>
      <c r="X25" s="4"/>
      <c r="Y25" s="4"/>
    </row>
    <row r="26" spans="2:25" ht="16.5" customHeight="1" x14ac:dyDescent="0.3">
      <c r="B26" s="31" t="s">
        <v>9</v>
      </c>
      <c r="C26" s="57"/>
      <c r="D26" s="57"/>
      <c r="E26" s="57"/>
      <c r="F26" s="13">
        <v>10</v>
      </c>
      <c r="G26" s="57"/>
      <c r="H26" s="31"/>
      <c r="I26" s="13">
        <v>10</v>
      </c>
      <c r="J26" s="127"/>
      <c r="K26" s="17"/>
      <c r="L26" s="17"/>
      <c r="M26" s="17"/>
      <c r="N26" s="17"/>
      <c r="X26" s="4"/>
      <c r="Y26" s="4"/>
    </row>
    <row r="27" spans="2:25" ht="16.5" customHeight="1" x14ac:dyDescent="0.3">
      <c r="B27" s="124" t="s">
        <v>13</v>
      </c>
      <c r="C27" s="125"/>
      <c r="D27" s="125"/>
      <c r="E27" s="125"/>
      <c r="F27" s="12">
        <v>10</v>
      </c>
      <c r="G27" s="125"/>
      <c r="H27" s="124"/>
      <c r="I27" s="12">
        <v>10</v>
      </c>
      <c r="J27" s="128"/>
      <c r="K27" s="17"/>
      <c r="L27" s="17"/>
      <c r="M27" s="17"/>
      <c r="N27" s="17"/>
      <c r="X27" s="4"/>
      <c r="Y27" s="4"/>
    </row>
    <row r="28" spans="2:25" ht="16.5" customHeight="1" x14ac:dyDescent="0.3">
      <c r="B28" s="155" t="s">
        <v>509</v>
      </c>
      <c r="C28" s="156"/>
      <c r="D28" s="158"/>
      <c r="E28" s="159">
        <f>Inputs!K8</f>
        <v>0.08</v>
      </c>
      <c r="F28" s="160">
        <f>SUM(F4:F27)*E28</f>
        <v>323.85840000000002</v>
      </c>
      <c r="G28" s="156"/>
      <c r="H28" s="241">
        <v>0.08</v>
      </c>
      <c r="I28" s="160">
        <f>SUM(I4:I27)*E28</f>
        <v>78.707999999999998</v>
      </c>
      <c r="J28" s="157"/>
      <c r="K28" s="17"/>
      <c r="L28" s="17"/>
      <c r="M28" s="17"/>
      <c r="N28" s="17"/>
      <c r="X28" s="4"/>
      <c r="Y28" s="4"/>
    </row>
    <row r="29" spans="2:25" ht="16.5" customHeight="1" x14ac:dyDescent="0.3">
      <c r="B29" s="31"/>
      <c r="C29" s="57"/>
      <c r="D29" s="57"/>
      <c r="E29" s="17" t="s">
        <v>465</v>
      </c>
      <c r="F29" s="284">
        <f>SUM(F4:F28)</f>
        <v>4372.0884000000005</v>
      </c>
      <c r="G29" s="282">
        <f>SUM(G4:G27)</f>
        <v>66.271851851851864</v>
      </c>
      <c r="H29" s="283"/>
      <c r="I29" s="275">
        <f>SUM(I9:I28)</f>
        <v>1062.558</v>
      </c>
      <c r="J29" s="280">
        <f>I29/Inputs!$C$5</f>
        <v>19.677</v>
      </c>
      <c r="K29" s="17"/>
      <c r="L29" s="17"/>
      <c r="M29" s="17"/>
      <c r="N29" s="17"/>
      <c r="X29" s="4"/>
      <c r="Y29" s="4"/>
    </row>
    <row r="30" spans="2:25" ht="16.5" customHeight="1" x14ac:dyDescent="0.3">
      <c r="B30" s="26" t="s">
        <v>4</v>
      </c>
      <c r="C30" s="40"/>
      <c r="D30" s="40"/>
      <c r="E30" s="40"/>
      <c r="F30" s="40"/>
      <c r="G30" s="137"/>
      <c r="H30" s="40"/>
      <c r="I30" s="41"/>
      <c r="J30" s="43"/>
      <c r="K30" s="17"/>
      <c r="L30" s="17"/>
      <c r="M30" s="17"/>
      <c r="W30" s="4"/>
      <c r="X30" s="4"/>
      <c r="Y30" s="4"/>
    </row>
    <row r="31" spans="2:25" ht="16.5" customHeight="1" x14ac:dyDescent="0.3">
      <c r="B31" s="33" t="s">
        <v>54</v>
      </c>
      <c r="C31"/>
      <c r="D31"/>
      <c r="E31"/>
      <c r="F31" s="16">
        <f>Inputs!AA19/Inputs!C3/2</f>
        <v>393.51750000000004</v>
      </c>
      <c r="G31" s="44">
        <f>F31/Inputs!$C$5</f>
        <v>7.2873611111111121</v>
      </c>
      <c r="H31" s="95"/>
      <c r="I31" s="16">
        <f>Inputs!AA19/Inputs!C3/2</f>
        <v>393.51750000000004</v>
      </c>
      <c r="J31" s="44">
        <f>I31/Inputs!$C$5</f>
        <v>7.2873611111111121</v>
      </c>
      <c r="K31"/>
      <c r="L31"/>
      <c r="M31"/>
      <c r="W31" s="4"/>
      <c r="X31" s="4"/>
      <c r="Y31" s="4"/>
    </row>
    <row r="32" spans="2:25" ht="16.5" customHeight="1" x14ac:dyDescent="0.3">
      <c r="B32" s="33" t="s">
        <v>26</v>
      </c>
      <c r="C32" s="58" t="s">
        <v>7</v>
      </c>
      <c r="D32"/>
      <c r="E32" s="66">
        <f>Inputs!K9</f>
        <v>7.0000000000000007E-2</v>
      </c>
      <c r="F32" s="16">
        <f>Inputs!AB19/Inputs!C3/2</f>
        <v>194.420625</v>
      </c>
      <c r="G32" s="44">
        <f>F32/Inputs!$C$5</f>
        <v>3.6003819444444445</v>
      </c>
      <c r="H32" s="95"/>
      <c r="I32" s="16">
        <f>Inputs!AB19/Inputs!C3/2</f>
        <v>194.420625</v>
      </c>
      <c r="J32" s="44">
        <f>I32/Inputs!$C$5</f>
        <v>3.6003819444444445</v>
      </c>
      <c r="K32"/>
      <c r="L32"/>
      <c r="M32"/>
      <c r="W32" s="4"/>
      <c r="X32" s="4"/>
      <c r="Y32" s="4"/>
    </row>
    <row r="33" spans="2:25" ht="16.5" customHeight="1" x14ac:dyDescent="0.3">
      <c r="B33" s="33" t="s">
        <v>34</v>
      </c>
      <c r="C33" s="58"/>
      <c r="D33" s="58"/>
      <c r="E33"/>
      <c r="F33" s="13">
        <v>100</v>
      </c>
      <c r="G33" s="44">
        <f>F33/Inputs!$C$5</f>
        <v>1.8518518518518519</v>
      </c>
      <c r="H33" s="95"/>
      <c r="I33" s="13">
        <v>100</v>
      </c>
      <c r="J33" s="44">
        <f>I33/Inputs!$C$5</f>
        <v>1.8518518518518519</v>
      </c>
      <c r="K33"/>
      <c r="L33"/>
      <c r="M33"/>
      <c r="V33" s="4"/>
      <c r="W33" s="4"/>
      <c r="X33" s="4"/>
    </row>
    <row r="34" spans="2:25" ht="16.5" customHeight="1" x14ac:dyDescent="0.3">
      <c r="B34" s="34" t="s">
        <v>27</v>
      </c>
      <c r="C34" s="58"/>
      <c r="D34" s="58"/>
      <c r="E34"/>
      <c r="F34" s="12">
        <v>200</v>
      </c>
      <c r="G34" s="45">
        <f>F34/Inputs!$C$5</f>
        <v>3.7037037037037037</v>
      </c>
      <c r="H34" s="136"/>
      <c r="I34" s="12">
        <v>200</v>
      </c>
      <c r="J34" s="45">
        <f>I34/Inputs!$C$5</f>
        <v>3.7037037037037037</v>
      </c>
      <c r="K34"/>
      <c r="L34"/>
      <c r="M34"/>
      <c r="V34" s="4"/>
      <c r="W34" s="4"/>
      <c r="X34" s="4"/>
    </row>
    <row r="35" spans="2:25" ht="16.5" customHeight="1" x14ac:dyDescent="0.3">
      <c r="B35" s="32"/>
      <c r="C35" s="17"/>
      <c r="D35"/>
      <c r="E35" s="32" t="s">
        <v>206</v>
      </c>
      <c r="F35" s="275">
        <f>SUM(F31:F34)</f>
        <v>887.93812500000001</v>
      </c>
      <c r="G35" s="280">
        <f>F35/Inputs!$C$5</f>
        <v>16.443298611111111</v>
      </c>
      <c r="H35" s="79"/>
      <c r="I35" s="275">
        <f>SUM(I31:I34)</f>
        <v>887.93812500000001</v>
      </c>
      <c r="J35" s="280">
        <f>I35/Inputs!$C$5</f>
        <v>16.443298611111111</v>
      </c>
      <c r="K35"/>
      <c r="L35"/>
      <c r="M35"/>
      <c r="V35" s="4"/>
      <c r="W35" s="4"/>
      <c r="X35" s="4"/>
    </row>
    <row r="36" spans="2:25" ht="16.5" customHeight="1" thickBot="1" x14ac:dyDescent="0.35">
      <c r="B36" s="63"/>
      <c r="C36" s="64"/>
      <c r="D36" s="123"/>
      <c r="E36" s="123" t="s">
        <v>492</v>
      </c>
      <c r="F36" s="281">
        <f>F29+F35</f>
        <v>5260.0265250000002</v>
      </c>
      <c r="G36" s="279">
        <f>G35+G29</f>
        <v>82.715150462962981</v>
      </c>
      <c r="H36" s="278"/>
      <c r="I36" s="281">
        <f>I35+I29</f>
        <v>1950.4961250000001</v>
      </c>
      <c r="J36" s="279">
        <f>J35+J29</f>
        <v>36.12029861111111</v>
      </c>
      <c r="K36"/>
      <c r="L36"/>
      <c r="M36"/>
      <c r="V36" s="4"/>
      <c r="W36" s="4"/>
      <c r="X36" s="4"/>
    </row>
    <row r="37" spans="2:25" ht="16.5" customHeight="1" x14ac:dyDescent="0.3">
      <c r="B37"/>
      <c r="C37"/>
      <c r="D37"/>
      <c r="E37"/>
      <c r="F37"/>
      <c r="G37" s="5"/>
      <c r="H37" s="5"/>
      <c r="I37" s="5"/>
      <c r="J37"/>
      <c r="K37"/>
      <c r="L37"/>
      <c r="M37"/>
      <c r="V37" s="4"/>
      <c r="W37" s="4"/>
      <c r="X37" s="4"/>
    </row>
    <row r="38" spans="2:25" hidden="1" x14ac:dyDescent="0.3">
      <c r="B38"/>
      <c r="C38"/>
      <c r="D38"/>
      <c r="E38"/>
      <c r="F38"/>
      <c r="G38" s="5"/>
      <c r="H38" s="5"/>
      <c r="I38" s="5"/>
      <c r="J38"/>
      <c r="K38"/>
      <c r="L38"/>
      <c r="M38"/>
      <c r="W38" s="4"/>
      <c r="X38" s="4"/>
      <c r="Y38" s="4"/>
    </row>
    <row r="39" spans="2:25" hidden="1" x14ac:dyDescent="0.3">
      <c r="B39"/>
      <c r="C39"/>
      <c r="D39"/>
      <c r="E39"/>
      <c r="F39"/>
      <c r="G39" s="5"/>
      <c r="H39" s="5"/>
      <c r="I39" s="5"/>
      <c r="J39" s="6"/>
      <c r="K39"/>
      <c r="L39"/>
      <c r="M39"/>
      <c r="W39" s="4"/>
      <c r="X39" s="4"/>
      <c r="Y39" s="4"/>
    </row>
    <row r="40" spans="2:25" hidden="1" x14ac:dyDescent="0.3">
      <c r="B40" s="6"/>
      <c r="C40" s="6"/>
      <c r="D40" s="6"/>
      <c r="E40" s="6"/>
      <c r="F40" s="6"/>
      <c r="G40" s="6"/>
      <c r="H40" s="6"/>
      <c r="I40" s="6"/>
      <c r="J40" s="6"/>
      <c r="K40" s="6"/>
      <c r="L40" s="6"/>
      <c r="M40" s="6"/>
      <c r="W40" s="4"/>
      <c r="X40" s="4"/>
      <c r="Y40" s="4"/>
    </row>
    <row r="41" spans="2:25" hidden="1" x14ac:dyDescent="0.3">
      <c r="B41" s="18"/>
      <c r="C41" s="18"/>
      <c r="D41" s="18"/>
      <c r="E41" s="18"/>
      <c r="F41" s="18"/>
      <c r="G41" s="6"/>
      <c r="H41" s="6"/>
      <c r="I41" s="6"/>
      <c r="J41" s="6"/>
      <c r="K41" s="6"/>
      <c r="L41" s="6"/>
      <c r="M41" s="6"/>
      <c r="W41" s="4"/>
      <c r="X41" s="4"/>
      <c r="Y41" s="4"/>
    </row>
    <row r="42" spans="2:25" hidden="1" x14ac:dyDescent="0.3">
      <c r="B42" s="18"/>
      <c r="C42" s="18"/>
      <c r="D42" s="18"/>
      <c r="E42" s="18"/>
      <c r="F42" s="18"/>
      <c r="G42" s="19"/>
      <c r="H42" s="19"/>
      <c r="I42" s="19"/>
      <c r="J42" s="4"/>
      <c r="K42" s="6"/>
      <c r="L42" s="6"/>
      <c r="M42" s="6"/>
      <c r="W42" s="4"/>
      <c r="X42" s="4"/>
      <c r="Y42" s="4"/>
    </row>
  </sheetData>
  <protectedRanges>
    <protectedRange sqref="D4:D6 E8:E14 E16:E19 E21:E22 F23 F25:F27 H9:H14 H16:H19 H21:H22 I23 I25:I27 F33:F34 I33:I34" name="Grey cells"/>
  </protectedRanges>
  <mergeCells count="3">
    <mergeCell ref="B1:J1"/>
    <mergeCell ref="E2:G2"/>
    <mergeCell ref="H2:J2"/>
  </mergeCells>
  <phoneticPr fontId="9" type="noConversion"/>
  <dataValidations disablePrompts="1" count="1">
    <dataValidation type="list" allowBlank="1" showInputMessage="1" showErrorMessage="1" sqref="B43:F51" xr:uid="{0615019E-8B30-4BAF-84D9-A7B77E6EB4C0}">
      <formula1>Implements</formula1>
    </dataValidation>
  </dataValidations>
  <pageMargins left="0.7" right="0.7" top="0.75" bottom="0.75" header="0.3" footer="0.3"/>
  <pageSetup scale="51" orientation="portrait" r:id="rId1"/>
  <rowBreaks count="1" manualBreakCount="1">
    <brk id="52" max="16383" man="1"/>
  </rowBreaks>
  <colBreaks count="2" manualBreakCount="2">
    <brk id="9" max="1048575" man="1"/>
    <brk id="1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CD089-1462-499A-B603-5298311E46FC}">
  <sheetPr>
    <pageSetUpPr fitToPage="1"/>
  </sheetPr>
  <dimension ref="A1:AE46"/>
  <sheetViews>
    <sheetView workbookViewId="0"/>
  </sheetViews>
  <sheetFormatPr defaultColWidth="0" defaultRowHeight="16.5" zeroHeight="1" x14ac:dyDescent="0.3"/>
  <cols>
    <col min="1" max="1" width="2.5" customWidth="1"/>
    <col min="2" max="2" width="43.625" bestFit="1" customWidth="1"/>
    <col min="3" max="3" width="13.625" customWidth="1"/>
    <col min="4" max="4" width="16.375" bestFit="1" customWidth="1"/>
    <col min="5" max="5" width="26.5" bestFit="1" customWidth="1"/>
    <col min="6" max="6" width="13.25" style="5" bestFit="1" customWidth="1"/>
    <col min="7" max="7" width="11" style="5" customWidth="1"/>
    <col min="8" max="8" width="8.75" customWidth="1"/>
    <col min="9" max="9" width="11.5" customWidth="1"/>
    <col min="10" max="17" width="9.625" customWidth="1"/>
    <col min="18" max="18" width="8.125" customWidth="1"/>
    <col min="19" max="23" width="9" hidden="1" customWidth="1"/>
    <col min="24" max="26" width="21.375" hidden="1" customWidth="1"/>
    <col min="27" max="31" width="0" hidden="1" customWidth="1"/>
    <col min="32" max="16384" width="9" hidden="1"/>
  </cols>
  <sheetData>
    <row r="1" spans="2:21" ht="20.25" x14ac:dyDescent="0.35">
      <c r="B1" s="340" t="s">
        <v>93</v>
      </c>
      <c r="C1" s="341"/>
      <c r="D1" s="341"/>
      <c r="E1" s="341"/>
      <c r="F1" s="341"/>
      <c r="G1" s="342"/>
    </row>
    <row r="2" spans="2:21" ht="16.5" customHeight="1" x14ac:dyDescent="0.3">
      <c r="B2" s="42" t="s">
        <v>181</v>
      </c>
      <c r="C2" s="8">
        <v>2039</v>
      </c>
      <c r="D2" s="27"/>
      <c r="E2" s="27"/>
      <c r="F2" s="28"/>
      <c r="G2" s="29"/>
    </row>
    <row r="3" spans="2:21" ht="16.5" customHeight="1" thickBot="1" x14ac:dyDescent="0.35">
      <c r="B3" s="26" t="s">
        <v>5</v>
      </c>
      <c r="C3" s="40" t="s">
        <v>25</v>
      </c>
      <c r="D3" s="40" t="s">
        <v>209</v>
      </c>
      <c r="E3" s="40" t="s">
        <v>24</v>
      </c>
      <c r="F3" s="41" t="s">
        <v>388</v>
      </c>
      <c r="G3" s="43" t="s">
        <v>43</v>
      </c>
      <c r="I3" s="141" t="s">
        <v>508</v>
      </c>
      <c r="J3" s="141"/>
      <c r="K3" s="141"/>
      <c r="L3" s="141"/>
      <c r="M3" s="141"/>
      <c r="N3" s="141"/>
      <c r="O3" s="141"/>
      <c r="P3" s="141"/>
      <c r="Q3" s="141"/>
      <c r="S3" t="s">
        <v>320</v>
      </c>
      <c r="T3" t="s">
        <v>321</v>
      </c>
    </row>
    <row r="4" spans="2:21" ht="16.5" customHeight="1" x14ac:dyDescent="0.3">
      <c r="B4" s="30"/>
      <c r="C4" s="93"/>
      <c r="D4" s="93"/>
      <c r="E4" s="93"/>
      <c r="F4" s="94"/>
      <c r="G4" s="238"/>
      <c r="I4" s="142"/>
      <c r="J4" s="142"/>
      <c r="K4" s="347" t="s">
        <v>468</v>
      </c>
      <c r="L4" s="348"/>
      <c r="M4" s="348"/>
      <c r="N4" s="348"/>
      <c r="O4" s="348"/>
      <c r="P4" s="348"/>
      <c r="Q4" s="349"/>
    </row>
    <row r="5" spans="2:21" ht="16.5" customHeight="1" x14ac:dyDescent="0.3">
      <c r="B5" s="31" t="s">
        <v>188</v>
      </c>
      <c r="C5" s="25" t="s">
        <v>51</v>
      </c>
      <c r="D5" s="76">
        <f>HLOOKUP('Pecan budget'!$C$2,'Long-term Model Summary'!$K$9:$CH$14,4,FALSE)*Inputs!C15*HLOOKUP($C$2,Table2[],8,FALSE)/Inputs!C3</f>
        <v>0</v>
      </c>
      <c r="E5" s="62">
        <f>Inputs!C18</f>
        <v>2</v>
      </c>
      <c r="F5" s="16">
        <f>$D$5*$E$5</f>
        <v>0</v>
      </c>
      <c r="G5" s="271">
        <f>IFERROR(F5/Inputs!$C$5,"N/A")</f>
        <v>0</v>
      </c>
      <c r="I5" s="143"/>
      <c r="J5" s="148"/>
      <c r="K5" s="149">
        <v>-0.3</v>
      </c>
      <c r="L5" s="149">
        <v>-0.2</v>
      </c>
      <c r="M5" s="149">
        <v>-0.1</v>
      </c>
      <c r="N5" s="149">
        <v>0</v>
      </c>
      <c r="O5" s="149">
        <v>0.1</v>
      </c>
      <c r="P5" s="149">
        <v>0.2</v>
      </c>
      <c r="Q5" s="150">
        <v>0.3</v>
      </c>
      <c r="S5">
        <v>800</v>
      </c>
      <c r="T5">
        <v>6</v>
      </c>
      <c r="U5">
        <f>S5/T5</f>
        <v>133.33333333333334</v>
      </c>
    </row>
    <row r="6" spans="2:21" ht="16.5" customHeight="1" x14ac:dyDescent="0.3">
      <c r="B6" s="31" t="s">
        <v>189</v>
      </c>
      <c r="C6" s="25" t="s">
        <v>51</v>
      </c>
      <c r="D6" s="76">
        <f>HLOOKUP('Pecan budget'!$C$2,'Long-term Model Summary'!$K$9:$CH$14,4,FALSE)*Inputs!C16*HLOOKUP($C$2,Table2[],8,FALSE)*(1-Inputs!C17)/Inputs!C3</f>
        <v>600.29350398156078</v>
      </c>
      <c r="E6" s="67">
        <f>Inputs!C19-IF(Investment!L2=Investment!N146,0,Inputs!K11)</f>
        <v>6</v>
      </c>
      <c r="F6" s="15">
        <f>D6*E6</f>
        <v>3601.7610238893649</v>
      </c>
      <c r="G6" s="272">
        <f>IFERROR(F6/(HLOOKUP($C$2,Table2[[Year 1]:[Year 76]],8,FALSE)/Inputs!$C$3),"N/A")</f>
        <v>100.04891733026014</v>
      </c>
      <c r="I6" s="350" t="s">
        <v>497</v>
      </c>
      <c r="J6" s="151">
        <v>-0.3</v>
      </c>
      <c r="K6" s="144">
        <f>'Pecan budget'!$F$7*(1+K$5)-'Pecan budget'!$F$32*(1+$J6)-'Pecan budget'!$F$39</f>
        <v>-295.10679455006334</v>
      </c>
      <c r="L6" s="144">
        <f>'Pecan budget'!$F$7*(1+L$5)-'Pecan budget'!$F$32*(1+$J6)-'Pecan budget'!$F$39</f>
        <v>65.069307838873328</v>
      </c>
      <c r="M6" s="144">
        <f>'Pecan budget'!$F$7*(1+M$5)-'Pecan budget'!$F$32*(1+$J6)-'Pecan budget'!$F$39</f>
        <v>425.24541022781</v>
      </c>
      <c r="N6" s="144">
        <f>'Pecan budget'!$F$7*(1+N$5)-'Pecan budget'!$F$32*(1+$J6)-'Pecan budget'!$F$39</f>
        <v>785.42151261674621</v>
      </c>
      <c r="O6" s="144">
        <f>'Pecan budget'!$F$7*(1+O$5)-'Pecan budget'!$F$32*(1+$J6)-'Pecan budget'!$F$39</f>
        <v>1145.5976150056829</v>
      </c>
      <c r="P6" s="144">
        <f>'Pecan budget'!$F$7*(1+P$5)-'Pecan budget'!$F$32*(1+$J6)-'Pecan budget'!$F$39</f>
        <v>1505.7737173946186</v>
      </c>
      <c r="Q6" s="145">
        <f>'Pecan budget'!$F$7*(1+Q$5)-'Pecan budget'!$F$32*(1+$J6)-'Pecan budget'!$F$39</f>
        <v>1865.9498197835562</v>
      </c>
    </row>
    <row r="7" spans="2:21" ht="16.5" customHeight="1" x14ac:dyDescent="0.3">
      <c r="B7" s="33"/>
      <c r="C7" s="17"/>
      <c r="D7" s="17"/>
      <c r="E7" s="17" t="s">
        <v>6</v>
      </c>
      <c r="F7" s="275">
        <f>SUM(F5:F6)</f>
        <v>3601.7610238893649</v>
      </c>
      <c r="G7" s="236">
        <f>IFERROR(F7/(HLOOKUP($C$2,Table2[[Year 1]:[Year 76]],8,FALSE)/Inputs!$C$3),"N/A")</f>
        <v>100.04891733026014</v>
      </c>
      <c r="I7" s="350"/>
      <c r="J7" s="151">
        <v>-0.2</v>
      </c>
      <c r="K7" s="144">
        <f>'Pecan budget'!$F$7*(1+K$5)-'Pecan budget'!$F$32*(1+$J7)-'Pecan budget'!$F$39</f>
        <v>-486.60154616043769</v>
      </c>
      <c r="L7" s="144">
        <f>'Pecan budget'!$F$7*(1+L$5)-'Pecan budget'!$F$32*(1+$J7)-'Pecan budget'!$F$39</f>
        <v>-126.42544377150102</v>
      </c>
      <c r="M7" s="144">
        <f>'Pecan budget'!$F$7*(1+M$5)-'Pecan budget'!$F$32*(1+$J7)-'Pecan budget'!$F$39</f>
        <v>233.75065861743565</v>
      </c>
      <c r="N7" s="144">
        <f>'Pecan budget'!$F$7*(1+N$5)-'Pecan budget'!$F$32*(1+$J7)-'Pecan budget'!$F$39</f>
        <v>593.92676100637186</v>
      </c>
      <c r="O7" s="144">
        <f>'Pecan budget'!$F$7*(1+O$5)-'Pecan budget'!$F$32*(1+$J7)-'Pecan budget'!$F$39</f>
        <v>954.10286339530853</v>
      </c>
      <c r="P7" s="144">
        <f>'Pecan budget'!$F$7*(1+P$5)-'Pecan budget'!$F$32*(1+$J7)-'Pecan budget'!$F$39</f>
        <v>1314.2789657842443</v>
      </c>
      <c r="Q7" s="145">
        <f>'Pecan budget'!$F$7*(1+Q$5)-'Pecan budget'!$F$32*(1+$J7)-'Pecan budget'!$F$39</f>
        <v>1674.4550681731819</v>
      </c>
      <c r="S7" t="s">
        <v>495</v>
      </c>
    </row>
    <row r="8" spans="2:21" ht="16.5" customHeight="1" x14ac:dyDescent="0.3">
      <c r="B8" s="42"/>
      <c r="C8" s="11"/>
      <c r="D8" s="11"/>
      <c r="E8" s="11"/>
      <c r="F8" s="15"/>
      <c r="G8" s="54"/>
      <c r="I8" s="350"/>
      <c r="J8" s="151">
        <v>-0.1</v>
      </c>
      <c r="K8" s="144">
        <f>'Pecan budget'!$F$7*(1+K$5)-'Pecan budget'!$F$32*(1+$J8)-'Pecan budget'!$F$39</f>
        <v>-678.09629777081159</v>
      </c>
      <c r="L8" s="144">
        <f>'Pecan budget'!$F$7*(1+L$5)-'Pecan budget'!$F$32*(1+$J8)-'Pecan budget'!$F$39</f>
        <v>-317.92019538187492</v>
      </c>
      <c r="M8" s="144">
        <f>'Pecan budget'!$F$7*(1+M$5)-'Pecan budget'!$F$32*(1+$J8)-'Pecan budget'!$F$39</f>
        <v>42.255907007061751</v>
      </c>
      <c r="N8" s="144">
        <f>'Pecan budget'!$F$7*(1+N$5)-'Pecan budget'!$F$32*(1+$J8)-'Pecan budget'!$F$39</f>
        <v>402.43200939599797</v>
      </c>
      <c r="O8" s="144">
        <f>'Pecan budget'!$F$7*(1+O$5)-'Pecan budget'!$F$32*(1+$J8)-'Pecan budget'!$F$39</f>
        <v>762.60811178493464</v>
      </c>
      <c r="P8" s="144">
        <f>'Pecan budget'!$F$7*(1+P$5)-'Pecan budget'!$F$32*(1+$J8)-'Pecan budget'!$F$39</f>
        <v>1122.7842141738704</v>
      </c>
      <c r="Q8" s="145">
        <f>'Pecan budget'!$F$7*(1+Q$5)-'Pecan budget'!$F$32*(1+$J8)-'Pecan budget'!$F$39</f>
        <v>1482.960316562808</v>
      </c>
      <c r="S8" t="s">
        <v>494</v>
      </c>
    </row>
    <row r="9" spans="2:21" ht="16.5" customHeight="1" x14ac:dyDescent="0.3">
      <c r="B9" s="26" t="s">
        <v>28</v>
      </c>
      <c r="C9" s="40" t="s">
        <v>25</v>
      </c>
      <c r="D9" s="40" t="s">
        <v>209</v>
      </c>
      <c r="E9" s="40" t="s">
        <v>24</v>
      </c>
      <c r="F9" s="41" t="s">
        <v>388</v>
      </c>
      <c r="G9" s="43" t="s">
        <v>43</v>
      </c>
      <c r="I9" s="350"/>
      <c r="J9" s="151">
        <v>0</v>
      </c>
      <c r="K9" s="144">
        <f>'Pecan budget'!$F$7*(1+K$5)-'Pecan budget'!$F$32*(1+$J9)-'Pecan budget'!$F$39</f>
        <v>-869.59104938118571</v>
      </c>
      <c r="L9" s="144">
        <f>'Pecan budget'!$F$7*(1+L$5)-'Pecan budget'!$F$32*(1+$J9)-'Pecan budget'!$F$39</f>
        <v>-509.41494699224904</v>
      </c>
      <c r="M9" s="144">
        <f>'Pecan budget'!$F$7*(1+M$5)-'Pecan budget'!$F$32*(1+$J9)-'Pecan budget'!$F$39</f>
        <v>-149.23884460331237</v>
      </c>
      <c r="N9" s="153">
        <f>'Pecan budget'!$F$7*(1+N$5)-'Pecan budget'!$F$32*(1+$J9)-'Pecan budget'!$F$39</f>
        <v>210.93725778562384</v>
      </c>
      <c r="O9" s="144">
        <f>'Pecan budget'!$F$7*(1+O$5)-'Pecan budget'!$F$32*(1+$J9)-'Pecan budget'!$F$39</f>
        <v>571.11336017456051</v>
      </c>
      <c r="P9" s="144">
        <f>'Pecan budget'!$F$7*(1+P$5)-'Pecan budget'!$F$32*(1+$J9)-'Pecan budget'!$F$39</f>
        <v>931.2894625634965</v>
      </c>
      <c r="Q9" s="145">
        <f>'Pecan budget'!$F$7*(1+Q$5)-'Pecan budget'!$F$32*(1+$J9)-'Pecan budget'!$F$39</f>
        <v>1291.4655649524341</v>
      </c>
      <c r="S9" t="s">
        <v>493</v>
      </c>
    </row>
    <row r="10" spans="2:21" ht="16.5" customHeight="1" x14ac:dyDescent="0.3">
      <c r="B10" s="31" t="s">
        <v>49</v>
      </c>
      <c r="C10" s="25"/>
      <c r="D10" s="52"/>
      <c r="E10" s="62"/>
      <c r="F10" s="16">
        <f>SUMPRODUCT(D11:D16,E11:E16)</f>
        <v>127.55000000000001</v>
      </c>
      <c r="G10" s="273">
        <f>IFERROR(F10/(HLOOKUP($C$2,Table2[[Year 1]:[Year 76]],8,FALSE)/Inputs!$C$3),"N/A")</f>
        <v>3.5430555555555561</v>
      </c>
      <c r="I10" s="350"/>
      <c r="J10" s="151">
        <v>0.1</v>
      </c>
      <c r="K10" s="144">
        <f>'Pecan budget'!$F$7*(1+K$5)-'Pecan budget'!$F$32*(1+$J10)-'Pecan budget'!$F$39</f>
        <v>-1061.0858009915598</v>
      </c>
      <c r="L10" s="144">
        <f>'Pecan budget'!$F$7*(1+L$5)-'Pecan budget'!$F$32*(1+$J10)-'Pecan budget'!$F$39</f>
        <v>-700.90969860262317</v>
      </c>
      <c r="M10" s="144">
        <f>'Pecan budget'!$F$7*(1+M$5)-'Pecan budget'!$F$32*(1+$J10)-'Pecan budget'!$F$39</f>
        <v>-340.7335962136865</v>
      </c>
      <c r="N10" s="144">
        <f>'Pecan budget'!$F$7*(1+N$5)-'Pecan budget'!$F$32*(1+$J10)-'Pecan budget'!$F$39</f>
        <v>19.442506175249719</v>
      </c>
      <c r="O10" s="144">
        <f>'Pecan budget'!$F$7*(1+O$5)-'Pecan budget'!$F$32*(1+$J10)-'Pecan budget'!$F$39</f>
        <v>379.61860856418639</v>
      </c>
      <c r="P10" s="144">
        <f>'Pecan budget'!$F$7*(1+P$5)-'Pecan budget'!$F$32*(1+$J10)-'Pecan budget'!$F$39</f>
        <v>739.79471095312215</v>
      </c>
      <c r="Q10" s="145">
        <f>'Pecan budget'!$F$7*(1+Q$5)-'Pecan budget'!$F$32*(1+$J10)-'Pecan budget'!$F$39</f>
        <v>1099.9708133420597</v>
      </c>
    </row>
    <row r="11" spans="2:21" ht="16.5" customHeight="1" x14ac:dyDescent="0.3">
      <c r="B11" s="51" t="s">
        <v>48</v>
      </c>
      <c r="C11" s="25" t="s">
        <v>387</v>
      </c>
      <c r="D11" s="55">
        <v>1</v>
      </c>
      <c r="E11" s="62">
        <f>Inputs!G8</f>
        <v>25</v>
      </c>
      <c r="F11" s="16"/>
      <c r="G11" s="273"/>
      <c r="H11" s="17"/>
      <c r="I11" s="350"/>
      <c r="J11" s="151">
        <v>0.2</v>
      </c>
      <c r="K11" s="144">
        <f>'Pecan budget'!$F$7*(1+K$5)-'Pecan budget'!$F$32*(1+$J11)-'Pecan budget'!$F$39</f>
        <v>-1252.5805526019337</v>
      </c>
      <c r="L11" s="144">
        <f>'Pecan budget'!$F$7*(1+L$5)-'Pecan budget'!$F$32*(1+$J11)-'Pecan budget'!$F$39</f>
        <v>-892.40445021299706</v>
      </c>
      <c r="M11" s="144">
        <f>'Pecan budget'!$F$7*(1+M$5)-'Pecan budget'!$F$32*(1+$J11)-'Pecan budget'!$F$39</f>
        <v>-532.22834782406039</v>
      </c>
      <c r="N11" s="144">
        <f>'Pecan budget'!$F$7*(1+N$5)-'Pecan budget'!$F$32*(1+$J11)-'Pecan budget'!$F$39</f>
        <v>-172.05224543512418</v>
      </c>
      <c r="O11" s="144">
        <f>'Pecan budget'!$F$7*(1+O$5)-'Pecan budget'!$F$32*(1+$J11)-'Pecan budget'!$F$39</f>
        <v>188.12385695381249</v>
      </c>
      <c r="P11" s="144">
        <f>'Pecan budget'!$F$7*(1+P$5)-'Pecan budget'!$F$32*(1+$J11)-'Pecan budget'!$F$39</f>
        <v>548.29995934274825</v>
      </c>
      <c r="Q11" s="145">
        <f>'Pecan budget'!$F$7*(1+Q$5)-'Pecan budget'!$F$32*(1+$J11)-'Pecan budget'!$F$39</f>
        <v>908.47606173168583</v>
      </c>
      <c r="R11" s="17"/>
    </row>
    <row r="12" spans="2:21" ht="16.5" customHeight="1" thickBot="1" x14ac:dyDescent="0.35">
      <c r="B12" s="51" t="s">
        <v>45</v>
      </c>
      <c r="C12" s="25" t="s">
        <v>51</v>
      </c>
      <c r="D12" s="55">
        <v>100</v>
      </c>
      <c r="E12" s="62">
        <f>Inputs!G4</f>
        <v>0.48</v>
      </c>
      <c r="F12" s="16"/>
      <c r="G12" s="273"/>
      <c r="H12" s="17"/>
      <c r="I12" s="351"/>
      <c r="J12" s="152">
        <v>0.3</v>
      </c>
      <c r="K12" s="146">
        <f>'Pecan budget'!$F$7*(1+K$5)-'Pecan budget'!$F$32*(1+$J12)-'Pecan budget'!$F$39</f>
        <v>-1444.0753042123081</v>
      </c>
      <c r="L12" s="146">
        <f>'Pecan budget'!$F$7*(1+L$5)-'Pecan budget'!$F$32*(1+$J12)-'Pecan budget'!$F$39</f>
        <v>-1083.8992018233714</v>
      </c>
      <c r="M12" s="146">
        <f>'Pecan budget'!$F$7*(1+M$5)-'Pecan budget'!$F$32*(1+$J12)-'Pecan budget'!$F$39</f>
        <v>-723.72309943443474</v>
      </c>
      <c r="N12" s="146">
        <f>'Pecan budget'!$F$7*(1+N$5)-'Pecan budget'!$F$32*(1+$J12)-'Pecan budget'!$F$39</f>
        <v>-363.54699704549853</v>
      </c>
      <c r="O12" s="146">
        <f>'Pecan budget'!$F$7*(1+O$5)-'Pecan budget'!$F$32*(1+$J12)-'Pecan budget'!$F$39</f>
        <v>-3.3708946565618589</v>
      </c>
      <c r="P12" s="146">
        <f>'Pecan budget'!$F$7*(1+P$5)-'Pecan budget'!$F$32*(1+$J12)-'Pecan budget'!$F$39</f>
        <v>356.8052077323739</v>
      </c>
      <c r="Q12" s="147">
        <f>'Pecan budget'!$F$7*(1+Q$5)-'Pecan budget'!$F$32*(1+$J12)-'Pecan budget'!$F$39</f>
        <v>716.98131012131148</v>
      </c>
      <c r="R12" s="17"/>
      <c r="S12" s="72" t="s">
        <v>96</v>
      </c>
      <c r="T12" t="s">
        <v>103</v>
      </c>
    </row>
    <row r="13" spans="2:21" ht="16.5" customHeight="1" x14ac:dyDescent="0.3">
      <c r="B13" s="51" t="s">
        <v>46</v>
      </c>
      <c r="C13" s="25" t="s">
        <v>51</v>
      </c>
      <c r="D13" s="55">
        <v>20</v>
      </c>
      <c r="E13" s="62">
        <f>Inputs!G5</f>
        <v>0.61</v>
      </c>
      <c r="F13" s="16"/>
      <c r="G13" s="273"/>
      <c r="H13" s="17"/>
      <c r="I13" s="17"/>
      <c r="T13" s="4"/>
      <c r="U13" s="4"/>
    </row>
    <row r="14" spans="2:21" ht="16.5" customHeight="1" x14ac:dyDescent="0.3">
      <c r="B14" s="51" t="s">
        <v>47</v>
      </c>
      <c r="C14" s="25" t="s">
        <v>51</v>
      </c>
      <c r="D14" s="55">
        <v>30</v>
      </c>
      <c r="E14" s="62">
        <f>Inputs!G6</f>
        <v>0.62</v>
      </c>
      <c r="F14" s="16"/>
      <c r="G14" s="273"/>
      <c r="H14" s="17"/>
      <c r="I14" s="17"/>
      <c r="S14" s="4"/>
      <c r="T14" s="4"/>
      <c r="U14" s="4"/>
    </row>
    <row r="15" spans="2:21" ht="16.5" customHeight="1" x14ac:dyDescent="0.3">
      <c r="B15" s="51" t="s">
        <v>52</v>
      </c>
      <c r="C15" s="25" t="s">
        <v>51</v>
      </c>
      <c r="D15" s="55">
        <v>5</v>
      </c>
      <c r="E15" s="62">
        <f>Inputs!K3</f>
        <v>1.75</v>
      </c>
      <c r="F15" s="16"/>
      <c r="G15" s="273"/>
      <c r="H15" s="17"/>
      <c r="I15" s="17"/>
      <c r="S15" s="4"/>
      <c r="T15" s="4"/>
      <c r="U15" s="4"/>
    </row>
    <row r="16" spans="2:21" ht="16.5" customHeight="1" x14ac:dyDescent="0.3">
      <c r="B16" s="51" t="s">
        <v>42</v>
      </c>
      <c r="C16" s="25" t="s">
        <v>44</v>
      </c>
      <c r="D16" s="56">
        <v>0.5</v>
      </c>
      <c r="E16" s="62">
        <f>Inputs!G7</f>
        <v>30</v>
      </c>
      <c r="F16" s="16"/>
      <c r="G16" s="273"/>
      <c r="H16" s="17"/>
      <c r="I16" s="17"/>
      <c r="S16" s="4"/>
      <c r="T16" s="4"/>
      <c r="U16" s="4"/>
    </row>
    <row r="17" spans="2:21" ht="16.5" customHeight="1" x14ac:dyDescent="0.3">
      <c r="B17" s="31" t="s">
        <v>92</v>
      </c>
      <c r="C17" s="25"/>
      <c r="D17" s="76"/>
      <c r="E17" s="62"/>
      <c r="F17" s="16">
        <f>(SUMPRODUCT(D19:D20,E19:E20)+D18*E18)</f>
        <v>230</v>
      </c>
      <c r="G17" s="273">
        <f>IFERROR(F17/(HLOOKUP($C$2,Table2[[Year 1]:[Year 76]],8,FALSE)/Inputs!$C$3),"N/A")</f>
        <v>6.3888888888888893</v>
      </c>
      <c r="S17" s="4"/>
      <c r="T17" s="4"/>
      <c r="U17" s="4"/>
    </row>
    <row r="18" spans="2:21" ht="16.5" customHeight="1" x14ac:dyDescent="0.3">
      <c r="B18" s="51" t="s">
        <v>220</v>
      </c>
      <c r="C18" s="25" t="s">
        <v>72</v>
      </c>
      <c r="D18" s="56">
        <v>3</v>
      </c>
      <c r="E18" s="62">
        <f>Inputs!K5</f>
        <v>10</v>
      </c>
      <c r="F18" s="16"/>
      <c r="G18" s="273"/>
      <c r="S18" s="4"/>
      <c r="T18" s="4"/>
      <c r="U18" s="4"/>
    </row>
    <row r="19" spans="2:21" ht="16.5" customHeight="1" x14ac:dyDescent="0.3">
      <c r="B19" s="51" t="str">
        <f>Inputs!I7</f>
        <v>Fungicide</v>
      </c>
      <c r="C19" s="25" t="s">
        <v>35</v>
      </c>
      <c r="D19" s="55">
        <v>6</v>
      </c>
      <c r="E19" s="62">
        <f>Inputs!K7</f>
        <v>10</v>
      </c>
      <c r="F19" s="16"/>
      <c r="G19" s="273"/>
      <c r="H19" s="17"/>
      <c r="I19" s="17"/>
      <c r="J19" s="17"/>
      <c r="K19" s="17"/>
      <c r="L19" s="17"/>
      <c r="M19" s="17"/>
      <c r="N19" s="17"/>
      <c r="O19" s="17"/>
      <c r="P19" s="17"/>
      <c r="Q19" s="17"/>
      <c r="R19" s="17"/>
      <c r="S19" t="s">
        <v>104</v>
      </c>
    </row>
    <row r="20" spans="2:21" ht="16.5" customHeight="1" x14ac:dyDescent="0.3">
      <c r="B20" s="51" t="str">
        <f>Inputs!I6</f>
        <v>Insecticide 1</v>
      </c>
      <c r="C20" s="25" t="s">
        <v>35</v>
      </c>
      <c r="D20" s="55">
        <v>4</v>
      </c>
      <c r="E20" s="62">
        <f>Inputs!K6</f>
        <v>35</v>
      </c>
      <c r="F20" s="16"/>
      <c r="G20" s="273"/>
      <c r="H20" s="17"/>
      <c r="I20" s="17"/>
      <c r="J20" s="17"/>
      <c r="K20" s="17"/>
      <c r="L20" s="17"/>
      <c r="M20" s="17"/>
      <c r="N20" s="17"/>
      <c r="O20" s="17"/>
      <c r="P20" s="17"/>
      <c r="Q20" s="17"/>
      <c r="R20" s="17"/>
      <c r="S20" t="s">
        <v>105</v>
      </c>
    </row>
    <row r="21" spans="2:21" ht="16.5" customHeight="1" x14ac:dyDescent="0.3">
      <c r="B21" s="31" t="s">
        <v>21</v>
      </c>
      <c r="C21" s="25" t="s">
        <v>386</v>
      </c>
      <c r="D21" s="55">
        <f>HLOOKUP(C2,Labor!$B$13:$BY$33,20,FALSE)</f>
        <v>26.686100424032887</v>
      </c>
      <c r="E21" s="62">
        <f>Inputs!G9</f>
        <v>18.5</v>
      </c>
      <c r="F21" s="16">
        <f>D21*E21</f>
        <v>493.6928578446084</v>
      </c>
      <c r="G21" s="273">
        <f>IFERROR(F21/(HLOOKUP($C$2,Table2[[Year 1]:[Year 76]],8,FALSE)/Inputs!$C$3),"N/A")</f>
        <v>13.713690495683567</v>
      </c>
      <c r="H21" s="17"/>
      <c r="I21" s="17"/>
      <c r="J21" s="17"/>
      <c r="K21" s="17"/>
      <c r="L21" s="17"/>
      <c r="M21" s="17"/>
      <c r="N21" s="17"/>
      <c r="O21" s="17"/>
      <c r="P21" s="17"/>
      <c r="Q21" s="17"/>
      <c r="R21" s="17"/>
    </row>
    <row r="22" spans="2:21" ht="16.5" customHeight="1" x14ac:dyDescent="0.3">
      <c r="B22" s="31" t="s">
        <v>69</v>
      </c>
      <c r="C22" s="25" t="s">
        <v>70</v>
      </c>
      <c r="D22" s="55"/>
      <c r="E22" s="62">
        <f>Inputs!G3</f>
        <v>4.5</v>
      </c>
      <c r="F22" s="16">
        <f>E22*D22</f>
        <v>0</v>
      </c>
      <c r="G22" s="273">
        <f>IFERROR(F22/(HLOOKUP($C$2,Table2[[Year 1]:[Year 76]],8,FALSE)/Inputs!$C$3),"N/A")</f>
        <v>0</v>
      </c>
      <c r="H22" s="17"/>
      <c r="I22" s="17"/>
      <c r="J22" s="17"/>
      <c r="K22" s="17"/>
      <c r="L22" s="17"/>
      <c r="M22" s="17"/>
      <c r="N22" s="17"/>
      <c r="O22" s="17"/>
      <c r="P22" s="17"/>
      <c r="Q22" s="17"/>
      <c r="R22" s="17"/>
    </row>
    <row r="23" spans="2:21" ht="16.5" customHeight="1" x14ac:dyDescent="0.3">
      <c r="B23" s="31" t="s">
        <v>67</v>
      </c>
      <c r="C23" s="25" t="s">
        <v>210</v>
      </c>
      <c r="D23" s="55">
        <v>6</v>
      </c>
      <c r="E23" s="62">
        <f>Inputs!G10</f>
        <v>10</v>
      </c>
      <c r="F23" s="16">
        <f>E23*D23</f>
        <v>60</v>
      </c>
      <c r="G23" s="273">
        <f>IFERROR(F23/(HLOOKUP($C$2,Table2[[Year 1]:[Year 76]],8,FALSE)/Inputs!$C$3),"N/A")</f>
        <v>1.6666666666666667</v>
      </c>
      <c r="H23" s="17"/>
      <c r="I23" s="17"/>
      <c r="J23" s="17"/>
      <c r="K23" s="17"/>
      <c r="L23" s="17"/>
      <c r="M23" s="17"/>
      <c r="N23" s="17"/>
      <c r="O23" s="17"/>
      <c r="P23" s="17"/>
      <c r="Q23" s="17"/>
      <c r="R23" s="17"/>
    </row>
    <row r="24" spans="2:21" ht="16.5" customHeight="1" x14ac:dyDescent="0.3">
      <c r="B24" s="31" t="s">
        <v>66</v>
      </c>
      <c r="C24" s="25"/>
      <c r="D24" s="52"/>
      <c r="E24" s="62"/>
      <c r="F24" s="13">
        <v>300</v>
      </c>
      <c r="G24" s="273">
        <f>IFERROR(F24/(HLOOKUP($C$2,Table2[[Year 1]:[Year 76]],8,FALSE)/Inputs!$C$3),"N/A")</f>
        <v>8.3333333333333339</v>
      </c>
      <c r="S24" s="72" t="s">
        <v>95</v>
      </c>
    </row>
    <row r="25" spans="2:21" ht="16.5" customHeight="1" x14ac:dyDescent="0.3">
      <c r="B25" s="31" t="s">
        <v>65</v>
      </c>
      <c r="C25" s="25"/>
      <c r="D25" s="61"/>
      <c r="E25" s="57"/>
      <c r="F25" s="16">
        <f>IF(Investment!$L$5=Investment!$M$146,Investment!T30,Investment!T54)/Inputs!C3</f>
        <v>502</v>
      </c>
      <c r="G25" s="273">
        <f>IFERROR(F25/(HLOOKUP($C$2,Table2[[Year 1]:[Year 76]],8,FALSE)/Inputs!$C$3),"N/A")</f>
        <v>13.944444444444445</v>
      </c>
      <c r="S25" s="73" t="s">
        <v>99</v>
      </c>
    </row>
    <row r="26" spans="2:21" ht="16.5" customHeight="1" x14ac:dyDescent="0.3">
      <c r="B26" s="31" t="s">
        <v>63</v>
      </c>
      <c r="C26" s="25" t="s">
        <v>29</v>
      </c>
      <c r="D26" s="105">
        <v>0.02</v>
      </c>
      <c r="E26" s="57"/>
      <c r="F26" s="16">
        <f>IFERROR(D26*F5,"N/A")</f>
        <v>0</v>
      </c>
      <c r="G26" s="273">
        <f>IFERROR(F26/(HLOOKUP($C$2,Table2[[Year 1]:[Year 76]],8,FALSE)/Inputs!$C$3),"N/A")</f>
        <v>0</v>
      </c>
      <c r="Q26" s="4"/>
      <c r="R26" s="4"/>
      <c r="S26" s="4"/>
    </row>
    <row r="27" spans="2:21" ht="16.5" customHeight="1" x14ac:dyDescent="0.3">
      <c r="B27" s="31" t="s">
        <v>64</v>
      </c>
      <c r="C27" s="25" t="s">
        <v>29</v>
      </c>
      <c r="D27" s="105">
        <v>0.03</v>
      </c>
      <c r="E27" s="57"/>
      <c r="F27" s="16">
        <f>IFERROR(D27*F6,"N/A")</f>
        <v>108.05283071668094</v>
      </c>
      <c r="G27" s="273">
        <f>IFERROR(F27/(HLOOKUP($C$2,Table2[[Year 1]:[Year 76]],8,FALSE)/Inputs!$C$3),"N/A")</f>
        <v>3.0014675199078038</v>
      </c>
      <c r="Q27" s="4"/>
      <c r="R27" s="4"/>
      <c r="S27" s="4"/>
    </row>
    <row r="28" spans="2:21" ht="16.5" customHeight="1" x14ac:dyDescent="0.3">
      <c r="B28" s="31" t="s">
        <v>463</v>
      </c>
      <c r="C28" s="25"/>
      <c r="D28" s="61"/>
      <c r="E28" s="57"/>
      <c r="F28" s="13"/>
      <c r="G28" s="273">
        <f>IFERROR(F28/(HLOOKUP($C$2,Table2[[Year 1]:[Year 76]],8,FALSE)/Inputs!$C$3),"N/A")</f>
        <v>0</v>
      </c>
      <c r="Q28" s="4"/>
      <c r="R28" s="4"/>
      <c r="S28" s="4"/>
    </row>
    <row r="29" spans="2:21" ht="16.5" customHeight="1" x14ac:dyDescent="0.3">
      <c r="B29" s="31" t="s">
        <v>9</v>
      </c>
      <c r="C29" s="57"/>
      <c r="D29" s="57"/>
      <c r="E29" s="57"/>
      <c r="F29" s="13">
        <v>10</v>
      </c>
      <c r="G29" s="273">
        <f>IFERROR(F29/(HLOOKUP($C$2,Table2[[Year 1]:[Year 76]],8,FALSE)/Inputs!$C$3),"N/A")</f>
        <v>0.27777777777777779</v>
      </c>
      <c r="Q29" s="4"/>
      <c r="R29" s="4"/>
      <c r="S29" s="4"/>
    </row>
    <row r="30" spans="2:21" ht="16.5" customHeight="1" x14ac:dyDescent="0.3">
      <c r="B30" s="31" t="s">
        <v>13</v>
      </c>
      <c r="C30" s="57"/>
      <c r="D30" s="57"/>
      <c r="E30" s="57"/>
      <c r="F30" s="13">
        <v>10</v>
      </c>
      <c r="G30" s="273">
        <f>IFERROR(F30/(HLOOKUP($C$2,Table2[[Year 1]:[Year 76]],8,FALSE)/Inputs!$C$3),"N/A")</f>
        <v>0.27777777777777779</v>
      </c>
      <c r="Q30" s="4"/>
      <c r="R30" s="4"/>
      <c r="S30" s="4"/>
    </row>
    <row r="31" spans="2:21" ht="16.5" customHeight="1" x14ac:dyDescent="0.3">
      <c r="B31" s="31" t="s">
        <v>22</v>
      </c>
      <c r="C31" s="58" t="s">
        <v>7</v>
      </c>
      <c r="D31" s="66">
        <f>Inputs!K8</f>
        <v>0.08</v>
      </c>
      <c r="E31" s="57"/>
      <c r="F31" s="15">
        <f>SUM(F10:F30)*D31*(6/12)</f>
        <v>73.651827542451571</v>
      </c>
      <c r="G31" s="274">
        <f>IFERROR(F31/(HLOOKUP($C$2,Table2[[Year 1]:[Year 76]],8,FALSE)/Inputs!$C$3),"N/A")</f>
        <v>2.0458840984014324</v>
      </c>
      <c r="Q31" s="4"/>
      <c r="R31" s="4"/>
      <c r="S31" s="4"/>
    </row>
    <row r="32" spans="2:21" ht="16.5" customHeight="1" x14ac:dyDescent="0.3">
      <c r="B32" s="33"/>
      <c r="C32" s="17"/>
      <c r="D32" s="17"/>
      <c r="E32" s="17" t="s">
        <v>10</v>
      </c>
      <c r="F32" s="275">
        <f>SUM(F10,F17,F19:F31)</f>
        <v>1914.947516103741</v>
      </c>
      <c r="G32" s="236">
        <f>IFERROR(F32/(HLOOKUP($C$2,Table2[[Year 1]:[Year 76]],8,FALSE)/Inputs!$C$3),"N/A")</f>
        <v>53.192986558437248</v>
      </c>
      <c r="Q32" s="4"/>
      <c r="R32" s="4"/>
      <c r="S32" s="4"/>
    </row>
    <row r="33" spans="2:21" x14ac:dyDescent="0.3">
      <c r="B33" s="42"/>
      <c r="C33" s="11"/>
      <c r="D33" s="11"/>
      <c r="E33" s="11"/>
      <c r="F33" s="15"/>
      <c r="G33" s="54"/>
      <c r="S33" s="4"/>
      <c r="T33" s="4"/>
      <c r="U33" s="4"/>
    </row>
    <row r="34" spans="2:21" x14ac:dyDescent="0.3">
      <c r="B34" s="26" t="s">
        <v>4</v>
      </c>
      <c r="C34" s="40" t="s">
        <v>25</v>
      </c>
      <c r="D34" s="40" t="s">
        <v>209</v>
      </c>
      <c r="E34" s="40" t="s">
        <v>24</v>
      </c>
      <c r="F34" s="41" t="s">
        <v>388</v>
      </c>
      <c r="G34" s="43" t="s">
        <v>43</v>
      </c>
      <c r="S34" s="4"/>
      <c r="T34" s="4"/>
      <c r="U34" s="4"/>
    </row>
    <row r="35" spans="2:21" x14ac:dyDescent="0.3">
      <c r="B35" s="33" t="s">
        <v>54</v>
      </c>
      <c r="F35" s="16">
        <f>SUM(Inputs!AA14:AA18)/Inputs!$C$3</f>
        <v>787.03500000000008</v>
      </c>
      <c r="G35" s="273">
        <f>IFERROR(F35/(HLOOKUP($C$2,Table2[[Year 1]:[Year 76]],8,FALSE)/Inputs!$C$3),"N/A")</f>
        <v>21.862083333333334</v>
      </c>
      <c r="H35" s="6"/>
      <c r="I35" s="6"/>
      <c r="S35" s="4"/>
      <c r="T35" s="4"/>
      <c r="U35" s="4"/>
    </row>
    <row r="36" spans="2:21" x14ac:dyDescent="0.3">
      <c r="B36" s="33" t="s">
        <v>26</v>
      </c>
      <c r="C36" s="58" t="s">
        <v>7</v>
      </c>
      <c r="D36" s="66">
        <f>Inputs!K9</f>
        <v>7.0000000000000007E-2</v>
      </c>
      <c r="F36" s="16">
        <f>SUM(Inputs!AB14:AB18)/Inputs!$C$3</f>
        <v>388.84125</v>
      </c>
      <c r="G36" s="273">
        <f>IFERROR(F36/(HLOOKUP($C$2,Table2[[Year 1]:[Year 76]],8,FALSE)/Inputs!$C$3),"N/A")</f>
        <v>10.801145833333333</v>
      </c>
      <c r="H36" s="6"/>
      <c r="I36" s="6"/>
      <c r="S36" s="4"/>
      <c r="T36" s="4"/>
      <c r="U36" s="4"/>
    </row>
    <row r="37" spans="2:21" x14ac:dyDescent="0.3">
      <c r="B37" s="33" t="s">
        <v>34</v>
      </c>
      <c r="C37" s="58"/>
      <c r="D37" s="59"/>
      <c r="F37" s="13">
        <v>100</v>
      </c>
      <c r="G37" s="273">
        <f>IFERROR(F37/(HLOOKUP($C$2,Table2[[Year 1]:[Year 76]],8,FALSE)/Inputs!$C$3),"N/A")</f>
        <v>2.7777777777777777</v>
      </c>
      <c r="H37" s="6"/>
      <c r="I37" s="6"/>
      <c r="S37" s="4"/>
      <c r="T37" s="4"/>
      <c r="U37" s="4"/>
    </row>
    <row r="38" spans="2:21" x14ac:dyDescent="0.3">
      <c r="B38" s="34" t="s">
        <v>27</v>
      </c>
      <c r="C38" s="58"/>
      <c r="D38" s="59"/>
      <c r="F38" s="12">
        <v>200</v>
      </c>
      <c r="G38" s="274">
        <f>IFERROR(F38/(HLOOKUP($C$2,Table2[[Year 1]:[Year 76]],8,FALSE)/Inputs!$C$3),"N/A")</f>
        <v>5.5555555555555554</v>
      </c>
      <c r="H38" s="4"/>
      <c r="I38" s="4"/>
      <c r="S38" s="4"/>
    </row>
    <row r="39" spans="2:21" x14ac:dyDescent="0.3">
      <c r="B39" s="32"/>
      <c r="C39" s="17"/>
      <c r="D39" s="17"/>
      <c r="E39" s="17" t="s">
        <v>11</v>
      </c>
      <c r="F39" s="275">
        <f>SUM(F35:F38)</f>
        <v>1475.87625</v>
      </c>
      <c r="G39" s="236">
        <f>IFERROR(F39/(HLOOKUP($C$2,Table2[[Year 1]:[Year 76]],8,FALSE)/Inputs!$C$3),"N/A")</f>
        <v>40.996562500000003</v>
      </c>
      <c r="H39" s="4"/>
      <c r="I39" s="4"/>
      <c r="S39" s="4"/>
    </row>
    <row r="40" spans="2:21" x14ac:dyDescent="0.3">
      <c r="B40" s="35"/>
      <c r="C40" s="21"/>
      <c r="D40" s="21"/>
      <c r="E40" s="21" t="s">
        <v>12</v>
      </c>
      <c r="F40" s="276">
        <f>F39+F32</f>
        <v>3390.823766103741</v>
      </c>
      <c r="G40" s="237">
        <f>IFERROR(F40/(HLOOKUP($C$2,Table2[[Year 1]:[Year 76]],8,FALSE)/Inputs!$C$3),"N/A")</f>
        <v>94.189549058437251</v>
      </c>
      <c r="H40" s="4"/>
      <c r="I40" s="4"/>
      <c r="Q40" s="70"/>
      <c r="R40" s="69"/>
    </row>
    <row r="41" spans="2:21" x14ac:dyDescent="0.3">
      <c r="B41" s="32"/>
      <c r="C41" s="17"/>
      <c r="D41" s="179" t="s">
        <v>536</v>
      </c>
      <c r="E41" t="s">
        <v>51</v>
      </c>
      <c r="F41" s="96">
        <f>F40/(SUMPRODUCT(D5:D6,E5:E6)/SUM(D5:D6))</f>
        <v>565.13729435062351</v>
      </c>
      <c r="G41" s="269">
        <f>IFERROR(F41/(HLOOKUP($C$2,Table2[[Year 1]:[Year 76]],8,FALSE)/Inputs!$C$3),"N/A")</f>
        <v>15.698258176406208</v>
      </c>
      <c r="H41" s="4"/>
      <c r="I41" s="4"/>
      <c r="Q41" s="70"/>
      <c r="R41" s="69"/>
    </row>
    <row r="42" spans="2:21" x14ac:dyDescent="0.3">
      <c r="B42" s="35"/>
      <c r="C42" s="21"/>
      <c r="D42" s="46" t="s">
        <v>537</v>
      </c>
      <c r="E42" s="11" t="s">
        <v>538</v>
      </c>
      <c r="F42" s="270">
        <f>F40/SUM(D5:D6)</f>
        <v>5.6486097943980038</v>
      </c>
      <c r="G42" s="240"/>
      <c r="H42" s="4"/>
      <c r="I42" s="4"/>
      <c r="R42" s="69"/>
    </row>
    <row r="43" spans="2:21" x14ac:dyDescent="0.3">
      <c r="B43" s="36"/>
      <c r="C43" s="9"/>
      <c r="D43" s="9"/>
      <c r="E43" s="179" t="s">
        <v>14</v>
      </c>
      <c r="F43" s="277">
        <f>F7-F32</f>
        <v>1686.8135077856239</v>
      </c>
      <c r="G43" s="239">
        <f>G7-G32</f>
        <v>46.855930771822891</v>
      </c>
      <c r="H43" s="4"/>
      <c r="I43" s="4"/>
      <c r="R43" s="69"/>
      <c r="T43" s="71"/>
    </row>
    <row r="44" spans="2:21" x14ac:dyDescent="0.3">
      <c r="B44" s="36"/>
      <c r="C44" s="9"/>
      <c r="D44" s="9"/>
      <c r="E44" s="179" t="s">
        <v>15</v>
      </c>
      <c r="F44" s="277">
        <f>F7-F40</f>
        <v>210.93725778562384</v>
      </c>
      <c r="G44" s="239">
        <f>G7-G40</f>
        <v>5.8593682718228877</v>
      </c>
      <c r="H44" s="4"/>
      <c r="I44" s="4"/>
      <c r="T44" s="24"/>
    </row>
    <row r="45" spans="2:21" ht="17.25" thickBot="1" x14ac:dyDescent="0.35">
      <c r="B45" s="37"/>
      <c r="C45" s="38"/>
      <c r="D45" s="38"/>
      <c r="E45" s="80" t="s">
        <v>222</v>
      </c>
      <c r="F45" s="39"/>
      <c r="G45" s="81">
        <f>'Long-term Model Summary'!O4</f>
        <v>2052</v>
      </c>
      <c r="H45" s="4"/>
      <c r="I45" s="4"/>
    </row>
    <row r="46" spans="2:21" x14ac:dyDescent="0.3"/>
  </sheetData>
  <protectedRanges>
    <protectedRange sqref="C2 D11:D16 D18:D23 D26:D27 F24 F28:F30 F37:F38" name="Grey cells"/>
  </protectedRanges>
  <mergeCells count="3">
    <mergeCell ref="B1:G1"/>
    <mergeCell ref="K4:Q4"/>
    <mergeCell ref="I6:I12"/>
  </mergeCells>
  <dataValidations count="1">
    <dataValidation type="list" allowBlank="1" showInputMessage="1" showErrorMessage="1" sqref="B49:E57" xr:uid="{E0037867-8B41-46CB-8838-4BE4A1137FA5}">
      <formula1>Implements</formula1>
    </dataValidation>
  </dataValidations>
  <pageMargins left="0.7" right="0.7" top="0.75" bottom="0.75" header="0.3" footer="0.3"/>
  <pageSetup scale="35" orientation="portrait" r:id="rId1"/>
  <rowBreaks count="1" manualBreakCount="1">
    <brk id="47" max="16383" man="1"/>
  </rowBreaks>
  <colBreaks count="2" manualBreakCount="2">
    <brk id="7" max="1048575" man="1"/>
    <brk id="1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157F1B1-6BBA-4A24-ABFB-BB546E412177}">
          <x14:formula1>
            <xm:f>'Long-term Model Summary'!$K$38:$CH$38</xm:f>
          </x14:formula1>
          <xm:sqref>C2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78D4D-95F7-495F-892A-BB5EC902424B}">
  <dimension ref="A1:CH71"/>
  <sheetViews>
    <sheetView workbookViewId="0">
      <selection sqref="A1:H1"/>
    </sheetView>
  </sheetViews>
  <sheetFormatPr defaultRowHeight="16.5" zeroHeight="1" x14ac:dyDescent="0.3"/>
  <cols>
    <col min="2" max="2" width="10.75" bestFit="1" customWidth="1"/>
    <col min="3" max="3" width="13" customWidth="1"/>
    <col min="4" max="4" width="6.5" bestFit="1" customWidth="1"/>
    <col min="5" max="5" width="9.875" bestFit="1" customWidth="1"/>
    <col min="6" max="6" width="10.25" bestFit="1" customWidth="1"/>
    <col min="7" max="7" width="10.5" bestFit="1" customWidth="1"/>
    <col min="8" max="8" width="13" customWidth="1"/>
    <col min="10" max="10" width="30.625" bestFit="1" customWidth="1"/>
    <col min="11" max="15" width="12.625" customWidth="1"/>
    <col min="16" max="16" width="16" bestFit="1" customWidth="1"/>
    <col min="17" max="86" width="12.625" customWidth="1"/>
  </cols>
  <sheetData>
    <row r="1" spans="1:86" ht="17.25" x14ac:dyDescent="0.3">
      <c r="A1" s="334" t="s">
        <v>549</v>
      </c>
      <c r="B1" s="335"/>
      <c r="C1" s="335"/>
      <c r="D1" s="335"/>
      <c r="E1" s="335"/>
      <c r="F1" s="335"/>
      <c r="G1" s="335"/>
      <c r="H1" s="336"/>
      <c r="J1" s="171" t="s">
        <v>510</v>
      </c>
      <c r="K1" s="172"/>
      <c r="L1" s="172"/>
      <c r="M1" s="173"/>
      <c r="N1" s="102"/>
      <c r="O1" s="102"/>
      <c r="P1" s="102" t="s">
        <v>374</v>
      </c>
      <c r="Q1" s="102" t="s">
        <v>375</v>
      </c>
    </row>
    <row r="2" spans="1:86" ht="33" x14ac:dyDescent="0.3">
      <c r="A2" s="183" t="s">
        <v>181</v>
      </c>
      <c r="B2" s="186" t="s">
        <v>187</v>
      </c>
      <c r="C2" s="186" t="s">
        <v>466</v>
      </c>
      <c r="D2" s="186" t="s">
        <v>467</v>
      </c>
      <c r="E2" s="186" t="s">
        <v>468</v>
      </c>
      <c r="F2" s="186" t="s">
        <v>469</v>
      </c>
      <c r="G2" s="186" t="s">
        <v>470</v>
      </c>
      <c r="H2" s="187" t="s">
        <v>471</v>
      </c>
      <c r="J2" s="33" t="s">
        <v>169</v>
      </c>
      <c r="L2" s="285">
        <v>2025</v>
      </c>
      <c r="M2" s="254"/>
      <c r="N2" s="102"/>
      <c r="O2" s="102"/>
      <c r="P2" s="102">
        <f>_xlfn.MINIFS(K9:CH9,K14:CH14,"&gt;"&amp;L3)</f>
        <v>0</v>
      </c>
      <c r="Q2" s="102">
        <f>L3-L2</f>
        <v>9</v>
      </c>
    </row>
    <row r="3" spans="1:86" x14ac:dyDescent="0.3">
      <c r="A3" s="33" t="s">
        <v>227</v>
      </c>
      <c r="B3">
        <f t="shared" ref="B3:B12" si="0">HLOOKUP($A3,$K$8:$CH$28,9,FALSE)/10</f>
        <v>54</v>
      </c>
      <c r="C3" s="85">
        <f>HLOOKUP($A3,$K$8:$CH$28,13,FALSE)/(B3*Inputs!$C$3)</f>
        <v>0</v>
      </c>
      <c r="D3" s="181">
        <f>C3*B3</f>
        <v>0</v>
      </c>
      <c r="E3" s="188">
        <f t="shared" ref="E3:E12" si="1">HLOOKUP($A3,$K$8:$CH$28,14,FALSE)/10</f>
        <v>0</v>
      </c>
      <c r="F3" s="188">
        <f>HLOOKUP($A3,$K$8:$CH$28,19,FALSE)/10</f>
        <v>1950.4961250000001</v>
      </c>
      <c r="G3" s="188">
        <f>HLOOKUP($A3,$K$8:$CH$28,20,FALSE)/10</f>
        <v>-1950.4961250000001</v>
      </c>
      <c r="H3" s="189">
        <f>HLOOKUP($A3,$K$8:$CH$28,21,FALSE)/Inputs!$C$3</f>
        <v>-13062.011025</v>
      </c>
      <c r="J3" s="33" t="s">
        <v>374</v>
      </c>
      <c r="L3" s="106">
        <f>_xlfn.MINIFS(K19:CH19,K20:CH20,"&gt;0")</f>
        <v>2034</v>
      </c>
      <c r="M3" s="254"/>
      <c r="N3" s="102"/>
      <c r="O3" s="102"/>
      <c r="P3" s="102"/>
      <c r="Q3" s="102"/>
    </row>
    <row r="4" spans="1:86" x14ac:dyDescent="0.3">
      <c r="A4" s="33" t="s">
        <v>232</v>
      </c>
      <c r="B4">
        <f t="shared" si="0"/>
        <v>54</v>
      </c>
      <c r="C4" s="85">
        <f>HLOOKUP($A4,$K$8:$CH$28,13,FALSE)/(B4*Inputs!$C$3)</f>
        <v>6.5699057702154082</v>
      </c>
      <c r="D4" s="181">
        <f t="shared" ref="D4:D12" si="2">C4*B4</f>
        <v>354.77491159163202</v>
      </c>
      <c r="E4" s="188">
        <f t="shared" si="1"/>
        <v>1170.7572082523859</v>
      </c>
      <c r="F4" s="188">
        <f>HLOOKUP($A4,$K$8:$CH$28,19,FALSE)/10</f>
        <v>3191.7601413497009</v>
      </c>
      <c r="G4" s="188">
        <f t="shared" ref="G4:G12" si="3">HLOOKUP($A4,$K$8:$CH$28,20,FALSE)/10</f>
        <v>-2021.002933097315</v>
      </c>
      <c r="H4" s="189">
        <f>HLOOKUP($A4,$K$8:$CH$28,21,FALSE)/Inputs!$C$3</f>
        <v>-22884.998458097311</v>
      </c>
      <c r="J4" s="33" t="s">
        <v>203</v>
      </c>
      <c r="L4" s="100">
        <v>0.2</v>
      </c>
      <c r="M4" s="254"/>
      <c r="N4" s="102" t="s">
        <v>491</v>
      </c>
      <c r="O4" s="102">
        <f>_xlfn.MINIFS(K19:CH19,K28:CH28,"&gt;0")</f>
        <v>2052</v>
      </c>
      <c r="P4" s="102"/>
      <c r="Q4" s="102"/>
    </row>
    <row r="5" spans="1:86" x14ac:dyDescent="0.3">
      <c r="A5" s="33" t="s">
        <v>237</v>
      </c>
      <c r="B5">
        <f t="shared" si="0"/>
        <v>36</v>
      </c>
      <c r="C5" s="85">
        <f>HLOOKUP($A5,$K$8:$CH$28,13,FALSE)/(B5*Inputs!$C$3)</f>
        <v>30.317853736442462</v>
      </c>
      <c r="D5" s="181">
        <f t="shared" si="2"/>
        <v>1091.4427345119286</v>
      </c>
      <c r="E5" s="188">
        <f t="shared" si="1"/>
        <v>3601.7610238893649</v>
      </c>
      <c r="F5" s="188">
        <f t="shared" ref="F5:F12" si="4">HLOOKUP($A5,$K$8:$CH$28,19,FALSE)/10</f>
        <v>3390.8237661037406</v>
      </c>
      <c r="G5" s="188">
        <f t="shared" si="3"/>
        <v>210.93725778562438</v>
      </c>
      <c r="H5" s="189">
        <f>HLOOKUP($A5,$K$8:$CH$28,21,FALSE)/Inputs!$C$3</f>
        <v>-29179.438257557755</v>
      </c>
      <c r="J5" s="33" t="s">
        <v>208</v>
      </c>
      <c r="K5" s="3">
        <v>15</v>
      </c>
      <c r="L5" s="3">
        <v>30</v>
      </c>
      <c r="M5" s="260">
        <v>60</v>
      </c>
    </row>
    <row r="6" spans="1:86" ht="17.25" thickBot="1" x14ac:dyDescent="0.35">
      <c r="A6" s="33" t="s">
        <v>242</v>
      </c>
      <c r="B6">
        <f t="shared" si="0"/>
        <v>36</v>
      </c>
      <c r="C6" s="85">
        <f>HLOOKUP($A6,$K$8:$CH$28,13,FALSE)/(B6*Inputs!$C$3)</f>
        <v>46.817232943014865</v>
      </c>
      <c r="D6" s="181">
        <f t="shared" si="2"/>
        <v>1685.4203859485351</v>
      </c>
      <c r="E6" s="188">
        <f t="shared" si="1"/>
        <v>5561.8872736301664</v>
      </c>
      <c r="F6" s="188">
        <f t="shared" si="4"/>
        <v>3523.4055176809052</v>
      </c>
      <c r="G6" s="188">
        <f t="shared" si="3"/>
        <v>2038.4817559492615</v>
      </c>
      <c r="H6" s="189">
        <f>HLOOKUP($A6,$K$8:$CH$28,21,FALSE)/Inputs!$C$3</f>
        <v>-20906.276109802584</v>
      </c>
      <c r="J6" s="98" t="s">
        <v>215</v>
      </c>
      <c r="K6" s="90">
        <v>0.32</v>
      </c>
      <c r="L6" s="90">
        <v>0.04</v>
      </c>
      <c r="M6" s="286">
        <v>0.01</v>
      </c>
    </row>
    <row r="7" spans="1:86" x14ac:dyDescent="0.3">
      <c r="A7" s="33" t="s">
        <v>247</v>
      </c>
      <c r="B7">
        <f t="shared" si="0"/>
        <v>36</v>
      </c>
      <c r="C7" s="85">
        <f>HLOOKUP($A7,$K$8:$CH$28,13,FALSE)/(B7*Inputs!$C$3)</f>
        <v>56.96032234245596</v>
      </c>
      <c r="D7" s="181">
        <f t="shared" si="2"/>
        <v>2050.5716043284147</v>
      </c>
      <c r="E7" s="188">
        <f t="shared" si="1"/>
        <v>6766.8862942837686</v>
      </c>
      <c r="F7" s="188">
        <f t="shared" si="4"/>
        <v>3604.910921135478</v>
      </c>
      <c r="G7" s="188">
        <f t="shared" si="3"/>
        <v>3161.9753731482911</v>
      </c>
      <c r="H7" s="189">
        <f>HLOOKUP($A7,$K$8:$CH$28,21,FALSE)/Inputs!$C$3</f>
        <v>-7431.4562292945648</v>
      </c>
      <c r="O7" s="17"/>
    </row>
    <row r="8" spans="1:86" x14ac:dyDescent="0.3">
      <c r="A8" s="33" t="s">
        <v>252</v>
      </c>
      <c r="B8">
        <f t="shared" si="0"/>
        <v>36</v>
      </c>
      <c r="C8" s="85">
        <f>HLOOKUP($A8,$K$8:$CH$28,13,FALSE)/(B8*Inputs!$C$3)</f>
        <v>69.300941499588603</v>
      </c>
      <c r="D8" s="181">
        <f t="shared" si="2"/>
        <v>2494.8338939851897</v>
      </c>
      <c r="E8" s="188">
        <f t="shared" si="1"/>
        <v>8232.9518501511266</v>
      </c>
      <c r="F8" s="188">
        <f t="shared" si="4"/>
        <v>3704.0747068097671</v>
      </c>
      <c r="G8" s="188">
        <f t="shared" si="3"/>
        <v>4528.8771433413594</v>
      </c>
      <c r="H8" s="189">
        <f>HLOOKUP($A8,$K$8:$CH$28,21,FALSE)/Inputs!$C$3</f>
        <v>12371.97562905859</v>
      </c>
      <c r="J8" s="287" t="s">
        <v>181</v>
      </c>
      <c r="K8" s="287" t="s">
        <v>223</v>
      </c>
      <c r="L8" s="287" t="s">
        <v>224</v>
      </c>
      <c r="M8" s="287" t="s">
        <v>225</v>
      </c>
      <c r="N8" s="287" t="s">
        <v>226</v>
      </c>
      <c r="O8" s="287" t="s">
        <v>227</v>
      </c>
      <c r="P8" s="287" t="s">
        <v>228</v>
      </c>
      <c r="Q8" s="287" t="s">
        <v>229</v>
      </c>
      <c r="R8" s="287" t="s">
        <v>230</v>
      </c>
      <c r="S8" s="287" t="s">
        <v>231</v>
      </c>
      <c r="T8" s="287" t="s">
        <v>232</v>
      </c>
      <c r="U8" s="287" t="s">
        <v>233</v>
      </c>
      <c r="V8" s="287" t="s">
        <v>234</v>
      </c>
      <c r="W8" s="287" t="s">
        <v>235</v>
      </c>
      <c r="X8" s="287" t="s">
        <v>236</v>
      </c>
      <c r="Y8" s="287" t="s">
        <v>237</v>
      </c>
      <c r="Z8" s="287" t="s">
        <v>238</v>
      </c>
      <c r="AA8" s="287" t="s">
        <v>239</v>
      </c>
      <c r="AB8" s="287" t="s">
        <v>240</v>
      </c>
      <c r="AC8" s="287" t="s">
        <v>241</v>
      </c>
      <c r="AD8" s="287" t="s">
        <v>242</v>
      </c>
      <c r="AE8" s="287" t="s">
        <v>243</v>
      </c>
      <c r="AF8" s="287" t="s">
        <v>244</v>
      </c>
      <c r="AG8" s="287" t="s">
        <v>245</v>
      </c>
      <c r="AH8" s="287" t="s">
        <v>246</v>
      </c>
      <c r="AI8" s="287" t="s">
        <v>247</v>
      </c>
      <c r="AJ8" s="287" t="s">
        <v>248</v>
      </c>
      <c r="AK8" s="287" t="s">
        <v>249</v>
      </c>
      <c r="AL8" s="287" t="s">
        <v>250</v>
      </c>
      <c r="AM8" s="287" t="s">
        <v>251</v>
      </c>
      <c r="AN8" s="287" t="s">
        <v>252</v>
      </c>
      <c r="AO8" s="287" t="s">
        <v>253</v>
      </c>
      <c r="AP8" s="287" t="s">
        <v>254</v>
      </c>
      <c r="AQ8" s="287" t="s">
        <v>255</v>
      </c>
      <c r="AR8" s="287" t="s">
        <v>256</v>
      </c>
      <c r="AS8" s="287" t="s">
        <v>257</v>
      </c>
      <c r="AT8" s="287" t="s">
        <v>258</v>
      </c>
      <c r="AU8" s="287" t="s">
        <v>259</v>
      </c>
      <c r="AV8" s="287" t="s">
        <v>260</v>
      </c>
      <c r="AW8" s="287" t="s">
        <v>261</v>
      </c>
      <c r="AX8" s="287" t="s">
        <v>262</v>
      </c>
      <c r="AY8" s="287" t="s">
        <v>263</v>
      </c>
      <c r="AZ8" s="287" t="s">
        <v>264</v>
      </c>
      <c r="BA8" s="287" t="s">
        <v>265</v>
      </c>
      <c r="BB8" s="287" t="s">
        <v>266</v>
      </c>
      <c r="BC8" s="287" t="s">
        <v>267</v>
      </c>
      <c r="BD8" s="287" t="s">
        <v>268</v>
      </c>
      <c r="BE8" s="287" t="s">
        <v>269</v>
      </c>
      <c r="BF8" s="287" t="s">
        <v>270</v>
      </c>
      <c r="BG8" s="287" t="s">
        <v>271</v>
      </c>
      <c r="BH8" s="287" t="s">
        <v>272</v>
      </c>
      <c r="BI8" s="287" t="s">
        <v>273</v>
      </c>
      <c r="BJ8" s="287" t="s">
        <v>274</v>
      </c>
      <c r="BK8" s="287" t="s">
        <v>275</v>
      </c>
      <c r="BL8" s="287" t="s">
        <v>276</v>
      </c>
      <c r="BM8" s="287" t="s">
        <v>277</v>
      </c>
      <c r="BN8" s="287" t="s">
        <v>278</v>
      </c>
      <c r="BO8" s="287" t="s">
        <v>279</v>
      </c>
      <c r="BP8" s="287" t="s">
        <v>280</v>
      </c>
      <c r="BQ8" s="287" t="s">
        <v>281</v>
      </c>
      <c r="BR8" s="287" t="s">
        <v>282</v>
      </c>
      <c r="BS8" s="287" t="s">
        <v>283</v>
      </c>
      <c r="BT8" s="287" t="s">
        <v>284</v>
      </c>
      <c r="BU8" s="287" t="s">
        <v>285</v>
      </c>
      <c r="BV8" s="287" t="s">
        <v>286</v>
      </c>
      <c r="BW8" s="287" t="s">
        <v>287</v>
      </c>
      <c r="BX8" s="287" t="s">
        <v>288</v>
      </c>
      <c r="BY8" s="287" t="s">
        <v>289</v>
      </c>
      <c r="BZ8" s="287" t="s">
        <v>290</v>
      </c>
      <c r="CA8" s="287" t="s">
        <v>291</v>
      </c>
      <c r="CB8" s="287" t="s">
        <v>292</v>
      </c>
      <c r="CC8" s="287" t="s">
        <v>293</v>
      </c>
      <c r="CD8" s="287" t="s">
        <v>294</v>
      </c>
      <c r="CE8" s="287" t="s">
        <v>295</v>
      </c>
      <c r="CF8" s="287" t="s">
        <v>296</v>
      </c>
      <c r="CG8" s="287" t="s">
        <v>297</v>
      </c>
      <c r="CH8" s="287" t="s">
        <v>298</v>
      </c>
    </row>
    <row r="9" spans="1:86" x14ac:dyDescent="0.3">
      <c r="A9" s="33" t="s">
        <v>262</v>
      </c>
      <c r="B9">
        <f t="shared" si="0"/>
        <v>36</v>
      </c>
      <c r="C9" s="85">
        <f>HLOOKUP($A9,$K$8:$CH$28,13,FALSE)/(B9*Inputs!$C$3)</f>
        <v>78.825155865310933</v>
      </c>
      <c r="D9" s="181">
        <f t="shared" si="2"/>
        <v>2837.7056111511938</v>
      </c>
      <c r="E9" s="188">
        <f t="shared" si="1"/>
        <v>9364.4285167989401</v>
      </c>
      <c r="F9" s="188">
        <f t="shared" si="4"/>
        <v>3780.6071027983912</v>
      </c>
      <c r="G9" s="188">
        <f t="shared" si="3"/>
        <v>5583.8214140005484</v>
      </c>
      <c r="H9" s="189">
        <f>HLOOKUP($A9,$K$8:$CH$28,21,FALSE)/Inputs!$C$3</f>
        <v>64421.078702279206</v>
      </c>
      <c r="J9" s="288"/>
      <c r="K9" s="288">
        <f>L2</f>
        <v>2025</v>
      </c>
      <c r="L9" s="288">
        <f>K9+1</f>
        <v>2026</v>
      </c>
      <c r="M9" s="288">
        <f t="shared" ref="M9:AJ9" si="5">L9+1</f>
        <v>2027</v>
      </c>
      <c r="N9" s="288">
        <f t="shared" si="5"/>
        <v>2028</v>
      </c>
      <c r="O9" s="288">
        <f t="shared" si="5"/>
        <v>2029</v>
      </c>
      <c r="P9" s="288">
        <f t="shared" si="5"/>
        <v>2030</v>
      </c>
      <c r="Q9" s="288">
        <f t="shared" si="5"/>
        <v>2031</v>
      </c>
      <c r="R9" s="288">
        <f t="shared" si="5"/>
        <v>2032</v>
      </c>
      <c r="S9" s="288">
        <f t="shared" si="5"/>
        <v>2033</v>
      </c>
      <c r="T9" s="288">
        <f t="shared" si="5"/>
        <v>2034</v>
      </c>
      <c r="U9" s="288">
        <f t="shared" si="5"/>
        <v>2035</v>
      </c>
      <c r="V9" s="288">
        <f t="shared" si="5"/>
        <v>2036</v>
      </c>
      <c r="W9" s="288">
        <f t="shared" si="5"/>
        <v>2037</v>
      </c>
      <c r="X9" s="288">
        <f t="shared" si="5"/>
        <v>2038</v>
      </c>
      <c r="Y9" s="288">
        <f t="shared" si="5"/>
        <v>2039</v>
      </c>
      <c r="Z9" s="288">
        <f t="shared" si="5"/>
        <v>2040</v>
      </c>
      <c r="AA9" s="288">
        <f t="shared" si="5"/>
        <v>2041</v>
      </c>
      <c r="AB9" s="288">
        <f t="shared" si="5"/>
        <v>2042</v>
      </c>
      <c r="AC9" s="288">
        <f t="shared" si="5"/>
        <v>2043</v>
      </c>
      <c r="AD9" s="288">
        <f t="shared" si="5"/>
        <v>2044</v>
      </c>
      <c r="AE9" s="288">
        <f t="shared" si="5"/>
        <v>2045</v>
      </c>
      <c r="AF9" s="288">
        <f t="shared" si="5"/>
        <v>2046</v>
      </c>
      <c r="AG9" s="288">
        <f t="shared" si="5"/>
        <v>2047</v>
      </c>
      <c r="AH9" s="288">
        <f t="shared" si="5"/>
        <v>2048</v>
      </c>
      <c r="AI9" s="288">
        <f t="shared" si="5"/>
        <v>2049</v>
      </c>
      <c r="AJ9" s="288">
        <f t="shared" si="5"/>
        <v>2050</v>
      </c>
      <c r="AK9" s="289">
        <f t="shared" ref="AK9:CD9" si="6">AJ9+1</f>
        <v>2051</v>
      </c>
      <c r="AL9" s="289">
        <f t="shared" si="6"/>
        <v>2052</v>
      </c>
      <c r="AM9" s="289">
        <f t="shared" si="6"/>
        <v>2053</v>
      </c>
      <c r="AN9" s="289">
        <f t="shared" si="6"/>
        <v>2054</v>
      </c>
      <c r="AO9" s="289">
        <f t="shared" si="6"/>
        <v>2055</v>
      </c>
      <c r="AP9" s="289">
        <f t="shared" si="6"/>
        <v>2056</v>
      </c>
      <c r="AQ9" s="289">
        <f t="shared" si="6"/>
        <v>2057</v>
      </c>
      <c r="AR9" s="289">
        <f t="shared" si="6"/>
        <v>2058</v>
      </c>
      <c r="AS9" s="289">
        <f t="shared" si="6"/>
        <v>2059</v>
      </c>
      <c r="AT9" s="289">
        <f t="shared" si="6"/>
        <v>2060</v>
      </c>
      <c r="AU9" s="289">
        <f t="shared" si="6"/>
        <v>2061</v>
      </c>
      <c r="AV9" s="289">
        <f t="shared" si="6"/>
        <v>2062</v>
      </c>
      <c r="AW9" s="289">
        <f t="shared" si="6"/>
        <v>2063</v>
      </c>
      <c r="AX9" s="289">
        <f t="shared" si="6"/>
        <v>2064</v>
      </c>
      <c r="AY9" s="289">
        <f t="shared" si="6"/>
        <v>2065</v>
      </c>
      <c r="AZ9" s="289">
        <f t="shared" si="6"/>
        <v>2066</v>
      </c>
      <c r="BA9" s="289">
        <f t="shared" si="6"/>
        <v>2067</v>
      </c>
      <c r="BB9" s="289">
        <f t="shared" si="6"/>
        <v>2068</v>
      </c>
      <c r="BC9" s="289">
        <f t="shared" si="6"/>
        <v>2069</v>
      </c>
      <c r="BD9" s="289">
        <f t="shared" si="6"/>
        <v>2070</v>
      </c>
      <c r="BE9" s="289">
        <f t="shared" si="6"/>
        <v>2071</v>
      </c>
      <c r="BF9" s="289">
        <f t="shared" si="6"/>
        <v>2072</v>
      </c>
      <c r="BG9" s="289">
        <f t="shared" si="6"/>
        <v>2073</v>
      </c>
      <c r="BH9" s="289">
        <f t="shared" si="6"/>
        <v>2074</v>
      </c>
      <c r="BI9" s="289">
        <f t="shared" si="6"/>
        <v>2075</v>
      </c>
      <c r="BJ9" s="289">
        <f t="shared" si="6"/>
        <v>2076</v>
      </c>
      <c r="BK9" s="289">
        <f t="shared" si="6"/>
        <v>2077</v>
      </c>
      <c r="BL9" s="289">
        <f t="shared" si="6"/>
        <v>2078</v>
      </c>
      <c r="BM9" s="289">
        <f t="shared" si="6"/>
        <v>2079</v>
      </c>
      <c r="BN9" s="289">
        <f t="shared" si="6"/>
        <v>2080</v>
      </c>
      <c r="BO9" s="289">
        <f t="shared" si="6"/>
        <v>2081</v>
      </c>
      <c r="BP9" s="289">
        <f t="shared" si="6"/>
        <v>2082</v>
      </c>
      <c r="BQ9" s="289">
        <f t="shared" si="6"/>
        <v>2083</v>
      </c>
      <c r="BR9" s="289">
        <f t="shared" si="6"/>
        <v>2084</v>
      </c>
      <c r="BS9" s="289">
        <f t="shared" si="6"/>
        <v>2085</v>
      </c>
      <c r="BT9" s="289">
        <f t="shared" si="6"/>
        <v>2086</v>
      </c>
      <c r="BU9" s="289">
        <f t="shared" si="6"/>
        <v>2087</v>
      </c>
      <c r="BV9" s="289">
        <f t="shared" si="6"/>
        <v>2088</v>
      </c>
      <c r="BW9" s="289">
        <f t="shared" si="6"/>
        <v>2089</v>
      </c>
      <c r="BX9" s="289">
        <f t="shared" si="6"/>
        <v>2090</v>
      </c>
      <c r="BY9" s="289">
        <f t="shared" si="6"/>
        <v>2091</v>
      </c>
      <c r="BZ9" s="289">
        <f t="shared" si="6"/>
        <v>2092</v>
      </c>
      <c r="CA9" s="289">
        <f t="shared" si="6"/>
        <v>2093</v>
      </c>
      <c r="CB9" s="289">
        <f t="shared" si="6"/>
        <v>2094</v>
      </c>
      <c r="CC9" s="289">
        <f t="shared" si="6"/>
        <v>2095</v>
      </c>
      <c r="CD9" s="289">
        <f t="shared" si="6"/>
        <v>2096</v>
      </c>
      <c r="CE9" s="289">
        <f t="shared" ref="CE9:CH9" si="7">CD9+1</f>
        <v>2097</v>
      </c>
      <c r="CF9" s="289">
        <f t="shared" si="7"/>
        <v>2098</v>
      </c>
      <c r="CG9" s="289">
        <f t="shared" si="7"/>
        <v>2099</v>
      </c>
      <c r="CH9" s="289">
        <f t="shared" si="7"/>
        <v>2100</v>
      </c>
    </row>
    <row r="10" spans="1:86" x14ac:dyDescent="0.3">
      <c r="A10" s="33" t="s">
        <v>272</v>
      </c>
      <c r="B10">
        <f t="shared" si="0"/>
        <v>27</v>
      </c>
      <c r="C10" s="85">
        <f>HLOOKUP($A10,$K$8:$CH$28,13,FALSE)/(B10*Inputs!$C$3)</f>
        <v>104.31399362519724</v>
      </c>
      <c r="D10" s="181">
        <f t="shared" si="2"/>
        <v>2816.4778278803255</v>
      </c>
      <c r="E10" s="188">
        <f t="shared" si="1"/>
        <v>9294.3768320050767</v>
      </c>
      <c r="F10" s="188">
        <f t="shared" si="4"/>
        <v>3732.5788492945007</v>
      </c>
      <c r="G10" s="188">
        <f t="shared" si="3"/>
        <v>5561.7979827105755</v>
      </c>
      <c r="H10" s="189">
        <f>HLOOKUP($A10,$K$8:$CH$28,21,FALSE)/Inputs!$C$3</f>
        <v>116229.93232918219</v>
      </c>
      <c r="J10" t="s">
        <v>186</v>
      </c>
      <c r="K10" s="75">
        <f>K12*(1-L70)</f>
        <v>0.15120000000000003</v>
      </c>
      <c r="L10" s="75">
        <f t="shared" ref="L10:AQ10" si="8">L12*(1-$L$70)</f>
        <v>0.19958400000000004</v>
      </c>
      <c r="M10" s="75">
        <f t="shared" si="8"/>
        <v>0.26345088000000005</v>
      </c>
      <c r="N10" s="75">
        <f t="shared" si="8"/>
        <v>0.34775516160000008</v>
      </c>
      <c r="O10" s="75">
        <f t="shared" si="8"/>
        <v>0.45903681331200014</v>
      </c>
      <c r="P10" s="75">
        <f t="shared" si="8"/>
        <v>0.60592859357184026</v>
      </c>
      <c r="Q10" s="75">
        <f t="shared" si="8"/>
        <v>0.79982574351482905</v>
      </c>
      <c r="R10" s="75">
        <f t="shared" si="8"/>
        <v>1.0557699814395745</v>
      </c>
      <c r="S10" s="75">
        <f t="shared" si="8"/>
        <v>1.3936163755002382</v>
      </c>
      <c r="T10" s="75">
        <f t="shared" si="8"/>
        <v>1.8395736156603144</v>
      </c>
      <c r="U10" s="75">
        <f t="shared" si="8"/>
        <v>2.4282371726716154</v>
      </c>
      <c r="V10" s="75">
        <f t="shared" si="8"/>
        <v>3.2052730679265329</v>
      </c>
      <c r="W10" s="75">
        <f t="shared" si="8"/>
        <v>4.8720150632483294</v>
      </c>
      <c r="X10" s="75">
        <f t="shared" si="8"/>
        <v>6.4310598834877952</v>
      </c>
      <c r="Y10" s="75">
        <f t="shared" si="8"/>
        <v>8.4889990462038902</v>
      </c>
      <c r="Z10" s="75">
        <f t="shared" si="8"/>
        <v>11.205478740989134</v>
      </c>
      <c r="AA10" s="75">
        <f t="shared" si="8"/>
        <v>11.653697890628701</v>
      </c>
      <c r="AB10" s="75">
        <f t="shared" si="8"/>
        <v>12.119845806253849</v>
      </c>
      <c r="AC10" s="75">
        <f t="shared" si="8"/>
        <v>12.604639638504004</v>
      </c>
      <c r="AD10" s="75">
        <f t="shared" si="8"/>
        <v>13.108825224044164</v>
      </c>
      <c r="AE10" s="75">
        <f t="shared" si="8"/>
        <v>13.633178233005932</v>
      </c>
      <c r="AF10" s="75">
        <f t="shared" si="8"/>
        <v>14.17850536232617</v>
      </c>
      <c r="AG10" s="75">
        <f t="shared" si="8"/>
        <v>14.745645576819218</v>
      </c>
      <c r="AH10" s="75">
        <f t="shared" si="8"/>
        <v>15.335471399891988</v>
      </c>
      <c r="AI10" s="75">
        <f t="shared" si="8"/>
        <v>15.948890255887669</v>
      </c>
      <c r="AJ10" s="75">
        <f t="shared" si="8"/>
        <v>16.586845866123173</v>
      </c>
      <c r="AK10" s="75">
        <f t="shared" si="8"/>
        <v>17.250319700768102</v>
      </c>
      <c r="AL10" s="75">
        <f t="shared" si="8"/>
        <v>17.940332488798827</v>
      </c>
      <c r="AM10" s="75">
        <f t="shared" si="8"/>
        <v>18.65794578835078</v>
      </c>
      <c r="AN10" s="75">
        <f t="shared" si="8"/>
        <v>19.404263619884812</v>
      </c>
      <c r="AO10" s="75">
        <f t="shared" si="8"/>
        <v>20.180434164680207</v>
      </c>
      <c r="AP10" s="75">
        <f t="shared" si="8"/>
        <v>20.382238506327006</v>
      </c>
      <c r="AQ10" s="75">
        <f t="shared" si="8"/>
        <v>20.586060891390279</v>
      </c>
      <c r="AR10" s="75">
        <f t="shared" ref="AR10:BW10" si="9">AR12*(1-$L$70)</f>
        <v>20.791921500304177</v>
      </c>
      <c r="AS10" s="75">
        <f t="shared" si="9"/>
        <v>20.999840715307219</v>
      </c>
      <c r="AT10" s="75">
        <f t="shared" si="9"/>
        <v>21.209839122460295</v>
      </c>
      <c r="AU10" s="75">
        <f t="shared" si="9"/>
        <v>21.421937513684895</v>
      </c>
      <c r="AV10" s="75">
        <f t="shared" si="9"/>
        <v>21.636156888821748</v>
      </c>
      <c r="AW10" s="75">
        <f t="shared" si="9"/>
        <v>21.852518457709962</v>
      </c>
      <c r="AX10" s="75">
        <f t="shared" si="9"/>
        <v>22.071043642287062</v>
      </c>
      <c r="AY10" s="75">
        <f t="shared" si="9"/>
        <v>22.291754078709936</v>
      </c>
      <c r="AZ10" s="75">
        <f t="shared" si="9"/>
        <v>26.973022435239027</v>
      </c>
      <c r="BA10" s="75">
        <f t="shared" si="9"/>
        <v>27.242752659591417</v>
      </c>
      <c r="BB10" s="75">
        <f t="shared" si="9"/>
        <v>27.51518018618733</v>
      </c>
      <c r="BC10" s="75">
        <f t="shared" si="9"/>
        <v>27.790331988049203</v>
      </c>
      <c r="BD10" s="75">
        <f t="shared" si="9"/>
        <v>28.068235307929697</v>
      </c>
      <c r="BE10" s="75">
        <f t="shared" si="9"/>
        <v>28.348917661008993</v>
      </c>
      <c r="BF10" s="75">
        <f t="shared" si="9"/>
        <v>28.632406837619083</v>
      </c>
      <c r="BG10" s="75">
        <f t="shared" si="9"/>
        <v>28.918730905995275</v>
      </c>
      <c r="BH10" s="75">
        <f t="shared" si="9"/>
        <v>29.20791821505523</v>
      </c>
      <c r="BI10" s="75">
        <f t="shared" si="9"/>
        <v>29.499997397205785</v>
      </c>
      <c r="BJ10" s="75">
        <f t="shared" si="9"/>
        <v>29.794997371177843</v>
      </c>
      <c r="BK10" s="75">
        <f t="shared" si="9"/>
        <v>30.09294734488962</v>
      </c>
      <c r="BL10" s="75">
        <f t="shared" si="9"/>
        <v>30.393876818338516</v>
      </c>
      <c r="BM10" s="75">
        <f t="shared" si="9"/>
        <v>30.697815586521902</v>
      </c>
      <c r="BN10" s="75">
        <f t="shared" si="9"/>
        <v>31.004793742387118</v>
      </c>
      <c r="BO10" s="75">
        <f t="shared" si="9"/>
        <v>31.314841679810993</v>
      </c>
      <c r="BP10" s="75">
        <f t="shared" si="9"/>
        <v>31.627990096609103</v>
      </c>
      <c r="BQ10" s="75">
        <f t="shared" si="9"/>
        <v>31.944269997575194</v>
      </c>
      <c r="BR10" s="75">
        <f t="shared" si="9"/>
        <v>32.26371269755095</v>
      </c>
      <c r="BS10" s="75">
        <f t="shared" si="9"/>
        <v>32.586349824526458</v>
      </c>
      <c r="BT10" s="75">
        <f t="shared" si="9"/>
        <v>32.586349824526458</v>
      </c>
      <c r="BU10" s="75">
        <f t="shared" si="9"/>
        <v>32.586349824526458</v>
      </c>
      <c r="BV10" s="75">
        <f t="shared" si="9"/>
        <v>32.586349824526458</v>
      </c>
      <c r="BW10" s="75">
        <f t="shared" si="9"/>
        <v>32.586349824526458</v>
      </c>
      <c r="BX10" s="75">
        <f t="shared" ref="BX10:CH10" si="10">BX12*(1-$L$70)</f>
        <v>32.586349824526458</v>
      </c>
      <c r="BY10" s="75">
        <f t="shared" si="10"/>
        <v>32.586349824526458</v>
      </c>
      <c r="BZ10" s="75">
        <f t="shared" si="10"/>
        <v>32.586349824526458</v>
      </c>
      <c r="CA10" s="75">
        <f t="shared" si="10"/>
        <v>32.586349824526458</v>
      </c>
      <c r="CB10" s="75">
        <f t="shared" si="10"/>
        <v>32.586349824526458</v>
      </c>
      <c r="CC10" s="75">
        <f t="shared" si="10"/>
        <v>32.586349824526458</v>
      </c>
      <c r="CD10" s="75">
        <f t="shared" si="10"/>
        <v>32.586349824526458</v>
      </c>
      <c r="CE10" s="75">
        <f t="shared" si="10"/>
        <v>32.586349824526458</v>
      </c>
      <c r="CF10" s="75">
        <f t="shared" si="10"/>
        <v>32.586349824526458</v>
      </c>
      <c r="CG10" s="75">
        <f t="shared" si="10"/>
        <v>32.586349824526458</v>
      </c>
      <c r="CH10" s="75">
        <f t="shared" si="10"/>
        <v>32.586349824526458</v>
      </c>
    </row>
    <row r="11" spans="1:86" x14ac:dyDescent="0.3">
      <c r="A11" s="33" t="s">
        <v>282</v>
      </c>
      <c r="B11">
        <f t="shared" si="0"/>
        <v>27</v>
      </c>
      <c r="C11" s="85">
        <f>HLOOKUP($A11,$K$8:$CH$28,13,FALSE)/(B11*Inputs!$C$3)</f>
        <v>115.22754534839623</v>
      </c>
      <c r="D11" s="181">
        <f t="shared" si="2"/>
        <v>3111.1437244066983</v>
      </c>
      <c r="E11" s="188">
        <f t="shared" si="1"/>
        <v>10266.774290542106</v>
      </c>
      <c r="F11" s="188">
        <f t="shared" si="4"/>
        <v>3798.3512240581522</v>
      </c>
      <c r="G11" s="188">
        <f t="shared" si="3"/>
        <v>6468.4230664839533</v>
      </c>
      <c r="H11" s="189">
        <f>HLOOKUP($A11,$K$8:$CH$28,21,FALSE)/Inputs!$C$3</f>
        <v>176759.93745695995</v>
      </c>
      <c r="J11" t="s">
        <v>180</v>
      </c>
      <c r="K11" s="290">
        <f>K10*K$16</f>
        <v>81.64800000000001</v>
      </c>
      <c r="L11" s="290">
        <f t="shared" ref="L11:AJ11" si="11">L10*L$16</f>
        <v>107.77536000000002</v>
      </c>
      <c r="M11" s="290">
        <f t="shared" si="11"/>
        <v>142.26347520000002</v>
      </c>
      <c r="N11" s="290">
        <f t="shared" si="11"/>
        <v>187.78778726400006</v>
      </c>
      <c r="O11" s="290">
        <f t="shared" si="11"/>
        <v>247.87987918848006</v>
      </c>
      <c r="P11" s="290">
        <f t="shared" si="11"/>
        <v>327.20144052879374</v>
      </c>
      <c r="Q11" s="290">
        <f t="shared" si="11"/>
        <v>431.90590149800767</v>
      </c>
      <c r="R11" s="290">
        <f t="shared" si="11"/>
        <v>570.11578997737024</v>
      </c>
      <c r="S11" s="290">
        <f t="shared" si="11"/>
        <v>752.55284277012868</v>
      </c>
      <c r="T11" s="290">
        <f t="shared" si="11"/>
        <v>993.36975245656981</v>
      </c>
      <c r="U11" s="290">
        <f t="shared" si="11"/>
        <v>1311.2480732426723</v>
      </c>
      <c r="V11" s="290">
        <f t="shared" si="11"/>
        <v>1730.8474566803277</v>
      </c>
      <c r="W11" s="290">
        <f t="shared" si="11"/>
        <v>1753.9254227693987</v>
      </c>
      <c r="X11" s="290">
        <f t="shared" si="11"/>
        <v>2315.1815580556063</v>
      </c>
      <c r="Y11" s="290">
        <f t="shared" si="11"/>
        <v>3056.0396566334007</v>
      </c>
      <c r="Z11" s="290">
        <f t="shared" si="11"/>
        <v>4033.9723467560884</v>
      </c>
      <c r="AA11" s="290">
        <f t="shared" si="11"/>
        <v>4195.3312406263321</v>
      </c>
      <c r="AB11" s="290">
        <f t="shared" si="11"/>
        <v>4363.1444902513858</v>
      </c>
      <c r="AC11" s="290">
        <f t="shared" si="11"/>
        <v>4537.6702698614417</v>
      </c>
      <c r="AD11" s="290">
        <f t="shared" si="11"/>
        <v>4719.1770806558989</v>
      </c>
      <c r="AE11" s="290">
        <f t="shared" si="11"/>
        <v>4907.9441638821354</v>
      </c>
      <c r="AF11" s="290">
        <f t="shared" si="11"/>
        <v>5104.2619304374211</v>
      </c>
      <c r="AG11" s="290">
        <f t="shared" si="11"/>
        <v>5308.4324076549183</v>
      </c>
      <c r="AH11" s="290">
        <f t="shared" si="11"/>
        <v>5520.7697039611157</v>
      </c>
      <c r="AI11" s="290">
        <f t="shared" si="11"/>
        <v>5741.6004921195608</v>
      </c>
      <c r="AJ11" s="290">
        <f t="shared" si="11"/>
        <v>5971.2645118043429</v>
      </c>
      <c r="AK11" s="290">
        <f t="shared" ref="AK11" si="12">AK10*AK$16</f>
        <v>6210.1150922765173</v>
      </c>
      <c r="AL11" s="290">
        <f t="shared" ref="AL11" si="13">AL10*AL$16</f>
        <v>6458.5196959675777</v>
      </c>
      <c r="AM11" s="290">
        <f t="shared" ref="AM11" si="14">AM10*AM$16</f>
        <v>6716.8604838062811</v>
      </c>
      <c r="AN11" s="290">
        <f t="shared" ref="AN11" si="15">AN10*AN$16</f>
        <v>6985.534903158532</v>
      </c>
      <c r="AO11" s="290">
        <f t="shared" ref="AO11" si="16">AO10*AO$16</f>
        <v>7264.9562992848751</v>
      </c>
      <c r="AP11" s="290">
        <f t="shared" ref="AP11" si="17">AP10*AP$16</f>
        <v>7337.6058622777218</v>
      </c>
      <c r="AQ11" s="290">
        <f t="shared" ref="AQ11" si="18">AQ10*AQ$16</f>
        <v>7410.9819209005</v>
      </c>
      <c r="AR11" s="290">
        <f t="shared" ref="AR11" si="19">AR10*AR$16</f>
        <v>7485.0917401095039</v>
      </c>
      <c r="AS11" s="290">
        <f t="shared" ref="AS11" si="20">AS10*AS$16</f>
        <v>7559.942657510599</v>
      </c>
      <c r="AT11" s="290">
        <f t="shared" ref="AT11" si="21">AT10*AT$16</f>
        <v>7635.5420840857059</v>
      </c>
      <c r="AU11" s="290">
        <f t="shared" ref="AU11" si="22">AU10*AU$16</f>
        <v>7711.8975049265628</v>
      </c>
      <c r="AV11" s="290">
        <f t="shared" ref="AV11" si="23">AV10*AV$16</f>
        <v>7789.0164799758295</v>
      </c>
      <c r="AW11" s="290">
        <f t="shared" ref="AW11" si="24">AW10*AW$16</f>
        <v>7866.9066447755868</v>
      </c>
      <c r="AX11" s="290">
        <f t="shared" ref="AX11" si="25">AX10*AX$16</f>
        <v>7945.5757112233423</v>
      </c>
      <c r="AY11" s="290">
        <f t="shared" ref="AY11" si="26">AY10*AY$16</f>
        <v>8025.0314683355764</v>
      </c>
      <c r="AZ11" s="290">
        <f t="shared" ref="AZ11" si="27">AZ10*AZ$16</f>
        <v>7282.7160575145372</v>
      </c>
      <c r="BA11" s="290">
        <f t="shared" ref="BA11" si="28">BA10*BA$16</f>
        <v>7355.5432180896823</v>
      </c>
      <c r="BB11" s="290">
        <f t="shared" ref="BB11" si="29">BB10*BB$16</f>
        <v>7429.0986502705791</v>
      </c>
      <c r="BC11" s="290">
        <f t="shared" ref="BC11" si="30">BC10*BC$16</f>
        <v>7503.389636773285</v>
      </c>
      <c r="BD11" s="290">
        <f t="shared" ref="BD11" si="31">BD10*BD$16</f>
        <v>7578.4235331410182</v>
      </c>
      <c r="BE11" s="290">
        <f t="shared" ref="BE11" si="32">BE10*BE$16</f>
        <v>7654.2077684724281</v>
      </c>
      <c r="BF11" s="290">
        <f t="shared" ref="BF11" si="33">BF10*BF$16</f>
        <v>7730.7498461571522</v>
      </c>
      <c r="BG11" s="290">
        <f t="shared" ref="BG11" si="34">BG10*BG$16</f>
        <v>7808.0573446187245</v>
      </c>
      <c r="BH11" s="290">
        <f t="shared" ref="BH11" si="35">BH10*BH$16</f>
        <v>7886.1379180649119</v>
      </c>
      <c r="BI11" s="290">
        <f t="shared" ref="BI11" si="36">BI10*BI$16</f>
        <v>7964.999297245562</v>
      </c>
      <c r="BJ11" s="290">
        <f t="shared" ref="BJ11" si="37">BJ10*BJ$16</f>
        <v>8044.6492902180171</v>
      </c>
      <c r="BK11" s="290">
        <f t="shared" ref="BK11" si="38">BK10*BK$16</f>
        <v>8125.0957831201977</v>
      </c>
      <c r="BL11" s="290">
        <f t="shared" ref="BL11" si="39">BL10*BL$16</f>
        <v>8206.3467409513996</v>
      </c>
      <c r="BM11" s="290">
        <f t="shared" ref="BM11" si="40">BM10*BM$16</f>
        <v>8288.4102083609141</v>
      </c>
      <c r="BN11" s="290">
        <f t="shared" ref="BN11" si="41">BN10*BN$16</f>
        <v>8371.2943104445221</v>
      </c>
      <c r="BO11" s="290">
        <f t="shared" ref="BO11" si="42">BO10*BO$16</f>
        <v>8455.0072535489689</v>
      </c>
      <c r="BP11" s="290">
        <f t="shared" ref="BP11" si="43">BP10*BP$16</f>
        <v>8539.5573260844576</v>
      </c>
      <c r="BQ11" s="290">
        <f t="shared" ref="BQ11" si="44">BQ10*BQ$16</f>
        <v>8624.9528993453023</v>
      </c>
      <c r="BR11" s="290">
        <f t="shared" ref="BR11" si="45">BR10*BR$16</f>
        <v>8711.2024283387564</v>
      </c>
      <c r="BS11" s="290">
        <f t="shared" ref="BS11" si="46">BS10*BS$16</f>
        <v>8798.314452622144</v>
      </c>
      <c r="BT11" s="290">
        <f t="shared" ref="BT11" si="47">BT10*BT$16</f>
        <v>8798.314452622144</v>
      </c>
      <c r="BU11" s="290">
        <f t="shared" ref="BU11" si="48">BU10*BU$16</f>
        <v>8798.314452622144</v>
      </c>
      <c r="BV11" s="290">
        <f t="shared" ref="BV11" si="49">BV10*BV$16</f>
        <v>8798.314452622144</v>
      </c>
      <c r="BW11" s="290">
        <f t="shared" ref="BW11" si="50">BW10*BW$16</f>
        <v>8798.314452622144</v>
      </c>
      <c r="BX11" s="290">
        <f t="shared" ref="BX11" si="51">BX10*BX$16</f>
        <v>8798.314452622144</v>
      </c>
      <c r="BY11" s="290">
        <f t="shared" ref="BY11" si="52">BY10*BY$16</f>
        <v>8798.314452622144</v>
      </c>
      <c r="BZ11" s="290">
        <f t="shared" ref="BZ11" si="53">BZ10*BZ$16</f>
        <v>8798.314452622144</v>
      </c>
      <c r="CA11" s="290">
        <f t="shared" ref="CA11" si="54">CA10*CA$16</f>
        <v>8798.314452622144</v>
      </c>
      <c r="CB11" s="290">
        <f t="shared" ref="CB11" si="55">CB10*CB$16</f>
        <v>8798.314452622144</v>
      </c>
      <c r="CC11" s="290">
        <f t="shared" ref="CC11" si="56">CC10*CC$16</f>
        <v>8798.314452622144</v>
      </c>
      <c r="CD11" s="290">
        <f t="shared" ref="CD11" si="57">CD10*CD$16</f>
        <v>8798.314452622144</v>
      </c>
      <c r="CE11" s="290">
        <f t="shared" ref="CE11" si="58">CE10*CE$16</f>
        <v>8798.314452622144</v>
      </c>
      <c r="CF11" s="290">
        <f t="shared" ref="CF11" si="59">CF10*CF$16</f>
        <v>8798.314452622144</v>
      </c>
      <c r="CG11" s="290">
        <f t="shared" ref="CG11" si="60">CG10*CG$16</f>
        <v>8798.314452622144</v>
      </c>
      <c r="CH11" s="290">
        <f t="shared" ref="CH11" si="61">CH10*CH$16</f>
        <v>8798.314452622144</v>
      </c>
    </row>
    <row r="12" spans="1:86" ht="17.25" thickBot="1" x14ac:dyDescent="0.35">
      <c r="A12" s="98" t="s">
        <v>292</v>
      </c>
      <c r="B12" s="86">
        <f t="shared" si="0"/>
        <v>27</v>
      </c>
      <c r="C12" s="91">
        <f>HLOOKUP($A12,$K$8:$CH$28,13,FALSE)/(B12*Inputs!$C$3)</f>
        <v>116.3798208018802</v>
      </c>
      <c r="D12" s="185">
        <f t="shared" si="2"/>
        <v>3142.2551616507653</v>
      </c>
      <c r="E12" s="190">
        <f t="shared" si="1"/>
        <v>10369.442033447527</v>
      </c>
      <c r="F12" s="190">
        <f t="shared" si="4"/>
        <v>3805.2956079654004</v>
      </c>
      <c r="G12" s="190">
        <f t="shared" si="3"/>
        <v>6564.1464254821276</v>
      </c>
      <c r="H12" s="191">
        <f>HLOOKUP($A12,$K$8:$CH$28,21,FALSE)/Inputs!$C$3</f>
        <v>242401.40171178113</v>
      </c>
      <c r="J12" t="s">
        <v>185</v>
      </c>
      <c r="K12" s="291">
        <v>0.54</v>
      </c>
      <c r="L12" s="75">
        <f>K12*(1+IF(K9-$L$2&lt;$K$5,$K$6,IF(K9-$L$2&lt;$L$5,$L$6,IF(K9-$L$2&lt;$M$5,$M$6,0))))+IF(L16&lt;K16,Table2[[#This Row],[Year 1]]*$L$4,0)</f>
        <v>0.7128000000000001</v>
      </c>
      <c r="M12" s="75">
        <f>L12*(1+IF(L9-$L$2&lt;$K$5,$K$6,IF(L9-$L$2&lt;$L$5,$L$6,IF(L9-$L$2&lt;$M$5,$M$6,0))))+IF(M16&lt;L16,Table2[[#This Row],[Year 2]]*$L$4,0)</f>
        <v>0.94089600000000018</v>
      </c>
      <c r="N12" s="75">
        <f>M12*(1+IF(M9-$L$2&lt;$K$5,$K$6,IF(M9-$L$2&lt;$L$5,$L$6,IF(M9-$L$2&lt;$M$5,$M$6,0))))+IF(N16&lt;M16,Table2[[#This Row],[Year 3]]*$L$4,0)</f>
        <v>1.2419827200000002</v>
      </c>
      <c r="O12" s="75">
        <f>N12*(1+IF(N9-$L$2&lt;$K$5,$K$6,IF(N9-$L$2&lt;$L$5,$L$6,IF(N9-$L$2&lt;$M$5,$M$6,0))))+IF(O16&lt;N16,Table2[[#This Row],[Year 4]]*$L$4,0)</f>
        <v>1.6394171904000003</v>
      </c>
      <c r="P12" s="75">
        <f>O12*(1+IF(O9-$L$2&lt;$K$5,$K$6,IF(O9-$L$2&lt;$L$5,$L$6,IF(O9-$L$2&lt;$M$5,$M$6,0))))+IF(P16&lt;O16,Table2[[#This Row],[Year 5]]*$L$4,0)</f>
        <v>2.1640306913280005</v>
      </c>
      <c r="Q12" s="75">
        <f>P12*(1+IF(P9-$L$2&lt;$K$5,$K$6,IF(P9-$L$2&lt;$L$5,$L$6,IF(P9-$L$2&lt;$M$5,$M$6,0))))+IF(Q16&lt;P16,Table2[[#This Row],[Year 6]]*$L$4,0)</f>
        <v>2.8565205125529607</v>
      </c>
      <c r="R12" s="75">
        <f>Q12*(1+IF(Q9-$L$2&lt;$K$5,$K$6,IF(Q9-$L$2&lt;$L$5,$L$6,IF(Q9-$L$2&lt;$M$5,$M$6,0))))+IF(R16&lt;Q16,Table2[[#This Row],[Year 7]]*$L$4,0)</f>
        <v>3.7706070765699082</v>
      </c>
      <c r="S12" s="75">
        <f>R12*(1+IF(R9-$L$2&lt;$K$5,$K$6,IF(R9-$L$2&lt;$L$5,$L$6,IF(R9-$L$2&lt;$M$5,$M$6,0))))+IF(S16&lt;R16,Table2[[#This Row],[Year 8]]*$L$4,0)</f>
        <v>4.9772013410722789</v>
      </c>
      <c r="T12" s="75">
        <f>S12*(1+IF(S9-$L$2&lt;$K$5,$K$6,IF(S9-$L$2&lt;$L$5,$L$6,IF(S9-$L$2&lt;$M$5,$M$6,0))))+IF(T16&lt;S16,Table2[[#This Row],[Year 9]]*$L$4,0)</f>
        <v>6.5699057702154082</v>
      </c>
      <c r="U12" s="75">
        <f>T12*(1+IF(T9-$L$2&lt;$K$5,$K$6,IF(T9-$L$2&lt;$L$5,$L$6,IF(T9-$L$2&lt;$M$5,$M$6,0))))+IF(U16&lt;T16,Table2[[#This Row],[Year 10]]*$L$4,0)</f>
        <v>8.67227561668434</v>
      </c>
      <c r="V12" s="75">
        <f>U12*(1+IF(U9-$L$2&lt;$K$5,$K$6,IF(U9-$L$2&lt;$L$5,$L$6,IF(U9-$L$2&lt;$M$5,$M$6,0))))+IF(V16&lt;U16,Table2[[#This Row],[Year 11]]*$L$4,0)</f>
        <v>11.44740381402333</v>
      </c>
      <c r="W12" s="75">
        <f>V12*(1+IF(V9-$L$2&lt;$K$5,$K$6,IF(V9-$L$2&lt;$L$5,$L$6,IF(V9-$L$2&lt;$M$5,$M$6,0))))+IF(W16&lt;V16,Table2[[#This Row],[Year 12]]*$L$4,0)</f>
        <v>17.400053797315461</v>
      </c>
      <c r="X12" s="75">
        <f>W12*(1+IF(W9-$L$2&lt;$K$5,$K$6,IF(W9-$L$2&lt;$L$5,$L$6,IF(W9-$L$2&lt;$M$5,$M$6,0))))+IF(X16&lt;W16,Table2[[#This Row],[Year 13]]*$L$4,0)</f>
        <v>22.968071012456409</v>
      </c>
      <c r="Y12" s="75">
        <f>X12*(1+IF(X9-$L$2&lt;$K$5,$K$6,IF(X9-$L$2&lt;$L$5,$L$6,IF(X9-$L$2&lt;$M$5,$M$6,0))))+IF(Y16&lt;X16,Table2[[#This Row],[Year 14]]*$L$4,0)</f>
        <v>30.317853736442462</v>
      </c>
      <c r="Z12" s="75">
        <f>Y12*(1+IF(Y9-$L$2&lt;$K$5,$K$6,IF(Y9-$L$2&lt;$L$5,$L$6,IF(Y9-$L$2&lt;$M$5,$M$6,0))))+IF(Z16&lt;Y16,Table2[[#This Row],[Year 15]]*$L$4,0)</f>
        <v>40.019566932104048</v>
      </c>
      <c r="AA12" s="75">
        <f>Z12*(1+IF(Z9-$L$2&lt;$K$5,$K$6,IF(Z9-$L$2&lt;$L$5,$L$6,IF(Z9-$L$2&lt;$M$5,$M$6,0))))+IF(AA16&lt;Z16,Table2[[#This Row],[Year 16]]*$L$4,0)</f>
        <v>41.620349609388214</v>
      </c>
      <c r="AB12" s="75">
        <f>AA12*(1+IF(AA9-$L$2&lt;$K$5,$K$6,IF(AA9-$L$2&lt;$L$5,$L$6,IF(AA9-$L$2&lt;$M$5,$M$6,0))))+IF(AB16&lt;AA16,Table2[[#This Row],[Year 17]]*$L$4,0)</f>
        <v>43.285163593763741</v>
      </c>
      <c r="AC12" s="75">
        <f>AB12*(1+IF(AB9-$L$2&lt;$K$5,$K$6,IF(AB9-$L$2&lt;$L$5,$L$6,IF(AB9-$L$2&lt;$M$5,$M$6,0))))+IF(AC16&lt;AB16,Table2[[#This Row],[Year 18]]*$L$4,0)</f>
        <v>45.016570137514293</v>
      </c>
      <c r="AD12" s="75">
        <f>AC12*(1+IF(AC9-$L$2&lt;$K$5,$K$6,IF(AC9-$L$2&lt;$L$5,$L$6,IF(AC9-$L$2&lt;$M$5,$M$6,0))))+IF(AD16&lt;AC16,Table2[[#This Row],[Year 19]]*$L$4,0)</f>
        <v>46.817232943014865</v>
      </c>
      <c r="AE12" s="75">
        <f>AD12*(1+IF(AD9-$L$2&lt;$K$5,$K$6,IF(AD9-$L$2&lt;$L$5,$L$6,IF(AD9-$L$2&lt;$M$5,$M$6,0))))+IF(AE16&lt;AD16,Table2[[#This Row],[Year 20]]*$L$4,0)</f>
        <v>48.689922260735464</v>
      </c>
      <c r="AF12" s="75">
        <f>AE12*(1+IF(AE9-$L$2&lt;$K$5,$K$6,IF(AE9-$L$2&lt;$L$5,$L$6,IF(AE9-$L$2&lt;$M$5,$M$6,0))))+IF(AF16&lt;AE16,Table2[[#This Row],[Year 21]]*$L$4,0)</f>
        <v>50.637519151164888</v>
      </c>
      <c r="AG12" s="75">
        <f>AF12*(1+IF(AF9-$L$2&lt;$K$5,$K$6,IF(AF9-$L$2&lt;$L$5,$L$6,IF(AF9-$L$2&lt;$M$5,$M$6,0))))+IF(AG16&lt;AF16,Table2[[#This Row],[Year 22]]*$L$4,0)</f>
        <v>52.663019917211486</v>
      </c>
      <c r="AH12" s="75">
        <f>AG12*(1+IF(AG9-$L$2&lt;$K$5,$K$6,IF(AG9-$L$2&lt;$L$5,$L$6,IF(AG9-$L$2&lt;$M$5,$M$6,0))))+IF(AH16&lt;AG16,Table2[[#This Row],[Year 23]]*$L$4,0)</f>
        <v>54.76954071389995</v>
      </c>
      <c r="AI12" s="75">
        <f>AH12*(1+IF(AH9-$L$2&lt;$K$5,$K$6,IF(AH9-$L$2&lt;$L$5,$L$6,IF(AH9-$L$2&lt;$M$5,$M$6,0))))+IF(AI16&lt;AH16,Table2[[#This Row],[Year 24]]*$L$4,0)</f>
        <v>56.960322342455953</v>
      </c>
      <c r="AJ12" s="75">
        <f>AI12*(1+IF(AI9-$L$2&lt;$K$5,$K$6,IF(AI9-$L$2&lt;$L$5,$L$6,IF(AI9-$L$2&lt;$M$5,$M$6,0))))+IF(AJ16&lt;AI16,Table2[[#This Row],[Year 25]]*$L$4,0)</f>
        <v>59.238735236154191</v>
      </c>
      <c r="AK12" s="75">
        <f>AJ12*(1+IF(AJ9-$L$2&lt;$K$5,$K$6,IF(AJ9-$L$2&lt;$L$5,$L$6,IF(AJ9-$L$2&lt;$M$5,$M$6,0))))+IF(AK16&lt;AJ16,Table2[[#This Row],[Year 26]]*$L$4,0)</f>
        <v>61.608284645600364</v>
      </c>
      <c r="AL12" s="75">
        <f>AK12*(1+IF(AK9-$L$2&lt;$K$5,$K$6,IF(AK9-$L$2&lt;$L$5,$L$6,IF(AK9-$L$2&lt;$M$5,$M$6,0))))+IF(AL16&lt;AK16,Table2[[#This Row],[Year 27]]*$L$4,0)</f>
        <v>64.072616031424374</v>
      </c>
      <c r="AM12" s="75">
        <f>AL12*(1+IF(AL9-$L$2&lt;$K$5,$K$6,IF(AL9-$L$2&lt;$L$5,$L$6,IF(AL9-$L$2&lt;$M$5,$M$6,0))))+IF(AM16&lt;AL16,Table2[[#This Row],[Year 28]]*$L$4,0)</f>
        <v>66.635520672681352</v>
      </c>
      <c r="AN12" s="75">
        <f>AM12*(1+IF(AM9-$L$2&lt;$K$5,$K$6,IF(AM9-$L$2&lt;$L$5,$L$6,IF(AM9-$L$2&lt;$M$5,$M$6,0))))+IF(AN16&lt;AM16,Table2[[#This Row],[Year 29]]*$L$4,0)</f>
        <v>69.300941499588603</v>
      </c>
      <c r="AO12" s="75">
        <f>AN12*(1+IF(AN9-$L$2&lt;$K$5,$K$6,IF(AN9-$L$2&lt;$L$5,$L$6,IF(AN9-$L$2&lt;$M$5,$M$6,0))))+IF(AO16&lt;AN16,Table2[[#This Row],[Year 30]]*$L$4,0)</f>
        <v>72.072979159572157</v>
      </c>
      <c r="AP12" s="75">
        <f>AO12*(1+IF(AO9-$L$2&lt;$K$5,$K$6,IF(AO9-$L$2&lt;$L$5,$L$6,IF(AO9-$L$2&lt;$M$5,$M$6,0))))+IF(AP16&lt;AO16,Table2[[#This Row],[Year 31]]*$L$4,0)</f>
        <v>72.793708951167872</v>
      </c>
      <c r="AQ12" s="75">
        <f>AP12*(1+IF(AP9-$L$2&lt;$K$5,$K$6,IF(AP9-$L$2&lt;$L$5,$L$6,IF(AP9-$L$2&lt;$M$5,$M$6,0))))+IF(AQ16&lt;AP16,Table2[[#This Row],[Year 32]]*$L$4,0)</f>
        <v>73.521646040679556</v>
      </c>
      <c r="AR12" s="75">
        <f>AQ12*(1+IF(AQ9-$L$2&lt;$K$5,$K$6,IF(AQ9-$L$2&lt;$L$5,$L$6,IF(AQ9-$L$2&lt;$M$5,$M$6,0))))+IF(AR16&lt;AQ16,Table2[[#This Row],[Year 33]]*$L$4,0)</f>
        <v>74.256862501086346</v>
      </c>
      <c r="AS12" s="75">
        <f>AR12*(1+IF(AR9-$L$2&lt;$K$5,$K$6,IF(AR9-$L$2&lt;$L$5,$L$6,IF(AR9-$L$2&lt;$M$5,$M$6,0))))+IF(AS16&lt;AR16,Table2[[#This Row],[Year 34]]*$L$4,0)</f>
        <v>74.999431126097207</v>
      </c>
      <c r="AT12" s="75">
        <f>AS12*(1+IF(AS9-$L$2&lt;$K$5,$K$6,IF(AS9-$L$2&lt;$L$5,$L$6,IF(AS9-$L$2&lt;$M$5,$M$6,0))))+IF(AT16&lt;AS16,Table2[[#This Row],[Year 35]]*$L$4,0)</f>
        <v>75.749425437358184</v>
      </c>
      <c r="AU12" s="75">
        <f>AT12*(1+IF(AT9-$L$2&lt;$K$5,$K$6,IF(AT9-$L$2&lt;$L$5,$L$6,IF(AT9-$L$2&lt;$M$5,$M$6,0))))+IF(AU16&lt;AT16,Table2[[#This Row],[Year 36]]*$L$4,0)</f>
        <v>76.506919691731767</v>
      </c>
      <c r="AV12" s="75">
        <f>AU12*(1+IF(AU9-$L$2&lt;$K$5,$K$6,IF(AU9-$L$2&lt;$L$5,$L$6,IF(AU9-$L$2&lt;$M$5,$M$6,0))))+IF(AV16&lt;AU16,Table2[[#This Row],[Year 37]]*$L$4,0)</f>
        <v>77.271988888649091</v>
      </c>
      <c r="AW12" s="75">
        <f>AV12*(1+IF(AV9-$L$2&lt;$K$5,$K$6,IF(AV9-$L$2&lt;$L$5,$L$6,IF(AV9-$L$2&lt;$M$5,$M$6,0))))+IF(AW16&lt;AV16,Table2[[#This Row],[Year 38]]*$L$4,0)</f>
        <v>78.044708777535575</v>
      </c>
      <c r="AX12" s="75">
        <f>AW12*(1+IF(AW9-$L$2&lt;$K$5,$K$6,IF(AW9-$L$2&lt;$L$5,$L$6,IF(AW9-$L$2&lt;$M$5,$M$6,0))))+IF(AX16&lt;AW16,Table2[[#This Row],[Year 39]]*$L$4,0)</f>
        <v>78.825155865310933</v>
      </c>
      <c r="AY12" s="75">
        <f>AX12*(1+IF(AX9-$L$2&lt;$K$5,$K$6,IF(AX9-$L$2&lt;$L$5,$L$6,IF(AX9-$L$2&lt;$M$5,$M$6,0))))+IF(AY16&lt;AX16,Table2[[#This Row],[Year 40]]*$L$4,0)</f>
        <v>79.613407423964048</v>
      </c>
      <c r="AZ12" s="75">
        <f>AY12*(1+IF(AY9-$L$2&lt;$K$5,$K$6,IF(AY9-$L$2&lt;$L$5,$L$6,IF(AY9-$L$2&lt;$M$5,$M$6,0))))+IF(AZ16&lt;AY16,Table2[[#This Row],[Year 41]]*$L$4,0)</f>
        <v>96.332222982996512</v>
      </c>
      <c r="BA12" s="75">
        <f>AZ12*(1+IF(AZ9-$L$2&lt;$K$5,$K$6,IF(AZ9-$L$2&lt;$L$5,$L$6,IF(AZ9-$L$2&lt;$M$5,$M$6,0))))+IF(BA16&lt;AZ16,Table2[[#This Row],[Year 42]]*$L$4,0)</f>
        <v>97.295545212826482</v>
      </c>
      <c r="BB12" s="75">
        <f>BA12*(1+IF(BA9-$L$2&lt;$K$5,$K$6,IF(BA9-$L$2&lt;$L$5,$L$6,IF(BA9-$L$2&lt;$M$5,$M$6,0))))+IF(BB16&lt;BA16,Table2[[#This Row],[Year 43]]*$L$4,0)</f>
        <v>98.268500664954743</v>
      </c>
      <c r="BC12" s="75">
        <f>BB12*(1+IF(BB9-$L$2&lt;$K$5,$K$6,IF(BB9-$L$2&lt;$L$5,$L$6,IF(BB9-$L$2&lt;$M$5,$M$6,0))))+IF(BC16&lt;BB16,Table2[[#This Row],[Year 44]]*$L$4,0)</f>
        <v>99.25118567160429</v>
      </c>
      <c r="BD12" s="75">
        <f>BC12*(1+IF(BC9-$L$2&lt;$K$5,$K$6,IF(BC9-$L$2&lt;$L$5,$L$6,IF(BC9-$L$2&lt;$M$5,$M$6,0))))+IF(BD16&lt;BC16,Table2[[#This Row],[Year 45]]*$L$4,0)</f>
        <v>100.24369752832034</v>
      </c>
      <c r="BE12" s="75">
        <f>BD12*(1+IF(BD9-$L$2&lt;$K$5,$K$6,IF(BD9-$L$2&lt;$L$5,$L$6,IF(BD9-$L$2&lt;$M$5,$M$6,0))))+IF(BE16&lt;BD16,Table2[[#This Row],[Year 46]]*$L$4,0)</f>
        <v>101.24613450360354</v>
      </c>
      <c r="BF12" s="75">
        <f>BE12*(1+IF(BE9-$L$2&lt;$K$5,$K$6,IF(BE9-$L$2&lt;$L$5,$L$6,IF(BE9-$L$2&lt;$M$5,$M$6,0))))+IF(BF16&lt;BE16,Table2[[#This Row],[Year 47]]*$L$4,0)</f>
        <v>102.25859584863957</v>
      </c>
      <c r="BG12" s="75">
        <f>BF12*(1+IF(BF9-$L$2&lt;$K$5,$K$6,IF(BF9-$L$2&lt;$L$5,$L$6,IF(BF9-$L$2&lt;$M$5,$M$6,0))))+IF(BG16&lt;BF16,Table2[[#This Row],[Year 48]]*$L$4,0)</f>
        <v>103.28118180712598</v>
      </c>
      <c r="BH12" s="75">
        <f>BG12*(1+IF(BG9-$L$2&lt;$K$5,$K$6,IF(BG9-$L$2&lt;$L$5,$L$6,IF(BG9-$L$2&lt;$M$5,$M$6,0))))+IF(BH16&lt;BG16,Table2[[#This Row],[Year 49]]*$L$4,0)</f>
        <v>104.31399362519724</v>
      </c>
      <c r="BI12" s="75">
        <f>BH12*(1+IF(BH9-$L$2&lt;$K$5,$K$6,IF(BH9-$L$2&lt;$L$5,$L$6,IF(BH9-$L$2&lt;$M$5,$M$6,0))))+IF(BI16&lt;BH16,Table2[[#This Row],[Year 50]]*$L$4,0)</f>
        <v>105.35713356144922</v>
      </c>
      <c r="BJ12" s="75">
        <f>BI12*(1+IF(BI9-$L$2&lt;$K$5,$K$6,IF(BI9-$L$2&lt;$L$5,$L$6,IF(BI9-$L$2&lt;$M$5,$M$6,0))))+IF(BJ16&lt;BI16,Table2[[#This Row],[Year 51]]*$L$4,0)</f>
        <v>106.41070489706371</v>
      </c>
      <c r="BK12" s="75">
        <f>BJ12*(1+IF(BJ9-$L$2&lt;$K$5,$K$6,IF(BJ9-$L$2&lt;$L$5,$L$6,IF(BJ9-$L$2&lt;$M$5,$M$6,0))))+IF(BK16&lt;BJ16,Table2[[#This Row],[Year 52]]*$L$4,0)</f>
        <v>107.47481194603435</v>
      </c>
      <c r="BL12" s="75">
        <f>BK12*(1+IF(BK9-$L$2&lt;$K$5,$K$6,IF(BK9-$L$2&lt;$L$5,$L$6,IF(BK9-$L$2&lt;$M$5,$M$6,0))))+IF(BL16&lt;BK16,Table2[[#This Row],[Year 53]]*$L$4,0)</f>
        <v>108.54956006549469</v>
      </c>
      <c r="BM12" s="75">
        <f>BL12*(1+IF(BL9-$L$2&lt;$K$5,$K$6,IF(BL9-$L$2&lt;$L$5,$L$6,IF(BL9-$L$2&lt;$M$5,$M$6,0))))+IF(BM16&lt;BL16,Table2[[#This Row],[Year 54]]*$L$4,0)</f>
        <v>109.63505566614964</v>
      </c>
      <c r="BN12" s="75">
        <f>BM12*(1+IF(BM9-$L$2&lt;$K$5,$K$6,IF(BM9-$L$2&lt;$L$5,$L$6,IF(BM9-$L$2&lt;$M$5,$M$6,0))))+IF(BN16&lt;BM16,Table2[[#This Row],[Year 55]]*$L$4,0)</f>
        <v>110.73140622281113</v>
      </c>
      <c r="BO12" s="75">
        <f>BN12*(1+IF(BN9-$L$2&lt;$K$5,$K$6,IF(BN9-$L$2&lt;$L$5,$L$6,IF(BN9-$L$2&lt;$M$5,$M$6,0))))+IF(BO16&lt;BN16,Table2[[#This Row],[Year 56]]*$L$4,0)</f>
        <v>111.83872028503924</v>
      </c>
      <c r="BP12" s="75">
        <f>BO12*(1+IF(BO9-$L$2&lt;$K$5,$K$6,IF(BO9-$L$2&lt;$L$5,$L$6,IF(BO9-$L$2&lt;$M$5,$M$6,0))))+IF(BP16&lt;BO16,Table2[[#This Row],[Year 57]]*$L$4,0)</f>
        <v>112.95710748788964</v>
      </c>
      <c r="BQ12" s="75">
        <f>BP12*(1+IF(BP9-$L$2&lt;$K$5,$K$6,IF(BP9-$L$2&lt;$L$5,$L$6,IF(BP9-$L$2&lt;$M$5,$M$6,0))))+IF(BQ16&lt;BP16,Table2[[#This Row],[Year 58]]*$L$4,0)</f>
        <v>114.08667856276854</v>
      </c>
      <c r="BR12" s="75">
        <f>BQ12*(1+IF(BQ9-$L$2&lt;$K$5,$K$6,IF(BQ9-$L$2&lt;$L$5,$L$6,IF(BQ9-$L$2&lt;$M$5,$M$6,0))))+IF(BR16&lt;BQ16,Table2[[#This Row],[Year 59]]*$L$4,0)</f>
        <v>115.22754534839623</v>
      </c>
      <c r="BS12" s="75">
        <f>BR12*(1+IF(BR9-$L$2&lt;$K$5,$K$6,IF(BR9-$L$2&lt;$L$5,$L$6,IF(BR9-$L$2&lt;$M$5,$M$6,0))))+IF(BS16&lt;BR16,Table2[[#This Row],[Year 60]]*$L$4,0)</f>
        <v>116.3798208018802</v>
      </c>
      <c r="BT12" s="75">
        <f>BS12*(1+IF(BS9-$L$2&lt;$K$5,$K$6,IF(BS9-$L$2&lt;$L$5,$L$6,IF(BS9-$L$2&lt;$M$5,$M$6,0))))+IF(BT16&lt;BS16,Table2[[#This Row],[Year 61]]*$L$4,0)</f>
        <v>116.3798208018802</v>
      </c>
      <c r="BU12" s="75">
        <f>BT12*(1+IF(BT9-$L$2&lt;$K$5,$K$6,IF(BT9-$L$2&lt;$L$5,$L$6,IF(BT9-$L$2&lt;$M$5,$M$6,0))))+IF(BU16&lt;BT16,Table2[[#This Row],[Year 62]]*$L$4,0)</f>
        <v>116.3798208018802</v>
      </c>
      <c r="BV12" s="75">
        <f>BU12*(1+IF(BU9-$L$2&lt;$K$5,$K$6,IF(BU9-$L$2&lt;$L$5,$L$6,IF(BU9-$L$2&lt;$M$5,$M$6,0))))+IF(BV16&lt;BU16,Table2[[#This Row],[Year 63]]*$L$4,0)</f>
        <v>116.3798208018802</v>
      </c>
      <c r="BW12" s="75">
        <f>BV12*(1+IF(BV9-$L$2&lt;$K$5,$K$6,IF(BV9-$L$2&lt;$L$5,$L$6,IF(BV9-$L$2&lt;$M$5,$M$6,0))))+IF(BW16&lt;BV16,Table2[[#This Row],[Year 64]]*$L$4,0)</f>
        <v>116.3798208018802</v>
      </c>
      <c r="BX12" s="75">
        <f>BW12*(1+IF(BW9-$L$2&lt;$K$5,$K$6,IF(BW9-$L$2&lt;$L$5,$L$6,IF(BW9-$L$2&lt;$M$5,$M$6,0))))+IF(BX16&lt;BW16,Table2[[#This Row],[Year 65]]*$L$4,0)</f>
        <v>116.3798208018802</v>
      </c>
      <c r="BY12" s="75">
        <f>BX12*(1+IF(BX9-$L$2&lt;$K$5,$K$6,IF(BX9-$L$2&lt;$L$5,$L$6,IF(BX9-$L$2&lt;$M$5,$M$6,0))))+IF(BY16&lt;BX16,Table2[[#This Row],[Year 66]]*$L$4,0)</f>
        <v>116.3798208018802</v>
      </c>
      <c r="BZ12" s="75">
        <f>BY12*(1+IF(BY9-$L$2&lt;$K$5,$K$6,IF(BY9-$L$2&lt;$L$5,$L$6,IF(BY9-$L$2&lt;$M$5,$M$6,0))))+IF(BZ16&lt;BY16,Table2[[#This Row],[Year 67]]*$L$4,0)</f>
        <v>116.3798208018802</v>
      </c>
      <c r="CA12" s="75">
        <f>BZ12*(1+IF(BZ9-$L$2&lt;$K$5,$K$6,IF(BZ9-$L$2&lt;$L$5,$L$6,IF(BZ9-$L$2&lt;$M$5,$M$6,0))))+IF(CA16&lt;BZ16,Table2[[#This Row],[Year 68]]*$L$4,0)</f>
        <v>116.3798208018802</v>
      </c>
      <c r="CB12" s="75">
        <f>CA12*(1+IF(CA9-$L$2&lt;$K$5,$K$6,IF(CA9-$L$2&lt;$L$5,$L$6,IF(CA9-$L$2&lt;$M$5,$M$6,0))))+IF(CB16&lt;CA16,Table2[[#This Row],[Year 69]]*$L$4,0)</f>
        <v>116.3798208018802</v>
      </c>
      <c r="CC12" s="75">
        <f>CB12*(1+IF(CB9-$L$2&lt;$K$5,$K$6,IF(CB9-$L$2&lt;$L$5,$L$6,IF(CB9-$L$2&lt;$M$5,$M$6,0))))+IF(CC16&lt;CB16,Table2[[#This Row],[Year 70]]*$L$4,0)</f>
        <v>116.3798208018802</v>
      </c>
      <c r="CD12" s="75">
        <f>CC12*(1+IF(CC9-$L$2&lt;$K$5,$K$6,IF(CC9-$L$2&lt;$L$5,$L$6,IF(CC9-$L$2&lt;$M$5,$M$6,0))))+IF(CD16&lt;CC16,Table2[[#This Row],[Year 71]]*$L$4,0)</f>
        <v>116.3798208018802</v>
      </c>
      <c r="CE12" s="75">
        <f>CD12*(1+IF(CD9-$L$2&lt;$K$5,$K$6,IF(CD9-$L$2&lt;$L$5,$L$6,IF(CD9-$L$2&lt;$M$5,$M$6,0))))+IF(CE16&lt;CD16,Table2[[#This Row],[Year 72]]*$L$4,0)</f>
        <v>116.3798208018802</v>
      </c>
      <c r="CF12" s="75">
        <f>CE12*(1+IF(CE9-$L$2&lt;$K$5,$K$6,IF(CE9-$L$2&lt;$L$5,$L$6,IF(CE9-$L$2&lt;$M$5,$M$6,0))))+IF(CF16&lt;CE16,Table2[[#This Row],[Year 73]]*$L$4,0)</f>
        <v>116.3798208018802</v>
      </c>
      <c r="CG12" s="75">
        <f>CF12*(1+IF(CF9-$L$2&lt;$K$5,$K$6,IF(CF9-$L$2&lt;$L$5,$L$6,IF(CF9-$L$2&lt;$M$5,$M$6,0))))+IF(CG16&lt;CF16,Table2[[#This Row],[Year 74]]*$L$4,0)</f>
        <v>116.3798208018802</v>
      </c>
      <c r="CH12" s="75">
        <f>CG12*(1+IF(CG9-$L$2&lt;$K$5,$K$6,IF(CG9-$L$2&lt;$L$5,$L$6,IF(CG9-$L$2&lt;$M$5,$M$6,0))))+IF(CH16&lt;CG16,Table2[[#This Row],[Year 75]]*$L$4,0)</f>
        <v>116.3798208018802</v>
      </c>
    </row>
    <row r="13" spans="1:86" x14ac:dyDescent="0.3">
      <c r="C13" s="75"/>
      <c r="E13" s="97"/>
      <c r="F13" s="97"/>
      <c r="G13" s="97"/>
      <c r="H13" s="97"/>
      <c r="J13" t="s">
        <v>182</v>
      </c>
      <c r="K13" s="290">
        <f>K12*K$16</f>
        <v>291.60000000000002</v>
      </c>
      <c r="L13" s="290">
        <f t="shared" ref="L13" si="62">L12*L$16</f>
        <v>384.91200000000003</v>
      </c>
      <c r="M13" s="290">
        <f t="shared" ref="M13" si="63">M12*M$16</f>
        <v>508.08384000000012</v>
      </c>
      <c r="N13" s="290">
        <f t="shared" ref="N13" si="64">N12*N$16</f>
        <v>670.67066880000016</v>
      </c>
      <c r="O13" s="290">
        <f t="shared" ref="O13" si="65">O12*O$16</f>
        <v>885.28528281600018</v>
      </c>
      <c r="P13" s="290">
        <f t="shared" ref="P13" si="66">P12*P$16</f>
        <v>1168.5765733171204</v>
      </c>
      <c r="Q13" s="290">
        <f t="shared" ref="Q13" si="67">Q12*Q$16</f>
        <v>1542.5210767785989</v>
      </c>
      <c r="R13" s="290">
        <f t="shared" ref="R13" si="68">R12*R$16</f>
        <v>2036.1278213477503</v>
      </c>
      <c r="S13" s="290">
        <f t="shared" ref="S13" si="69">S12*S$16</f>
        <v>2687.6887241790305</v>
      </c>
      <c r="T13" s="290">
        <f t="shared" ref="T13" si="70">T12*T$16</f>
        <v>3547.7491159163205</v>
      </c>
      <c r="U13" s="290">
        <f t="shared" ref="U13" si="71">U12*U$16</f>
        <v>4683.0288330095436</v>
      </c>
      <c r="V13" s="290">
        <f t="shared" ref="V13" si="72">V12*V$16</f>
        <v>6181.5980595725987</v>
      </c>
      <c r="W13" s="290">
        <f t="shared" ref="W13" si="73">W12*W$16</f>
        <v>6264.0193670335657</v>
      </c>
      <c r="X13" s="290">
        <f t="shared" ref="X13" si="74">X12*X$16</f>
        <v>8268.5055644843069</v>
      </c>
      <c r="Y13" s="290">
        <f t="shared" ref="Y13" si="75">Y12*Y$16</f>
        <v>10914.427345119286</v>
      </c>
      <c r="Z13" s="290">
        <f t="shared" ref="Z13" si="76">Z12*Z$16</f>
        <v>14407.044095557458</v>
      </c>
      <c r="AA13" s="290">
        <f t="shared" ref="AA13" si="77">AA12*AA$16</f>
        <v>14983.325859379756</v>
      </c>
      <c r="AB13" s="290">
        <f t="shared" ref="AB13" si="78">AB12*AB$16</f>
        <v>15582.658893754946</v>
      </c>
      <c r="AC13" s="290">
        <f t="shared" ref="AC13" si="79">AC12*AC$16</f>
        <v>16205.965249505145</v>
      </c>
      <c r="AD13" s="290">
        <f t="shared" ref="AD13" si="80">AD12*AD$16</f>
        <v>16854.203859485351</v>
      </c>
      <c r="AE13" s="290">
        <f t="shared" ref="AE13" si="81">AE12*AE$16</f>
        <v>17528.372013864766</v>
      </c>
      <c r="AF13" s="290">
        <f t="shared" ref="AF13" si="82">AF12*AF$16</f>
        <v>18229.506894419359</v>
      </c>
      <c r="AG13" s="290">
        <f t="shared" ref="AG13" si="83">AG12*AG$16</f>
        <v>18958.687170196135</v>
      </c>
      <c r="AH13" s="290">
        <f t="shared" ref="AH13" si="84">AH12*AH$16</f>
        <v>19717.034657003984</v>
      </c>
      <c r="AI13" s="290">
        <f t="shared" ref="AI13" si="85">AI12*AI$16</f>
        <v>20505.716043284145</v>
      </c>
      <c r="AJ13" s="290">
        <f t="shared" ref="AJ13" si="86">AJ12*AJ$16</f>
        <v>21325.944685015507</v>
      </c>
      <c r="AK13" s="290">
        <f t="shared" ref="AK13" si="87">AK12*AK$16</f>
        <v>22178.98247241613</v>
      </c>
      <c r="AL13" s="290">
        <f t="shared" ref="AL13" si="88">AL12*AL$16</f>
        <v>23066.141771312774</v>
      </c>
      <c r="AM13" s="290">
        <f t="shared" ref="AM13" si="89">AM12*AM$16</f>
        <v>23988.787442165285</v>
      </c>
      <c r="AN13" s="290">
        <f t="shared" ref="AN13" si="90">AN12*AN$16</f>
        <v>24948.338939851896</v>
      </c>
      <c r="AO13" s="290">
        <f t="shared" ref="AO13" si="91">AO12*AO$16</f>
        <v>25946.272497445978</v>
      </c>
      <c r="AP13" s="290">
        <f t="shared" ref="AP13" si="92">AP12*AP$16</f>
        <v>26205.735222420433</v>
      </c>
      <c r="AQ13" s="290">
        <f t="shared" ref="AQ13" si="93">AQ12*AQ$16</f>
        <v>26467.792574644642</v>
      </c>
      <c r="AR13" s="290">
        <f t="shared" ref="AR13" si="94">AR12*AR$16</f>
        <v>26732.470500391086</v>
      </c>
      <c r="AS13" s="290">
        <f t="shared" ref="AS13" si="95">AS12*AS$16</f>
        <v>26999.795205394996</v>
      </c>
      <c r="AT13" s="290">
        <f t="shared" ref="AT13" si="96">AT12*AT$16</f>
        <v>27269.793157448945</v>
      </c>
      <c r="AU13" s="290">
        <f t="shared" ref="AU13" si="97">AU12*AU$16</f>
        <v>27542.491089023435</v>
      </c>
      <c r="AV13" s="290">
        <f t="shared" ref="AV13" si="98">AV12*AV$16</f>
        <v>27817.915999913672</v>
      </c>
      <c r="AW13" s="290">
        <f t="shared" ref="AW13" si="99">AW12*AW$16</f>
        <v>28096.095159912806</v>
      </c>
      <c r="AX13" s="290">
        <f t="shared" ref="AX13" si="100">AX12*AX$16</f>
        <v>28377.056111511934</v>
      </c>
      <c r="AY13" s="290">
        <f t="shared" ref="AY13" si="101">AY12*AY$16</f>
        <v>28660.826672627056</v>
      </c>
      <c r="AZ13" s="290">
        <f t="shared" ref="AZ13" si="102">AZ12*AZ$16</f>
        <v>26009.700205409059</v>
      </c>
      <c r="BA13" s="290">
        <f t="shared" ref="BA13" si="103">BA12*BA$16</f>
        <v>26269.797207463151</v>
      </c>
      <c r="BB13" s="290">
        <f t="shared" ref="BB13" si="104">BB12*BB$16</f>
        <v>26532.495179537782</v>
      </c>
      <c r="BC13" s="290">
        <f t="shared" ref="BC13" si="105">BC12*BC$16</f>
        <v>26797.820131333159</v>
      </c>
      <c r="BD13" s="290">
        <f t="shared" ref="BD13" si="106">BD12*BD$16</f>
        <v>27065.798332646493</v>
      </c>
      <c r="BE13" s="290">
        <f t="shared" ref="BE13" si="107">BE12*BE$16</f>
        <v>27336.456315972955</v>
      </c>
      <c r="BF13" s="290">
        <f t="shared" ref="BF13" si="108">BF12*BF$16</f>
        <v>27609.820879132683</v>
      </c>
      <c r="BG13" s="290">
        <f t="shared" ref="BG13" si="109">BG12*BG$16</f>
        <v>27885.919087924012</v>
      </c>
      <c r="BH13" s="290">
        <f t="shared" ref="BH13" si="110">BH12*BH$16</f>
        <v>28164.778278803256</v>
      </c>
      <c r="BI13" s="290">
        <f t="shared" ref="BI13" si="111">BI12*BI$16</f>
        <v>28446.42606159129</v>
      </c>
      <c r="BJ13" s="290">
        <f t="shared" ref="BJ13" si="112">BJ12*BJ$16</f>
        <v>28730.8903222072</v>
      </c>
      <c r="BK13" s="290">
        <f t="shared" ref="BK13" si="113">BK12*BK$16</f>
        <v>29018.199225429275</v>
      </c>
      <c r="BL13" s="290">
        <f t="shared" ref="BL13" si="114">BL12*BL$16</f>
        <v>29308.381217683567</v>
      </c>
      <c r="BM13" s="290">
        <f t="shared" ref="BM13" si="115">BM12*BM$16</f>
        <v>29601.465029860403</v>
      </c>
      <c r="BN13" s="290">
        <f t="shared" ref="BN13" si="116">BN12*BN$16</f>
        <v>29897.479680159006</v>
      </c>
      <c r="BO13" s="290">
        <f t="shared" ref="BO13" si="117">BO12*BO$16</f>
        <v>30196.454476960596</v>
      </c>
      <c r="BP13" s="290">
        <f t="shared" ref="BP13" si="118">BP12*BP$16</f>
        <v>30498.419021730202</v>
      </c>
      <c r="BQ13" s="290">
        <f t="shared" ref="BQ13" si="119">BQ12*BQ$16</f>
        <v>30803.403211947505</v>
      </c>
      <c r="BR13" s="290">
        <f t="shared" ref="BR13" si="120">BR12*BR$16</f>
        <v>31111.437244066983</v>
      </c>
      <c r="BS13" s="290">
        <f t="shared" ref="BS13" si="121">BS12*BS$16</f>
        <v>31422.551616507655</v>
      </c>
      <c r="BT13" s="290">
        <f t="shared" ref="BT13" si="122">BT12*BT$16</f>
        <v>31422.551616507655</v>
      </c>
      <c r="BU13" s="290">
        <f t="shared" ref="BU13" si="123">BU12*BU$16</f>
        <v>31422.551616507655</v>
      </c>
      <c r="BV13" s="290">
        <f t="shared" ref="BV13" si="124">BV12*BV$16</f>
        <v>31422.551616507655</v>
      </c>
      <c r="BW13" s="290">
        <f t="shared" ref="BW13" si="125">BW12*BW$16</f>
        <v>31422.551616507655</v>
      </c>
      <c r="BX13" s="290">
        <f t="shared" ref="BX13" si="126">BX12*BX$16</f>
        <v>31422.551616507655</v>
      </c>
      <c r="BY13" s="290">
        <f t="shared" ref="BY13" si="127">BY12*BY$16</f>
        <v>31422.551616507655</v>
      </c>
      <c r="BZ13" s="290">
        <f t="shared" ref="BZ13" si="128">BZ12*BZ$16</f>
        <v>31422.551616507655</v>
      </c>
      <c r="CA13" s="290">
        <f t="shared" ref="CA13" si="129">CA12*CA$16</f>
        <v>31422.551616507655</v>
      </c>
      <c r="CB13" s="290">
        <f t="shared" ref="CB13" si="130">CB12*CB$16</f>
        <v>31422.551616507655</v>
      </c>
      <c r="CC13" s="290">
        <f t="shared" ref="CC13" si="131">CC12*CC$16</f>
        <v>31422.551616507655</v>
      </c>
      <c r="CD13" s="290">
        <f t="shared" ref="CD13" si="132">CD12*CD$16</f>
        <v>31422.551616507655</v>
      </c>
      <c r="CE13" s="290">
        <f t="shared" ref="CE13" si="133">CE12*CE$16</f>
        <v>31422.551616507655</v>
      </c>
      <c r="CF13" s="290">
        <f t="shared" ref="CF13" si="134">CF12*CF$16</f>
        <v>31422.551616507655</v>
      </c>
      <c r="CG13" s="290">
        <f t="shared" ref="CG13" si="135">CG12*CG$16</f>
        <v>31422.551616507655</v>
      </c>
      <c r="CH13" s="290">
        <f t="shared" ref="CH13" si="136">CH12*CH$16</f>
        <v>31422.551616507655</v>
      </c>
    </row>
    <row r="14" spans="1:86" x14ac:dyDescent="0.3">
      <c r="J14" t="s">
        <v>184</v>
      </c>
      <c r="K14" s="75">
        <f t="shared" ref="K14:AP14" si="137">K12*(1+$L$70)</f>
        <v>0.92880000000000007</v>
      </c>
      <c r="L14" s="75">
        <f t="shared" si="137"/>
        <v>1.2260160000000002</v>
      </c>
      <c r="M14" s="75">
        <f t="shared" si="137"/>
        <v>1.6183411200000002</v>
      </c>
      <c r="N14" s="75">
        <f t="shared" si="137"/>
        <v>2.1362102784000001</v>
      </c>
      <c r="O14" s="75">
        <f t="shared" si="137"/>
        <v>2.8197975674880005</v>
      </c>
      <c r="P14" s="75">
        <f t="shared" si="137"/>
        <v>3.7221327890841609</v>
      </c>
      <c r="Q14" s="75">
        <f t="shared" si="137"/>
        <v>4.9132152815910919</v>
      </c>
      <c r="R14" s="75">
        <f t="shared" si="137"/>
        <v>6.4854441717002418</v>
      </c>
      <c r="S14" s="75">
        <f t="shared" si="137"/>
        <v>8.5607863066443191</v>
      </c>
      <c r="T14" s="75">
        <f t="shared" si="137"/>
        <v>11.300237924770501</v>
      </c>
      <c r="U14" s="75">
        <f t="shared" si="137"/>
        <v>14.916314060697065</v>
      </c>
      <c r="V14" s="75">
        <f t="shared" si="137"/>
        <v>19.689534560120126</v>
      </c>
      <c r="W14" s="75">
        <f t="shared" si="137"/>
        <v>29.928092531382593</v>
      </c>
      <c r="X14" s="75">
        <f t="shared" si="137"/>
        <v>39.505082141425021</v>
      </c>
      <c r="Y14" s="75">
        <f t="shared" si="137"/>
        <v>52.146708426681037</v>
      </c>
      <c r="Z14" s="75">
        <f t="shared" si="137"/>
        <v>68.833655123218961</v>
      </c>
      <c r="AA14" s="75">
        <f t="shared" si="137"/>
        <v>71.587001328147721</v>
      </c>
      <c r="AB14" s="75">
        <f t="shared" si="137"/>
        <v>74.450481381273633</v>
      </c>
      <c r="AC14" s="75">
        <f t="shared" si="137"/>
        <v>77.428500636524589</v>
      </c>
      <c r="AD14" s="75">
        <f t="shared" si="137"/>
        <v>80.525640661985562</v>
      </c>
      <c r="AE14" s="75">
        <f t="shared" si="137"/>
        <v>83.746666288464993</v>
      </c>
      <c r="AF14" s="75">
        <f t="shared" si="137"/>
        <v>87.096532940003613</v>
      </c>
      <c r="AG14" s="75">
        <f t="shared" si="137"/>
        <v>90.580394257603757</v>
      </c>
      <c r="AH14" s="75">
        <f t="shared" si="137"/>
        <v>94.203610027907914</v>
      </c>
      <c r="AI14" s="75">
        <f t="shared" si="137"/>
        <v>97.971754429024244</v>
      </c>
      <c r="AJ14" s="75">
        <f t="shared" si="137"/>
        <v>101.89062460618521</v>
      </c>
      <c r="AK14" s="75">
        <f t="shared" si="137"/>
        <v>105.96624959043262</v>
      </c>
      <c r="AL14" s="75">
        <f t="shared" si="137"/>
        <v>110.20489957404992</v>
      </c>
      <c r="AM14" s="75">
        <f t="shared" si="137"/>
        <v>114.61309555701192</v>
      </c>
      <c r="AN14" s="75">
        <f t="shared" si="137"/>
        <v>119.19761937929239</v>
      </c>
      <c r="AO14" s="75">
        <f t="shared" si="137"/>
        <v>123.96552415446411</v>
      </c>
      <c r="AP14" s="75">
        <f t="shared" si="137"/>
        <v>125.20517939600875</v>
      </c>
      <c r="AQ14" s="75">
        <f t="shared" ref="AQ14:BV14" si="138">AQ12*(1+$L$70)</f>
        <v>126.45723118996884</v>
      </c>
      <c r="AR14" s="75">
        <f t="shared" si="138"/>
        <v>127.72180350186851</v>
      </c>
      <c r="AS14" s="75">
        <f t="shared" si="138"/>
        <v>128.9990215368872</v>
      </c>
      <c r="AT14" s="75">
        <f t="shared" si="138"/>
        <v>130.28901175225607</v>
      </c>
      <c r="AU14" s="75">
        <f t="shared" si="138"/>
        <v>131.59190186977864</v>
      </c>
      <c r="AV14" s="75">
        <f t="shared" si="138"/>
        <v>132.90782088847644</v>
      </c>
      <c r="AW14" s="75">
        <f t="shared" si="138"/>
        <v>134.23689909736117</v>
      </c>
      <c r="AX14" s="75">
        <f t="shared" si="138"/>
        <v>135.5792680883348</v>
      </c>
      <c r="AY14" s="75">
        <f t="shared" si="138"/>
        <v>136.93506076921815</v>
      </c>
      <c r="AZ14" s="75">
        <f t="shared" si="138"/>
        <v>165.69142353075401</v>
      </c>
      <c r="BA14" s="75">
        <f t="shared" si="138"/>
        <v>167.34833776606155</v>
      </c>
      <c r="BB14" s="75">
        <f t="shared" si="138"/>
        <v>169.02182114372215</v>
      </c>
      <c r="BC14" s="75">
        <f t="shared" si="138"/>
        <v>170.71203935515936</v>
      </c>
      <c r="BD14" s="75">
        <f t="shared" si="138"/>
        <v>172.41915974871097</v>
      </c>
      <c r="BE14" s="75">
        <f t="shared" si="138"/>
        <v>174.1433513461981</v>
      </c>
      <c r="BF14" s="75">
        <f t="shared" si="138"/>
        <v>175.88478485966007</v>
      </c>
      <c r="BG14" s="75">
        <f t="shared" si="138"/>
        <v>177.64363270825666</v>
      </c>
      <c r="BH14" s="75">
        <f t="shared" si="138"/>
        <v>179.42006903533925</v>
      </c>
      <c r="BI14" s="75">
        <f t="shared" si="138"/>
        <v>181.21426972569265</v>
      </c>
      <c r="BJ14" s="75">
        <f t="shared" si="138"/>
        <v>183.02641242294959</v>
      </c>
      <c r="BK14" s="75">
        <f t="shared" si="138"/>
        <v>184.85667654717909</v>
      </c>
      <c r="BL14" s="75">
        <f t="shared" si="138"/>
        <v>186.70524331265085</v>
      </c>
      <c r="BM14" s="75">
        <f t="shared" si="138"/>
        <v>188.57229574577738</v>
      </c>
      <c r="BN14" s="75">
        <f t="shared" si="138"/>
        <v>190.45801870323515</v>
      </c>
      <c r="BO14" s="75">
        <f t="shared" si="138"/>
        <v>192.36259889026749</v>
      </c>
      <c r="BP14" s="75">
        <f t="shared" si="138"/>
        <v>194.28622487917019</v>
      </c>
      <c r="BQ14" s="75">
        <f t="shared" si="138"/>
        <v>196.22908712796189</v>
      </c>
      <c r="BR14" s="75">
        <f t="shared" si="138"/>
        <v>198.19137799924152</v>
      </c>
      <c r="BS14" s="75">
        <f t="shared" si="138"/>
        <v>200.17329177923395</v>
      </c>
      <c r="BT14" s="75">
        <f t="shared" si="138"/>
        <v>200.17329177923395</v>
      </c>
      <c r="BU14" s="75">
        <f t="shared" si="138"/>
        <v>200.17329177923395</v>
      </c>
      <c r="BV14" s="75">
        <f t="shared" si="138"/>
        <v>200.17329177923395</v>
      </c>
      <c r="BW14" s="75">
        <f t="shared" ref="BW14:CH14" si="139">BW12*(1+$L$70)</f>
        <v>200.17329177923395</v>
      </c>
      <c r="BX14" s="75">
        <f t="shared" si="139"/>
        <v>200.17329177923395</v>
      </c>
      <c r="BY14" s="75">
        <f t="shared" si="139"/>
        <v>200.17329177923395</v>
      </c>
      <c r="BZ14" s="75">
        <f t="shared" si="139"/>
        <v>200.17329177923395</v>
      </c>
      <c r="CA14" s="75">
        <f t="shared" si="139"/>
        <v>200.17329177923395</v>
      </c>
      <c r="CB14" s="75">
        <f t="shared" si="139"/>
        <v>200.17329177923395</v>
      </c>
      <c r="CC14" s="75">
        <f t="shared" si="139"/>
        <v>200.17329177923395</v>
      </c>
      <c r="CD14" s="75">
        <f t="shared" si="139"/>
        <v>200.17329177923395</v>
      </c>
      <c r="CE14" s="75">
        <f t="shared" si="139"/>
        <v>200.17329177923395</v>
      </c>
      <c r="CF14" s="75">
        <f t="shared" si="139"/>
        <v>200.17329177923395</v>
      </c>
      <c r="CG14" s="75">
        <f t="shared" si="139"/>
        <v>200.17329177923395</v>
      </c>
      <c r="CH14" s="75">
        <f t="shared" si="139"/>
        <v>200.17329177923395</v>
      </c>
    </row>
    <row r="15" spans="1:86" x14ac:dyDescent="0.3">
      <c r="J15" t="s">
        <v>183</v>
      </c>
      <c r="K15" s="290">
        <f>K14*K$16</f>
        <v>501.55200000000002</v>
      </c>
      <c r="L15" s="290">
        <f t="shared" ref="L15" si="140">L14*L$16</f>
        <v>662.04864000000009</v>
      </c>
      <c r="M15" s="290">
        <f t="shared" ref="M15" si="141">M14*M$16</f>
        <v>873.90420480000012</v>
      </c>
      <c r="N15" s="290">
        <f t="shared" ref="N15" si="142">N14*N$16</f>
        <v>1153.5535503360002</v>
      </c>
      <c r="O15" s="290">
        <f t="shared" ref="O15" si="143">O14*O$16</f>
        <v>1522.6906864435202</v>
      </c>
      <c r="P15" s="290">
        <f t="shared" ref="P15" si="144">P14*P$16</f>
        <v>2009.9517061054469</v>
      </c>
      <c r="Q15" s="290">
        <f t="shared" ref="Q15" si="145">Q14*Q$16</f>
        <v>2653.1362520591897</v>
      </c>
      <c r="R15" s="290">
        <f t="shared" ref="R15" si="146">R14*R$16</f>
        <v>3502.1398527181304</v>
      </c>
      <c r="S15" s="290">
        <f t="shared" ref="S15" si="147">S14*S$16</f>
        <v>4622.8246055879326</v>
      </c>
      <c r="T15" s="290">
        <f t="shared" ref="T15" si="148">T14*T$16</f>
        <v>6102.1284793760706</v>
      </c>
      <c r="U15" s="290">
        <f t="shared" ref="U15" si="149">U14*U$16</f>
        <v>8054.8095927764152</v>
      </c>
      <c r="V15" s="290">
        <f t="shared" ref="V15" si="150">V14*V$16</f>
        <v>10632.348662464869</v>
      </c>
      <c r="W15" s="290">
        <f t="shared" ref="W15" si="151">W14*W$16</f>
        <v>10774.113311297733</v>
      </c>
      <c r="X15" s="290">
        <f t="shared" ref="X15" si="152">X14*X$16</f>
        <v>14221.829570913007</v>
      </c>
      <c r="Y15" s="290">
        <f t="shared" ref="Y15" si="153">Y14*Y$16</f>
        <v>18772.815033605173</v>
      </c>
      <c r="Z15" s="290">
        <f t="shared" ref="Z15" si="154">Z14*Z$16</f>
        <v>24780.115844358825</v>
      </c>
      <c r="AA15" s="290">
        <f t="shared" ref="AA15" si="155">AA14*AA$16</f>
        <v>25771.320478133181</v>
      </c>
      <c r="AB15" s="290">
        <f t="shared" ref="AB15" si="156">AB14*AB$16</f>
        <v>26802.173297258509</v>
      </c>
      <c r="AC15" s="290">
        <f t="shared" ref="AC15" si="157">AC14*AC$16</f>
        <v>27874.260229148851</v>
      </c>
      <c r="AD15" s="290">
        <f t="shared" ref="AD15" si="158">AD14*AD$16</f>
        <v>28989.230638314802</v>
      </c>
      <c r="AE15" s="290">
        <f t="shared" ref="AE15" si="159">AE14*AE$16</f>
        <v>30148.799863847398</v>
      </c>
      <c r="AF15" s="290">
        <f t="shared" ref="AF15" si="160">AF14*AF$16</f>
        <v>31354.751858401301</v>
      </c>
      <c r="AG15" s="290">
        <f t="shared" ref="AG15" si="161">AG14*AG$16</f>
        <v>32608.941932737354</v>
      </c>
      <c r="AH15" s="290">
        <f t="shared" ref="AH15" si="162">AH14*AH$16</f>
        <v>33913.299610046852</v>
      </c>
      <c r="AI15" s="290">
        <f t="shared" ref="AI15" si="163">AI14*AI$16</f>
        <v>35269.831594448726</v>
      </c>
      <c r="AJ15" s="290">
        <f t="shared" ref="AJ15" si="164">AJ14*AJ$16</f>
        <v>36680.624858226678</v>
      </c>
      <c r="AK15" s="290">
        <f t="shared" ref="AK15" si="165">AK14*AK$16</f>
        <v>38147.849852555744</v>
      </c>
      <c r="AL15" s="290">
        <f t="shared" ref="AL15" si="166">AL14*AL$16</f>
        <v>39673.763846657974</v>
      </c>
      <c r="AM15" s="290">
        <f t="shared" ref="AM15" si="167">AM14*AM$16</f>
        <v>41260.714400524288</v>
      </c>
      <c r="AN15" s="290">
        <f t="shared" ref="AN15" si="168">AN14*AN$16</f>
        <v>42911.142976545263</v>
      </c>
      <c r="AO15" s="290">
        <f t="shared" ref="AO15" si="169">AO14*AO$16</f>
        <v>44627.588695607075</v>
      </c>
      <c r="AP15" s="290">
        <f t="shared" ref="AP15" si="170">AP14*AP$16</f>
        <v>45073.864582563147</v>
      </c>
      <c r="AQ15" s="290">
        <f t="shared" ref="AQ15" si="171">AQ14*AQ$16</f>
        <v>45524.603228388783</v>
      </c>
      <c r="AR15" s="290">
        <f t="shared" ref="AR15" si="172">AR14*AR$16</f>
        <v>45979.849260672665</v>
      </c>
      <c r="AS15" s="290">
        <f t="shared" ref="AS15" si="173">AS14*AS$16</f>
        <v>46439.647753279394</v>
      </c>
      <c r="AT15" s="290">
        <f t="shared" ref="AT15" si="174">AT14*AT$16</f>
        <v>46904.044230812186</v>
      </c>
      <c r="AU15" s="290">
        <f t="shared" ref="AU15" si="175">AU14*AU$16</f>
        <v>47373.084673120313</v>
      </c>
      <c r="AV15" s="290">
        <f t="shared" ref="AV15" si="176">AV14*AV$16</f>
        <v>47846.815519851516</v>
      </c>
      <c r="AW15" s="290">
        <f t="shared" ref="AW15" si="177">AW14*AW$16</f>
        <v>48325.283675050021</v>
      </c>
      <c r="AX15" s="290">
        <f t="shared" ref="AX15" si="178">AX14*AX$16</f>
        <v>48808.536511800528</v>
      </c>
      <c r="AY15" s="290">
        <f t="shared" ref="AY15" si="179">AY14*AY$16</f>
        <v>49296.621876918536</v>
      </c>
      <c r="AZ15" s="290">
        <f t="shared" ref="AZ15" si="180">AZ14*AZ$16</f>
        <v>44736.684353303579</v>
      </c>
      <c r="BA15" s="290">
        <f t="shared" ref="BA15" si="181">BA14*BA$16</f>
        <v>45184.051196836619</v>
      </c>
      <c r="BB15" s="290">
        <f t="shared" ref="BB15" si="182">BB14*BB$16</f>
        <v>45635.891708804978</v>
      </c>
      <c r="BC15" s="290">
        <f t="shared" ref="BC15" si="183">BC14*BC$16</f>
        <v>46092.25062589303</v>
      </c>
      <c r="BD15" s="290">
        <f t="shared" ref="BD15" si="184">BD14*BD$16</f>
        <v>46553.173132151962</v>
      </c>
      <c r="BE15" s="290">
        <f t="shared" ref="BE15" si="185">BE14*BE$16</f>
        <v>47018.704863473489</v>
      </c>
      <c r="BF15" s="290">
        <f t="shared" ref="BF15" si="186">BF14*BF$16</f>
        <v>47488.891912108222</v>
      </c>
      <c r="BG15" s="290">
        <f t="shared" ref="BG15" si="187">BG14*BG$16</f>
        <v>47963.780831229298</v>
      </c>
      <c r="BH15" s="290">
        <f t="shared" ref="BH15" si="188">BH14*BH$16</f>
        <v>48443.418639541596</v>
      </c>
      <c r="BI15" s="290">
        <f t="shared" ref="BI15" si="189">BI14*BI$16</f>
        <v>48927.852825937014</v>
      </c>
      <c r="BJ15" s="290">
        <f t="shared" ref="BJ15" si="190">BJ14*BJ$16</f>
        <v>49417.13135419639</v>
      </c>
      <c r="BK15" s="290">
        <f t="shared" ref="BK15" si="191">BK14*BK$16</f>
        <v>49911.302667738353</v>
      </c>
      <c r="BL15" s="290">
        <f t="shared" ref="BL15" si="192">BL14*BL$16</f>
        <v>50410.415694415729</v>
      </c>
      <c r="BM15" s="290">
        <f t="shared" ref="BM15" si="193">BM14*BM$16</f>
        <v>50914.519851359895</v>
      </c>
      <c r="BN15" s="290">
        <f t="shared" ref="BN15" si="194">BN14*BN$16</f>
        <v>51423.665049873489</v>
      </c>
      <c r="BO15" s="290">
        <f t="shared" ref="BO15" si="195">BO14*BO$16</f>
        <v>51937.901700372226</v>
      </c>
      <c r="BP15" s="290">
        <f t="shared" ref="BP15" si="196">BP14*BP$16</f>
        <v>52457.28071737595</v>
      </c>
      <c r="BQ15" s="290">
        <f t="shared" ref="BQ15" si="197">BQ14*BQ$16</f>
        <v>52981.853524549711</v>
      </c>
      <c r="BR15" s="290">
        <f t="shared" ref="BR15" si="198">BR14*BR$16</f>
        <v>53511.672059795208</v>
      </c>
      <c r="BS15" s="290">
        <f t="shared" ref="BS15" si="199">BS14*BS$16</f>
        <v>54046.788780393166</v>
      </c>
      <c r="BT15" s="290">
        <f t="shared" ref="BT15" si="200">BT14*BT$16</f>
        <v>54046.788780393166</v>
      </c>
      <c r="BU15" s="290">
        <f t="shared" ref="BU15" si="201">BU14*BU$16</f>
        <v>54046.788780393166</v>
      </c>
      <c r="BV15" s="290">
        <f t="shared" ref="BV15" si="202">BV14*BV$16</f>
        <v>54046.788780393166</v>
      </c>
      <c r="BW15" s="290">
        <f t="shared" ref="BW15" si="203">BW14*BW$16</f>
        <v>54046.788780393166</v>
      </c>
      <c r="BX15" s="290">
        <f t="shared" ref="BX15" si="204">BX14*BX$16</f>
        <v>54046.788780393166</v>
      </c>
      <c r="BY15" s="290">
        <f t="shared" ref="BY15" si="205">BY14*BY$16</f>
        <v>54046.788780393166</v>
      </c>
      <c r="BZ15" s="290">
        <f t="shared" ref="BZ15" si="206">BZ14*BZ$16</f>
        <v>54046.788780393166</v>
      </c>
      <c r="CA15" s="290">
        <f t="shared" ref="CA15" si="207">CA14*CA$16</f>
        <v>54046.788780393166</v>
      </c>
      <c r="CB15" s="290">
        <f t="shared" ref="CB15" si="208">CB14*CB$16</f>
        <v>54046.788780393166</v>
      </c>
      <c r="CC15" s="290">
        <f t="shared" ref="CC15" si="209">CC14*CC$16</f>
        <v>54046.788780393166</v>
      </c>
      <c r="CD15" s="290">
        <f t="shared" ref="CD15" si="210">CD14*CD$16</f>
        <v>54046.788780393166</v>
      </c>
      <c r="CE15" s="290">
        <f t="shared" ref="CE15" si="211">CE14*CE$16</f>
        <v>54046.788780393166</v>
      </c>
      <c r="CF15" s="290">
        <f t="shared" ref="CF15" si="212">CF14*CF$16</f>
        <v>54046.788780393166</v>
      </c>
      <c r="CG15" s="290">
        <f t="shared" ref="CG15" si="213">CG14*CG$16</f>
        <v>54046.788780393166</v>
      </c>
      <c r="CH15" s="290">
        <f t="shared" ref="CH15" si="214">CH14*CH$16</f>
        <v>54046.788780393166</v>
      </c>
    </row>
    <row r="16" spans="1:86" x14ac:dyDescent="0.3">
      <c r="J16" t="s">
        <v>187</v>
      </c>
      <c r="K16" s="85">
        <f>Inputs!C5*Inputs!C3</f>
        <v>540</v>
      </c>
      <c r="L16" s="85">
        <f>IF(L9-$K$9&lt;Inputs!$C$7,Table2[[#This Row],[Year 1]],IF('Long-term Model Summary'!L9-'Long-term Model Summary'!$K$9&gt;Inputs!$C$9,Inputs!$C$5*Inputs!$C$3-Inputs!$C$8*Inputs!$C$3-Inputs!$C$10*Inputs!$C$3,Inputs!$C$5*Inputs!$C$3-Inputs!$C$8*Inputs!$C$3))</f>
        <v>540</v>
      </c>
      <c r="M16" s="85">
        <f>IF(M9-$K$9&lt;Inputs!$C$7,Table2[[#This Row],[Year 2]],IF('Long-term Model Summary'!M9-'Long-term Model Summary'!$K$9&gt;Inputs!$C$9,Inputs!$C$5*Inputs!$C$3-Inputs!$C$8*Inputs!$C$3-Inputs!$C$10*Inputs!$C$3,Inputs!$C$5*Inputs!$C$3-Inputs!$C$8*Inputs!$C$3))</f>
        <v>540</v>
      </c>
      <c r="N16" s="85">
        <f>IF(N9-$K$9&lt;Inputs!$C$7,Table2[[#This Row],[Year 3]],IF('Long-term Model Summary'!N9-'Long-term Model Summary'!$K$9&gt;Inputs!$C$9,Inputs!$C$5*Inputs!$C$3-Inputs!$C$8*Inputs!$C$3-Inputs!$C$10*Inputs!$C$3,Inputs!$C$5*Inputs!$C$3-Inputs!$C$8*Inputs!$C$3))</f>
        <v>540</v>
      </c>
      <c r="O16" s="85">
        <f>IF(O9-$K$9&lt;Inputs!$C$7,Table2[[#This Row],[Year 4]],IF('Long-term Model Summary'!O9-'Long-term Model Summary'!$K$9&gt;Inputs!$C$9,Inputs!$C$5*Inputs!$C$3-Inputs!$C$8*Inputs!$C$3-Inputs!$C$10*Inputs!$C$3,Inputs!$C$5*Inputs!$C$3-Inputs!$C$8*Inputs!$C$3))</f>
        <v>540</v>
      </c>
      <c r="P16" s="85">
        <f>IF(P9-$K$9&lt;Inputs!$C$7,Table2[[#This Row],[Year 5]],IF('Long-term Model Summary'!P9-'Long-term Model Summary'!$K$9&gt;Inputs!$C$9,Inputs!$C$5*Inputs!$C$3-Inputs!$C$8*Inputs!$C$3-Inputs!$C$10*Inputs!$C$3,Inputs!$C$5*Inputs!$C$3-Inputs!$C$8*Inputs!$C$3))</f>
        <v>540</v>
      </c>
      <c r="Q16" s="85">
        <f>IF(Q9-$K$9&lt;Inputs!$C$7,Table2[[#This Row],[Year 6]],IF('Long-term Model Summary'!Q9-'Long-term Model Summary'!$K$9&gt;Inputs!$C$9,Inputs!$C$5*Inputs!$C$3-Inputs!$C$8*Inputs!$C$3-Inputs!$C$10*Inputs!$C$3,Inputs!$C$5*Inputs!$C$3-Inputs!$C$8*Inputs!$C$3))</f>
        <v>540</v>
      </c>
      <c r="R16" s="85">
        <f>IF(R9-$K$9&lt;Inputs!$C$7,Table2[[#This Row],[Year 7]],IF('Long-term Model Summary'!R9-'Long-term Model Summary'!$K$9&gt;Inputs!$C$9,Inputs!$C$5*Inputs!$C$3-Inputs!$C$8*Inputs!$C$3-Inputs!$C$10*Inputs!$C$3,Inputs!$C$5*Inputs!$C$3-Inputs!$C$8*Inputs!$C$3))</f>
        <v>540</v>
      </c>
      <c r="S16" s="85">
        <f>IF(S9-$K$9&lt;Inputs!$C$7,Table2[[#This Row],[Year 8]],IF('Long-term Model Summary'!S9-'Long-term Model Summary'!$K$9&gt;Inputs!$C$9,Inputs!$C$5*Inputs!$C$3-Inputs!$C$8*Inputs!$C$3-Inputs!$C$10*Inputs!$C$3,Inputs!$C$5*Inputs!$C$3-Inputs!$C$8*Inputs!$C$3))</f>
        <v>540</v>
      </c>
      <c r="T16" s="85">
        <f>IF(T9-$K$9&lt;Inputs!$C$7,Table2[[#This Row],[Year 9]],IF('Long-term Model Summary'!T9-'Long-term Model Summary'!$K$9&gt;Inputs!$C$9,Inputs!$C$5*Inputs!$C$3-Inputs!$C$8*Inputs!$C$3-Inputs!$C$10*Inputs!$C$3,Inputs!$C$5*Inputs!$C$3-Inputs!$C$8*Inputs!$C$3))</f>
        <v>540</v>
      </c>
      <c r="U16" s="85">
        <f>IF(U9-$K$9&lt;Inputs!$C$7,Table2[[#This Row],[Year 10]],IF('Long-term Model Summary'!U9-'Long-term Model Summary'!$K$9&gt;Inputs!$C$9,Inputs!$C$5*Inputs!$C$3-Inputs!$C$8*Inputs!$C$3-Inputs!$C$10*Inputs!$C$3,Inputs!$C$5*Inputs!$C$3-Inputs!$C$8*Inputs!$C$3))</f>
        <v>540</v>
      </c>
      <c r="V16" s="85">
        <f>IF(V9-$K$9&lt;Inputs!$C$7,Table2[[#This Row],[Year 11]],IF('Long-term Model Summary'!V9-'Long-term Model Summary'!$K$9&gt;Inputs!$C$9,Inputs!$C$5*Inputs!$C$3-Inputs!$C$8*Inputs!$C$3-Inputs!$C$10*Inputs!$C$3,Inputs!$C$5*Inputs!$C$3-Inputs!$C$8*Inputs!$C$3))</f>
        <v>540</v>
      </c>
      <c r="W16" s="85">
        <f>IF(W9-$K$9&lt;Inputs!$C$7,Table2[[#This Row],[Year 12]],IF('Long-term Model Summary'!W9-'Long-term Model Summary'!$K$9&gt;Inputs!$C$9,Inputs!$C$5*Inputs!$C$3-Inputs!$C$8*Inputs!$C$3-Inputs!$C$10*Inputs!$C$3,Inputs!$C$5*Inputs!$C$3-Inputs!$C$8*Inputs!$C$3))</f>
        <v>360</v>
      </c>
      <c r="X16" s="85">
        <f>IF(X9-$K$9&lt;Inputs!$C$7,Table2[[#This Row],[Year 13]],IF('Long-term Model Summary'!X9-'Long-term Model Summary'!$K$9&gt;Inputs!$C$9,Inputs!$C$5*Inputs!$C$3-Inputs!$C$8*Inputs!$C$3-Inputs!$C$10*Inputs!$C$3,Inputs!$C$5*Inputs!$C$3-Inputs!$C$8*Inputs!$C$3))</f>
        <v>360</v>
      </c>
      <c r="Y16" s="85">
        <f>IF(Y9-$K$9&lt;Inputs!$C$7,Table2[[#This Row],[Year 14]],IF('Long-term Model Summary'!Y9-'Long-term Model Summary'!$K$9&gt;Inputs!$C$9,Inputs!$C$5*Inputs!$C$3-Inputs!$C$8*Inputs!$C$3-Inputs!$C$10*Inputs!$C$3,Inputs!$C$5*Inputs!$C$3-Inputs!$C$8*Inputs!$C$3))</f>
        <v>360</v>
      </c>
      <c r="Z16" s="85">
        <f>IF(Z9-$K$9&lt;Inputs!$C$7,Table2[[#This Row],[Year 15]],IF('Long-term Model Summary'!Z9-'Long-term Model Summary'!$K$9&gt;Inputs!$C$9,Inputs!$C$5*Inputs!$C$3-Inputs!$C$8*Inputs!$C$3-Inputs!$C$10*Inputs!$C$3,Inputs!$C$5*Inputs!$C$3-Inputs!$C$8*Inputs!$C$3))</f>
        <v>360</v>
      </c>
      <c r="AA16" s="85">
        <f>IF(AA9-$K$9&lt;Inputs!$C$7,Table2[[#This Row],[Year 16]],IF('Long-term Model Summary'!AA9-'Long-term Model Summary'!$K$9&gt;Inputs!$C$9,Inputs!$C$5*Inputs!$C$3-Inputs!$C$8*Inputs!$C$3-Inputs!$C$10*Inputs!$C$3,Inputs!$C$5*Inputs!$C$3-Inputs!$C$8*Inputs!$C$3))</f>
        <v>360</v>
      </c>
      <c r="AB16" s="85">
        <f>IF(AB9-$K$9&lt;Inputs!$C$7,Table2[[#This Row],[Year 17]],IF('Long-term Model Summary'!AB9-'Long-term Model Summary'!$K$9&gt;Inputs!$C$9,Inputs!$C$5*Inputs!$C$3-Inputs!$C$8*Inputs!$C$3-Inputs!$C$10*Inputs!$C$3,Inputs!$C$5*Inputs!$C$3-Inputs!$C$8*Inputs!$C$3))</f>
        <v>360</v>
      </c>
      <c r="AC16" s="85">
        <f>IF(AC9-$K$9&lt;Inputs!$C$7,Table2[[#This Row],[Year 18]],IF('Long-term Model Summary'!AC9-'Long-term Model Summary'!$K$9&gt;Inputs!$C$9,Inputs!$C$5*Inputs!$C$3-Inputs!$C$8*Inputs!$C$3-Inputs!$C$10*Inputs!$C$3,Inputs!$C$5*Inputs!$C$3-Inputs!$C$8*Inputs!$C$3))</f>
        <v>360</v>
      </c>
      <c r="AD16" s="85">
        <f>IF(AD9-$K$9&lt;Inputs!$C$7,Table2[[#This Row],[Year 19]],IF('Long-term Model Summary'!AD9-'Long-term Model Summary'!$K$9&gt;Inputs!$C$9,Inputs!$C$5*Inputs!$C$3-Inputs!$C$8*Inputs!$C$3-Inputs!$C$10*Inputs!$C$3,Inputs!$C$5*Inputs!$C$3-Inputs!$C$8*Inputs!$C$3))</f>
        <v>360</v>
      </c>
      <c r="AE16" s="85">
        <f>IF(AE9-$K$9&lt;Inputs!$C$7,Table2[[#This Row],[Year 20]],IF('Long-term Model Summary'!AE9-'Long-term Model Summary'!$K$9&gt;Inputs!$C$9,Inputs!$C$5*Inputs!$C$3-Inputs!$C$8*Inputs!$C$3-Inputs!$C$10*Inputs!$C$3,Inputs!$C$5*Inputs!$C$3-Inputs!$C$8*Inputs!$C$3))</f>
        <v>360</v>
      </c>
      <c r="AF16" s="85">
        <f>IF(AF9-$K$9&lt;Inputs!$C$7,Table2[[#This Row],[Year 21]],IF('Long-term Model Summary'!AF9-'Long-term Model Summary'!$K$9&gt;Inputs!$C$9,Inputs!$C$5*Inputs!$C$3-Inputs!$C$8*Inputs!$C$3-Inputs!$C$10*Inputs!$C$3,Inputs!$C$5*Inputs!$C$3-Inputs!$C$8*Inputs!$C$3))</f>
        <v>360</v>
      </c>
      <c r="AG16" s="85">
        <f>IF(AG9-$K$9&lt;Inputs!$C$7,Table2[[#This Row],[Year 22]],IF('Long-term Model Summary'!AG9-'Long-term Model Summary'!$K$9&gt;Inputs!$C$9,Inputs!$C$5*Inputs!$C$3-Inputs!$C$8*Inputs!$C$3-Inputs!$C$10*Inputs!$C$3,Inputs!$C$5*Inputs!$C$3-Inputs!$C$8*Inputs!$C$3))</f>
        <v>360</v>
      </c>
      <c r="AH16" s="85">
        <f>IF(AH9-$K$9&lt;Inputs!$C$7,Table2[[#This Row],[Year 23]],IF('Long-term Model Summary'!AH9-'Long-term Model Summary'!$K$9&gt;Inputs!$C$9,Inputs!$C$5*Inputs!$C$3-Inputs!$C$8*Inputs!$C$3-Inputs!$C$10*Inputs!$C$3,Inputs!$C$5*Inputs!$C$3-Inputs!$C$8*Inputs!$C$3))</f>
        <v>360</v>
      </c>
      <c r="AI16" s="85">
        <f>IF(AI9-$K$9&lt;Inputs!$C$7,Table2[[#This Row],[Year 24]],IF('Long-term Model Summary'!AI9-'Long-term Model Summary'!$K$9&gt;Inputs!$C$9,Inputs!$C$5*Inputs!$C$3-Inputs!$C$8*Inputs!$C$3-Inputs!$C$10*Inputs!$C$3,Inputs!$C$5*Inputs!$C$3-Inputs!$C$8*Inputs!$C$3))</f>
        <v>360</v>
      </c>
      <c r="AJ16" s="85">
        <f>IF(AJ9-$K$9&lt;Inputs!$C$7,Table2[[#This Row],[Year 25]],IF('Long-term Model Summary'!AJ9-'Long-term Model Summary'!$K$9&gt;Inputs!$C$9,Inputs!$C$5*Inputs!$C$3-Inputs!$C$8*Inputs!$C$3-Inputs!$C$10*Inputs!$C$3,Inputs!$C$5*Inputs!$C$3-Inputs!$C$8*Inputs!$C$3))</f>
        <v>360</v>
      </c>
      <c r="AK16" s="85">
        <f>IF(AK9-$K$9&lt;Inputs!$C$7,Table2[[#This Row],[Year 26]],IF('Long-term Model Summary'!AK9-'Long-term Model Summary'!$K$9&gt;Inputs!$C$9,Inputs!$C$5*Inputs!$C$3-Inputs!$C$8*Inputs!$C$3-Inputs!$C$10*Inputs!$C$3,Inputs!$C$5*Inputs!$C$3-Inputs!$C$8*Inputs!$C$3))</f>
        <v>360</v>
      </c>
      <c r="AL16" s="85">
        <f>IF(AL9-$K$9&lt;Inputs!$C$7,Table2[[#This Row],[Year 27]],IF('Long-term Model Summary'!AL9-'Long-term Model Summary'!$K$9&gt;Inputs!$C$9,Inputs!$C$5*Inputs!$C$3-Inputs!$C$8*Inputs!$C$3-Inputs!$C$10*Inputs!$C$3,Inputs!$C$5*Inputs!$C$3-Inputs!$C$8*Inputs!$C$3))</f>
        <v>360</v>
      </c>
      <c r="AM16" s="85">
        <f>IF(AM9-$K$9&lt;Inputs!$C$7,Table2[[#This Row],[Year 28]],IF('Long-term Model Summary'!AM9-'Long-term Model Summary'!$K$9&gt;Inputs!$C$9,Inputs!$C$5*Inputs!$C$3-Inputs!$C$8*Inputs!$C$3-Inputs!$C$10*Inputs!$C$3,Inputs!$C$5*Inputs!$C$3-Inputs!$C$8*Inputs!$C$3))</f>
        <v>360</v>
      </c>
      <c r="AN16" s="85">
        <f>IF(AN9-$K$9&lt;Inputs!$C$7,Table2[[#This Row],[Year 29]],IF('Long-term Model Summary'!AN9-'Long-term Model Summary'!$K$9&gt;Inputs!$C$9,Inputs!$C$5*Inputs!$C$3-Inputs!$C$8*Inputs!$C$3-Inputs!$C$10*Inputs!$C$3,Inputs!$C$5*Inputs!$C$3-Inputs!$C$8*Inputs!$C$3))</f>
        <v>360</v>
      </c>
      <c r="AO16" s="85">
        <f>IF(AO9-$K$9&lt;Inputs!$C$7,Table2[[#This Row],[Year 30]],IF('Long-term Model Summary'!AO9-'Long-term Model Summary'!$K$9&gt;Inputs!$C$9,Inputs!$C$5*Inputs!$C$3-Inputs!$C$8*Inputs!$C$3-Inputs!$C$10*Inputs!$C$3,Inputs!$C$5*Inputs!$C$3-Inputs!$C$8*Inputs!$C$3))</f>
        <v>360</v>
      </c>
      <c r="AP16" s="85">
        <f>IF(AP9-$K$9&lt;Inputs!$C$7,Table2[[#This Row],[Year 31]],IF('Long-term Model Summary'!AP9-'Long-term Model Summary'!$K$9&gt;Inputs!$C$9,Inputs!$C$5*Inputs!$C$3-Inputs!$C$8*Inputs!$C$3-Inputs!$C$10*Inputs!$C$3,Inputs!$C$5*Inputs!$C$3-Inputs!$C$8*Inputs!$C$3))</f>
        <v>360</v>
      </c>
      <c r="AQ16" s="85">
        <f>IF(AQ9-$K$9&lt;Inputs!$C$7,Table2[[#This Row],[Year 32]],IF('Long-term Model Summary'!AQ9-'Long-term Model Summary'!$K$9&gt;Inputs!$C$9,Inputs!$C$5*Inputs!$C$3-Inputs!$C$8*Inputs!$C$3-Inputs!$C$10*Inputs!$C$3,Inputs!$C$5*Inputs!$C$3-Inputs!$C$8*Inputs!$C$3))</f>
        <v>360</v>
      </c>
      <c r="AR16" s="85">
        <f>IF(AR9-$K$9&lt;Inputs!$C$7,Table2[[#This Row],[Year 33]],IF('Long-term Model Summary'!AR9-'Long-term Model Summary'!$K$9&gt;Inputs!$C$9,Inputs!$C$5*Inputs!$C$3-Inputs!$C$8*Inputs!$C$3-Inputs!$C$10*Inputs!$C$3,Inputs!$C$5*Inputs!$C$3-Inputs!$C$8*Inputs!$C$3))</f>
        <v>360</v>
      </c>
      <c r="AS16" s="85">
        <f>IF(AS9-$K$9&lt;Inputs!$C$7,Table2[[#This Row],[Year 34]],IF('Long-term Model Summary'!AS9-'Long-term Model Summary'!$K$9&gt;Inputs!$C$9,Inputs!$C$5*Inputs!$C$3-Inputs!$C$8*Inputs!$C$3-Inputs!$C$10*Inputs!$C$3,Inputs!$C$5*Inputs!$C$3-Inputs!$C$8*Inputs!$C$3))</f>
        <v>360</v>
      </c>
      <c r="AT16" s="85">
        <f>IF(AT9-$K$9&lt;Inputs!$C$7,Table2[[#This Row],[Year 35]],IF('Long-term Model Summary'!AT9-'Long-term Model Summary'!$K$9&gt;Inputs!$C$9,Inputs!$C$5*Inputs!$C$3-Inputs!$C$8*Inputs!$C$3-Inputs!$C$10*Inputs!$C$3,Inputs!$C$5*Inputs!$C$3-Inputs!$C$8*Inputs!$C$3))</f>
        <v>360</v>
      </c>
      <c r="AU16" s="85">
        <f>IF(AU9-$K$9&lt;Inputs!$C$7,Table2[[#This Row],[Year 36]],IF('Long-term Model Summary'!AU9-'Long-term Model Summary'!$K$9&gt;Inputs!$C$9,Inputs!$C$5*Inputs!$C$3-Inputs!$C$8*Inputs!$C$3-Inputs!$C$10*Inputs!$C$3,Inputs!$C$5*Inputs!$C$3-Inputs!$C$8*Inputs!$C$3))</f>
        <v>360</v>
      </c>
      <c r="AV16" s="85">
        <f>IF(AV9-$K$9&lt;Inputs!$C$7,Table2[[#This Row],[Year 37]],IF('Long-term Model Summary'!AV9-'Long-term Model Summary'!$K$9&gt;Inputs!$C$9,Inputs!$C$5*Inputs!$C$3-Inputs!$C$8*Inputs!$C$3-Inputs!$C$10*Inputs!$C$3,Inputs!$C$5*Inputs!$C$3-Inputs!$C$8*Inputs!$C$3))</f>
        <v>360</v>
      </c>
      <c r="AW16" s="85">
        <f>IF(AW9-$K$9&lt;Inputs!$C$7,Table2[[#This Row],[Year 38]],IF('Long-term Model Summary'!AW9-'Long-term Model Summary'!$K$9&gt;Inputs!$C$9,Inputs!$C$5*Inputs!$C$3-Inputs!$C$8*Inputs!$C$3-Inputs!$C$10*Inputs!$C$3,Inputs!$C$5*Inputs!$C$3-Inputs!$C$8*Inputs!$C$3))</f>
        <v>360</v>
      </c>
      <c r="AX16" s="85">
        <f>IF(AX9-$K$9&lt;Inputs!$C$7,Table2[[#This Row],[Year 39]],IF('Long-term Model Summary'!AX9-'Long-term Model Summary'!$K$9&gt;Inputs!$C$9,Inputs!$C$5*Inputs!$C$3-Inputs!$C$8*Inputs!$C$3-Inputs!$C$10*Inputs!$C$3,Inputs!$C$5*Inputs!$C$3-Inputs!$C$8*Inputs!$C$3))</f>
        <v>360</v>
      </c>
      <c r="AY16" s="85">
        <f>IF(AY9-$K$9&lt;Inputs!$C$7,Table2[[#This Row],[Year 40]],IF('Long-term Model Summary'!AY9-'Long-term Model Summary'!$K$9&gt;Inputs!$C$9,Inputs!$C$5*Inputs!$C$3-Inputs!$C$8*Inputs!$C$3-Inputs!$C$10*Inputs!$C$3,Inputs!$C$5*Inputs!$C$3-Inputs!$C$8*Inputs!$C$3))</f>
        <v>360</v>
      </c>
      <c r="AZ16" s="85">
        <f>IF(AZ9-$K$9&lt;Inputs!$C$7,Table2[[#This Row],[Year 41]],IF('Long-term Model Summary'!AZ9-'Long-term Model Summary'!$K$9&gt;Inputs!$C$9,Inputs!$C$5*Inputs!$C$3-Inputs!$C$8*Inputs!$C$3-Inputs!$C$10*Inputs!$C$3,Inputs!$C$5*Inputs!$C$3-Inputs!$C$8*Inputs!$C$3))</f>
        <v>270</v>
      </c>
      <c r="BA16" s="85">
        <f>IF(BA9-$K$9&lt;Inputs!$C$7,Table2[[#This Row],[Year 42]],IF('Long-term Model Summary'!BA9-'Long-term Model Summary'!$K$9&gt;Inputs!$C$9,Inputs!$C$5*Inputs!$C$3-Inputs!$C$8*Inputs!$C$3-Inputs!$C$10*Inputs!$C$3,Inputs!$C$5*Inputs!$C$3-Inputs!$C$8*Inputs!$C$3))</f>
        <v>270</v>
      </c>
      <c r="BB16" s="85">
        <f>IF(BB9-$K$9&lt;Inputs!$C$7,Table2[[#This Row],[Year 43]],IF('Long-term Model Summary'!BB9-'Long-term Model Summary'!$K$9&gt;Inputs!$C$9,Inputs!$C$5*Inputs!$C$3-Inputs!$C$8*Inputs!$C$3-Inputs!$C$10*Inputs!$C$3,Inputs!$C$5*Inputs!$C$3-Inputs!$C$8*Inputs!$C$3))</f>
        <v>270</v>
      </c>
      <c r="BC16" s="85">
        <f>IF(BC9-$K$9&lt;Inputs!$C$7,Table2[[#This Row],[Year 44]],IF('Long-term Model Summary'!BC9-'Long-term Model Summary'!$K$9&gt;Inputs!$C$9,Inputs!$C$5*Inputs!$C$3-Inputs!$C$8*Inputs!$C$3-Inputs!$C$10*Inputs!$C$3,Inputs!$C$5*Inputs!$C$3-Inputs!$C$8*Inputs!$C$3))</f>
        <v>270</v>
      </c>
      <c r="BD16" s="85">
        <f>IF(BD9-$K$9&lt;Inputs!$C$7,Table2[[#This Row],[Year 45]],IF('Long-term Model Summary'!BD9-'Long-term Model Summary'!$K$9&gt;Inputs!$C$9,Inputs!$C$5*Inputs!$C$3-Inputs!$C$8*Inputs!$C$3-Inputs!$C$10*Inputs!$C$3,Inputs!$C$5*Inputs!$C$3-Inputs!$C$8*Inputs!$C$3))</f>
        <v>270</v>
      </c>
      <c r="BE16" s="85">
        <f>IF(BE9-$K$9&lt;Inputs!$C$7,Table2[[#This Row],[Year 46]],IF('Long-term Model Summary'!BE9-'Long-term Model Summary'!$K$9&gt;Inputs!$C$9,Inputs!$C$5*Inputs!$C$3-Inputs!$C$8*Inputs!$C$3-Inputs!$C$10*Inputs!$C$3,Inputs!$C$5*Inputs!$C$3-Inputs!$C$8*Inputs!$C$3))</f>
        <v>270</v>
      </c>
      <c r="BF16" s="85">
        <f>IF(BF9-$K$9&lt;Inputs!$C$7,Table2[[#This Row],[Year 47]],IF('Long-term Model Summary'!BF9-'Long-term Model Summary'!$K$9&gt;Inputs!$C$9,Inputs!$C$5*Inputs!$C$3-Inputs!$C$8*Inputs!$C$3-Inputs!$C$10*Inputs!$C$3,Inputs!$C$5*Inputs!$C$3-Inputs!$C$8*Inputs!$C$3))</f>
        <v>270</v>
      </c>
      <c r="BG16" s="85">
        <f>IF(BG9-$K$9&lt;Inputs!$C$7,Table2[[#This Row],[Year 48]],IF('Long-term Model Summary'!BG9-'Long-term Model Summary'!$K$9&gt;Inputs!$C$9,Inputs!$C$5*Inputs!$C$3-Inputs!$C$8*Inputs!$C$3-Inputs!$C$10*Inputs!$C$3,Inputs!$C$5*Inputs!$C$3-Inputs!$C$8*Inputs!$C$3))</f>
        <v>270</v>
      </c>
      <c r="BH16" s="85">
        <f>IF(BH9-$K$9&lt;Inputs!$C$7,Table2[[#This Row],[Year 49]],IF('Long-term Model Summary'!BH9-'Long-term Model Summary'!$K$9&gt;Inputs!$C$9,Inputs!$C$5*Inputs!$C$3-Inputs!$C$8*Inputs!$C$3-Inputs!$C$10*Inputs!$C$3,Inputs!$C$5*Inputs!$C$3-Inputs!$C$8*Inputs!$C$3))</f>
        <v>270</v>
      </c>
      <c r="BI16" s="85">
        <f>IF(BI9-$K$9&lt;Inputs!$C$7,Table2[[#This Row],[Year 50]],IF('Long-term Model Summary'!BI9-'Long-term Model Summary'!$K$9&gt;Inputs!$C$9,Inputs!$C$5*Inputs!$C$3-Inputs!$C$8*Inputs!$C$3-Inputs!$C$10*Inputs!$C$3,Inputs!$C$5*Inputs!$C$3-Inputs!$C$8*Inputs!$C$3))</f>
        <v>270</v>
      </c>
      <c r="BJ16" s="85">
        <f>IF(BJ9-$K$9&lt;Inputs!$C$7,Table2[[#This Row],[Year 51]],IF('Long-term Model Summary'!BJ9-'Long-term Model Summary'!$K$9&gt;Inputs!$C$9,Inputs!$C$5*Inputs!$C$3-Inputs!$C$8*Inputs!$C$3-Inputs!$C$10*Inputs!$C$3,Inputs!$C$5*Inputs!$C$3-Inputs!$C$8*Inputs!$C$3))</f>
        <v>270</v>
      </c>
      <c r="BK16" s="85">
        <f>IF(BK9-$K$9&lt;Inputs!$C$7,Table2[[#This Row],[Year 52]],IF('Long-term Model Summary'!BK9-'Long-term Model Summary'!$K$9&gt;Inputs!$C$9,Inputs!$C$5*Inputs!$C$3-Inputs!$C$8*Inputs!$C$3-Inputs!$C$10*Inputs!$C$3,Inputs!$C$5*Inputs!$C$3-Inputs!$C$8*Inputs!$C$3))</f>
        <v>270</v>
      </c>
      <c r="BL16" s="85">
        <f>IF(BL9-$K$9&lt;Inputs!$C$7,Table2[[#This Row],[Year 53]],IF('Long-term Model Summary'!BL9-'Long-term Model Summary'!$K$9&gt;Inputs!$C$9,Inputs!$C$5*Inputs!$C$3-Inputs!$C$8*Inputs!$C$3-Inputs!$C$10*Inputs!$C$3,Inputs!$C$5*Inputs!$C$3-Inputs!$C$8*Inputs!$C$3))</f>
        <v>270</v>
      </c>
      <c r="BM16" s="85">
        <f>IF(BM9-$K$9&lt;Inputs!$C$7,Table2[[#This Row],[Year 54]],IF('Long-term Model Summary'!BM9-'Long-term Model Summary'!$K$9&gt;Inputs!$C$9,Inputs!$C$5*Inputs!$C$3-Inputs!$C$8*Inputs!$C$3-Inputs!$C$10*Inputs!$C$3,Inputs!$C$5*Inputs!$C$3-Inputs!$C$8*Inputs!$C$3))</f>
        <v>270</v>
      </c>
      <c r="BN16" s="85">
        <f>IF(BN9-$K$9&lt;Inputs!$C$7,Table2[[#This Row],[Year 55]],IF('Long-term Model Summary'!BN9-'Long-term Model Summary'!$K$9&gt;Inputs!$C$9,Inputs!$C$5*Inputs!$C$3-Inputs!$C$8*Inputs!$C$3-Inputs!$C$10*Inputs!$C$3,Inputs!$C$5*Inputs!$C$3-Inputs!$C$8*Inputs!$C$3))</f>
        <v>270</v>
      </c>
      <c r="BO16" s="85">
        <f>IF(BO9-$K$9&lt;Inputs!$C$7,Table2[[#This Row],[Year 56]],IF('Long-term Model Summary'!BO9-'Long-term Model Summary'!$K$9&gt;Inputs!$C$9,Inputs!$C$5*Inputs!$C$3-Inputs!$C$8*Inputs!$C$3-Inputs!$C$10*Inputs!$C$3,Inputs!$C$5*Inputs!$C$3-Inputs!$C$8*Inputs!$C$3))</f>
        <v>270</v>
      </c>
      <c r="BP16" s="85">
        <f>IF(BP9-$K$9&lt;Inputs!$C$7,Table2[[#This Row],[Year 57]],IF('Long-term Model Summary'!BP9-'Long-term Model Summary'!$K$9&gt;Inputs!$C$9,Inputs!$C$5*Inputs!$C$3-Inputs!$C$8*Inputs!$C$3-Inputs!$C$10*Inputs!$C$3,Inputs!$C$5*Inputs!$C$3-Inputs!$C$8*Inputs!$C$3))</f>
        <v>270</v>
      </c>
      <c r="BQ16" s="85">
        <f>IF(BQ9-$K$9&lt;Inputs!$C$7,Table2[[#This Row],[Year 58]],IF('Long-term Model Summary'!BQ9-'Long-term Model Summary'!$K$9&gt;Inputs!$C$9,Inputs!$C$5*Inputs!$C$3-Inputs!$C$8*Inputs!$C$3-Inputs!$C$10*Inputs!$C$3,Inputs!$C$5*Inputs!$C$3-Inputs!$C$8*Inputs!$C$3))</f>
        <v>270</v>
      </c>
      <c r="BR16" s="85">
        <f>IF(BR9-$K$9&lt;Inputs!$C$7,Table2[[#This Row],[Year 59]],IF('Long-term Model Summary'!BR9-'Long-term Model Summary'!$K$9&gt;Inputs!$C$9,Inputs!$C$5*Inputs!$C$3-Inputs!$C$8*Inputs!$C$3-Inputs!$C$10*Inputs!$C$3,Inputs!$C$5*Inputs!$C$3-Inputs!$C$8*Inputs!$C$3))</f>
        <v>270</v>
      </c>
      <c r="BS16" s="85">
        <f>IF(BS9-$K$9&lt;Inputs!$C$7,Table2[[#This Row],[Year 60]],IF('Long-term Model Summary'!BS9-'Long-term Model Summary'!$K$9&gt;Inputs!$C$9,Inputs!$C$5*Inputs!$C$3-Inputs!$C$8*Inputs!$C$3-Inputs!$C$10*Inputs!$C$3,Inputs!$C$5*Inputs!$C$3-Inputs!$C$8*Inputs!$C$3))</f>
        <v>270</v>
      </c>
      <c r="BT16" s="85">
        <f>IF(BT9-$K$9&lt;Inputs!$C$7,Table2[[#This Row],[Year 61]],IF('Long-term Model Summary'!BT9-'Long-term Model Summary'!$K$9&gt;Inputs!$C$9,Inputs!$C$5*Inputs!$C$3-Inputs!$C$8*Inputs!$C$3-Inputs!$C$10*Inputs!$C$3,Inputs!$C$5*Inputs!$C$3-Inputs!$C$8*Inputs!$C$3))</f>
        <v>270</v>
      </c>
      <c r="BU16" s="85">
        <f>IF(BU9-$K$9&lt;Inputs!$C$7,Table2[[#This Row],[Year 62]],IF('Long-term Model Summary'!BU9-'Long-term Model Summary'!$K$9&gt;Inputs!$C$9,Inputs!$C$5*Inputs!$C$3-Inputs!$C$8*Inputs!$C$3-Inputs!$C$10*Inputs!$C$3,Inputs!$C$5*Inputs!$C$3-Inputs!$C$8*Inputs!$C$3))</f>
        <v>270</v>
      </c>
      <c r="BV16" s="85">
        <f>IF(BV9-$K$9&lt;Inputs!$C$7,Table2[[#This Row],[Year 63]],IF('Long-term Model Summary'!BV9-'Long-term Model Summary'!$K$9&gt;Inputs!$C$9,Inputs!$C$5*Inputs!$C$3-Inputs!$C$8*Inputs!$C$3-Inputs!$C$10*Inputs!$C$3,Inputs!$C$5*Inputs!$C$3-Inputs!$C$8*Inputs!$C$3))</f>
        <v>270</v>
      </c>
      <c r="BW16" s="85">
        <f>IF(BW9-$K$9&lt;Inputs!$C$7,Table2[[#This Row],[Year 64]],IF('Long-term Model Summary'!BW9-'Long-term Model Summary'!$K$9&gt;Inputs!$C$9,Inputs!$C$5*Inputs!$C$3-Inputs!$C$8*Inputs!$C$3-Inputs!$C$10*Inputs!$C$3,Inputs!$C$5*Inputs!$C$3-Inputs!$C$8*Inputs!$C$3))</f>
        <v>270</v>
      </c>
      <c r="BX16" s="85">
        <f>IF(BX9-$K$9&lt;Inputs!$C$7,Table2[[#This Row],[Year 65]],IF('Long-term Model Summary'!BX9-'Long-term Model Summary'!$K$9&gt;Inputs!$C$9,Inputs!$C$5*Inputs!$C$3-Inputs!$C$8*Inputs!$C$3-Inputs!$C$10*Inputs!$C$3,Inputs!$C$5*Inputs!$C$3-Inputs!$C$8*Inputs!$C$3))</f>
        <v>270</v>
      </c>
      <c r="BY16" s="85">
        <f>IF(BY9-$K$9&lt;Inputs!$C$7,Table2[[#This Row],[Year 66]],IF('Long-term Model Summary'!BY9-'Long-term Model Summary'!$K$9&gt;Inputs!$C$9,Inputs!$C$5*Inputs!$C$3-Inputs!$C$8*Inputs!$C$3-Inputs!$C$10*Inputs!$C$3,Inputs!$C$5*Inputs!$C$3-Inputs!$C$8*Inputs!$C$3))</f>
        <v>270</v>
      </c>
      <c r="BZ16" s="85">
        <f>IF(BZ9-$K$9&lt;Inputs!$C$7,Table2[[#This Row],[Year 67]],IF('Long-term Model Summary'!BZ9-'Long-term Model Summary'!$K$9&gt;Inputs!$C$9,Inputs!$C$5*Inputs!$C$3-Inputs!$C$8*Inputs!$C$3-Inputs!$C$10*Inputs!$C$3,Inputs!$C$5*Inputs!$C$3-Inputs!$C$8*Inputs!$C$3))</f>
        <v>270</v>
      </c>
      <c r="CA16" s="85">
        <f>IF(CA9-$K$9&lt;Inputs!$C$7,Table2[[#This Row],[Year 68]],IF('Long-term Model Summary'!CA9-'Long-term Model Summary'!$K$9&gt;Inputs!$C$9,Inputs!$C$5*Inputs!$C$3-Inputs!$C$8*Inputs!$C$3-Inputs!$C$10*Inputs!$C$3,Inputs!$C$5*Inputs!$C$3-Inputs!$C$8*Inputs!$C$3))</f>
        <v>270</v>
      </c>
      <c r="CB16" s="85">
        <f>IF(CB9-$K$9&lt;Inputs!$C$7,Table2[[#This Row],[Year 69]],IF('Long-term Model Summary'!CB9-'Long-term Model Summary'!$K$9&gt;Inputs!$C$9,Inputs!$C$5*Inputs!$C$3-Inputs!$C$8*Inputs!$C$3-Inputs!$C$10*Inputs!$C$3,Inputs!$C$5*Inputs!$C$3-Inputs!$C$8*Inputs!$C$3))</f>
        <v>270</v>
      </c>
      <c r="CC16" s="85">
        <f>IF(CC9-$K$9&lt;Inputs!$C$7,Table2[[#This Row],[Year 70]],IF('Long-term Model Summary'!CC9-'Long-term Model Summary'!$K$9&gt;Inputs!$C$9,Inputs!$C$5*Inputs!$C$3-Inputs!$C$8*Inputs!$C$3-Inputs!$C$10*Inputs!$C$3,Inputs!$C$5*Inputs!$C$3-Inputs!$C$8*Inputs!$C$3))</f>
        <v>270</v>
      </c>
      <c r="CD16" s="85">
        <f>IF(CD9-$K$9&lt;Inputs!$C$7,Table2[[#This Row],[Year 71]],IF('Long-term Model Summary'!CD9-'Long-term Model Summary'!$K$9&gt;Inputs!$C$9,Inputs!$C$5*Inputs!$C$3-Inputs!$C$8*Inputs!$C$3-Inputs!$C$10*Inputs!$C$3,Inputs!$C$5*Inputs!$C$3-Inputs!$C$8*Inputs!$C$3))</f>
        <v>270</v>
      </c>
      <c r="CE16" s="85">
        <f>IF(CE9-$K$9&lt;Inputs!$C$7,Table2[[#This Row],[Year 72]],IF('Long-term Model Summary'!CE9-'Long-term Model Summary'!$K$9&gt;Inputs!$C$9,Inputs!$C$5*Inputs!$C$3-Inputs!$C$8*Inputs!$C$3-Inputs!$C$10*Inputs!$C$3,Inputs!$C$5*Inputs!$C$3-Inputs!$C$8*Inputs!$C$3))</f>
        <v>270</v>
      </c>
      <c r="CF16" s="85">
        <f>IF(CF9-$K$9&lt;Inputs!$C$7,Table2[[#This Row],[Year 73]],IF('Long-term Model Summary'!CF9-'Long-term Model Summary'!$K$9&gt;Inputs!$C$9,Inputs!$C$5*Inputs!$C$3-Inputs!$C$8*Inputs!$C$3-Inputs!$C$10*Inputs!$C$3,Inputs!$C$5*Inputs!$C$3-Inputs!$C$8*Inputs!$C$3))</f>
        <v>270</v>
      </c>
      <c r="CG16" s="85">
        <f>IF(CG9-$K$9&lt;Inputs!$C$7,Table2[[#This Row],[Year 74]],IF('Long-term Model Summary'!CG9-'Long-term Model Summary'!$K$9&gt;Inputs!$C$9,Inputs!$C$5*Inputs!$C$3-Inputs!$C$8*Inputs!$C$3-Inputs!$C$10*Inputs!$C$3,Inputs!$C$5*Inputs!$C$3-Inputs!$C$8*Inputs!$C$3))</f>
        <v>270</v>
      </c>
      <c r="CH16" s="85">
        <f>IF(CH9-$K$9&lt;Inputs!$C$7,Table2[[#This Row],[Year 75]],IF('Long-term Model Summary'!CH9-'Long-term Model Summary'!$K$9&gt;Inputs!$C$9,Inputs!$C$5*Inputs!$C$3-Inputs!$C$8*Inputs!$C$3-Inputs!$C$10*Inputs!$C$3,Inputs!$C$5*Inputs!$C$3-Inputs!$C$8*Inputs!$C$3))</f>
        <v>270</v>
      </c>
    </row>
    <row r="17" spans="10:86" ht="17.25" thickBot="1" x14ac:dyDescent="0.35"/>
    <row r="18" spans="10:86" x14ac:dyDescent="0.3">
      <c r="J18" s="292" t="s">
        <v>181</v>
      </c>
      <c r="K18" s="293" t="s">
        <v>223</v>
      </c>
      <c r="L18" s="293" t="s">
        <v>224</v>
      </c>
      <c r="M18" s="293" t="s">
        <v>225</v>
      </c>
      <c r="N18" s="293" t="s">
        <v>226</v>
      </c>
      <c r="O18" s="293" t="s">
        <v>227</v>
      </c>
      <c r="P18" s="293" t="s">
        <v>228</v>
      </c>
      <c r="Q18" s="293" t="s">
        <v>229</v>
      </c>
      <c r="R18" s="293" t="s">
        <v>230</v>
      </c>
      <c r="S18" s="293" t="s">
        <v>231</v>
      </c>
      <c r="T18" s="293" t="s">
        <v>232</v>
      </c>
      <c r="U18" s="293" t="s">
        <v>233</v>
      </c>
      <c r="V18" s="293" t="s">
        <v>234</v>
      </c>
      <c r="W18" s="293" t="s">
        <v>235</v>
      </c>
      <c r="X18" s="293" t="s">
        <v>236</v>
      </c>
      <c r="Y18" s="293" t="s">
        <v>237</v>
      </c>
      <c r="Z18" s="293" t="s">
        <v>238</v>
      </c>
      <c r="AA18" s="293" t="s">
        <v>239</v>
      </c>
      <c r="AB18" s="293" t="s">
        <v>240</v>
      </c>
      <c r="AC18" s="293" t="s">
        <v>241</v>
      </c>
      <c r="AD18" s="293" t="s">
        <v>242</v>
      </c>
      <c r="AE18" s="293" t="s">
        <v>243</v>
      </c>
      <c r="AF18" s="293" t="s">
        <v>244</v>
      </c>
      <c r="AG18" s="293" t="s">
        <v>245</v>
      </c>
      <c r="AH18" s="293" t="s">
        <v>246</v>
      </c>
      <c r="AI18" s="293" t="s">
        <v>247</v>
      </c>
      <c r="AJ18" s="293" t="s">
        <v>248</v>
      </c>
      <c r="AK18" s="293" t="s">
        <v>249</v>
      </c>
      <c r="AL18" s="293" t="s">
        <v>250</v>
      </c>
      <c r="AM18" s="293" t="s">
        <v>251</v>
      </c>
      <c r="AN18" s="293" t="s">
        <v>252</v>
      </c>
      <c r="AO18" s="293" t="s">
        <v>253</v>
      </c>
      <c r="AP18" s="293" t="s">
        <v>254</v>
      </c>
      <c r="AQ18" s="293" t="s">
        <v>255</v>
      </c>
      <c r="AR18" s="293" t="s">
        <v>256</v>
      </c>
      <c r="AS18" s="293" t="s">
        <v>257</v>
      </c>
      <c r="AT18" s="293" t="s">
        <v>258</v>
      </c>
      <c r="AU18" s="293" t="s">
        <v>259</v>
      </c>
      <c r="AV18" s="293" t="s">
        <v>260</v>
      </c>
      <c r="AW18" s="293" t="s">
        <v>261</v>
      </c>
      <c r="AX18" s="293" t="s">
        <v>262</v>
      </c>
      <c r="AY18" s="293" t="s">
        <v>263</v>
      </c>
      <c r="AZ18" s="293" t="s">
        <v>264</v>
      </c>
      <c r="BA18" s="293" t="s">
        <v>265</v>
      </c>
      <c r="BB18" s="293" t="s">
        <v>266</v>
      </c>
      <c r="BC18" s="293" t="s">
        <v>267</v>
      </c>
      <c r="BD18" s="293" t="s">
        <v>268</v>
      </c>
      <c r="BE18" s="293" t="s">
        <v>269</v>
      </c>
      <c r="BF18" s="293" t="s">
        <v>270</v>
      </c>
      <c r="BG18" s="293" t="s">
        <v>271</v>
      </c>
      <c r="BH18" s="293" t="s">
        <v>272</v>
      </c>
      <c r="BI18" s="293" t="s">
        <v>273</v>
      </c>
      <c r="BJ18" s="293" t="s">
        <v>274</v>
      </c>
      <c r="BK18" s="293" t="s">
        <v>275</v>
      </c>
      <c r="BL18" s="293" t="s">
        <v>276</v>
      </c>
      <c r="BM18" s="293" t="s">
        <v>277</v>
      </c>
      <c r="BN18" s="293" t="s">
        <v>278</v>
      </c>
      <c r="BO18" s="293" t="s">
        <v>279</v>
      </c>
      <c r="BP18" s="293" t="s">
        <v>280</v>
      </c>
      <c r="BQ18" s="293" t="s">
        <v>281</v>
      </c>
      <c r="BR18" s="293" t="s">
        <v>282</v>
      </c>
      <c r="BS18" s="293" t="s">
        <v>283</v>
      </c>
      <c r="BT18" s="293" t="s">
        <v>284</v>
      </c>
      <c r="BU18" s="293" t="s">
        <v>285</v>
      </c>
      <c r="BV18" s="293" t="s">
        <v>286</v>
      </c>
      <c r="BW18" s="293" t="s">
        <v>287</v>
      </c>
      <c r="BX18" s="293" t="s">
        <v>288</v>
      </c>
      <c r="BY18" s="293" t="s">
        <v>289</v>
      </c>
      <c r="BZ18" s="293" t="s">
        <v>290</v>
      </c>
      <c r="CA18" s="293" t="s">
        <v>291</v>
      </c>
      <c r="CB18" s="293" t="s">
        <v>292</v>
      </c>
      <c r="CC18" s="293" t="s">
        <v>293</v>
      </c>
      <c r="CD18" s="293" t="s">
        <v>294</v>
      </c>
      <c r="CE18" s="293" t="s">
        <v>295</v>
      </c>
      <c r="CF18" s="293" t="s">
        <v>296</v>
      </c>
      <c r="CG18" s="293" t="s">
        <v>297</v>
      </c>
      <c r="CH18" s="294" t="s">
        <v>298</v>
      </c>
    </row>
    <row r="19" spans="10:86" x14ac:dyDescent="0.3">
      <c r="J19" s="295"/>
      <c r="K19" s="177">
        <f t="shared" ref="K19:AJ19" si="215">K9</f>
        <v>2025</v>
      </c>
      <c r="L19" s="177">
        <f t="shared" si="215"/>
        <v>2026</v>
      </c>
      <c r="M19" s="177">
        <f t="shared" si="215"/>
        <v>2027</v>
      </c>
      <c r="N19" s="177">
        <f t="shared" si="215"/>
        <v>2028</v>
      </c>
      <c r="O19" s="177">
        <f t="shared" si="215"/>
        <v>2029</v>
      </c>
      <c r="P19" s="177">
        <f t="shared" si="215"/>
        <v>2030</v>
      </c>
      <c r="Q19" s="177">
        <f t="shared" si="215"/>
        <v>2031</v>
      </c>
      <c r="R19" s="177">
        <f t="shared" si="215"/>
        <v>2032</v>
      </c>
      <c r="S19" s="177">
        <f t="shared" si="215"/>
        <v>2033</v>
      </c>
      <c r="T19" s="177">
        <f t="shared" si="215"/>
        <v>2034</v>
      </c>
      <c r="U19" s="177">
        <f t="shared" si="215"/>
        <v>2035</v>
      </c>
      <c r="V19" s="177">
        <f t="shared" si="215"/>
        <v>2036</v>
      </c>
      <c r="W19" s="177">
        <f t="shared" si="215"/>
        <v>2037</v>
      </c>
      <c r="X19" s="177">
        <f t="shared" si="215"/>
        <v>2038</v>
      </c>
      <c r="Y19" s="177">
        <f t="shared" si="215"/>
        <v>2039</v>
      </c>
      <c r="Z19" s="177">
        <f t="shared" si="215"/>
        <v>2040</v>
      </c>
      <c r="AA19" s="177">
        <f t="shared" si="215"/>
        <v>2041</v>
      </c>
      <c r="AB19" s="177">
        <f t="shared" si="215"/>
        <v>2042</v>
      </c>
      <c r="AC19" s="177">
        <f t="shared" si="215"/>
        <v>2043</v>
      </c>
      <c r="AD19" s="177">
        <f t="shared" si="215"/>
        <v>2044</v>
      </c>
      <c r="AE19" s="177">
        <f t="shared" si="215"/>
        <v>2045</v>
      </c>
      <c r="AF19" s="177">
        <f t="shared" si="215"/>
        <v>2046</v>
      </c>
      <c r="AG19" s="177">
        <f t="shared" si="215"/>
        <v>2047</v>
      </c>
      <c r="AH19" s="177">
        <f t="shared" si="215"/>
        <v>2048</v>
      </c>
      <c r="AI19" s="177">
        <f t="shared" si="215"/>
        <v>2049</v>
      </c>
      <c r="AJ19" s="177">
        <f t="shared" si="215"/>
        <v>2050</v>
      </c>
      <c r="AK19" s="178">
        <f t="shared" ref="AK19:CH19" si="216">AK9</f>
        <v>2051</v>
      </c>
      <c r="AL19" s="178">
        <f t="shared" si="216"/>
        <v>2052</v>
      </c>
      <c r="AM19" s="178">
        <f t="shared" si="216"/>
        <v>2053</v>
      </c>
      <c r="AN19" s="178">
        <f t="shared" si="216"/>
        <v>2054</v>
      </c>
      <c r="AO19" s="178">
        <f t="shared" si="216"/>
        <v>2055</v>
      </c>
      <c r="AP19" s="178">
        <f t="shared" si="216"/>
        <v>2056</v>
      </c>
      <c r="AQ19" s="178">
        <f t="shared" si="216"/>
        <v>2057</v>
      </c>
      <c r="AR19" s="178">
        <f t="shared" si="216"/>
        <v>2058</v>
      </c>
      <c r="AS19" s="178">
        <f t="shared" si="216"/>
        <v>2059</v>
      </c>
      <c r="AT19" s="178">
        <f t="shared" si="216"/>
        <v>2060</v>
      </c>
      <c r="AU19" s="178">
        <f t="shared" si="216"/>
        <v>2061</v>
      </c>
      <c r="AV19" s="178">
        <f t="shared" si="216"/>
        <v>2062</v>
      </c>
      <c r="AW19" s="178">
        <f t="shared" si="216"/>
        <v>2063</v>
      </c>
      <c r="AX19" s="178">
        <f t="shared" si="216"/>
        <v>2064</v>
      </c>
      <c r="AY19" s="178">
        <f t="shared" si="216"/>
        <v>2065</v>
      </c>
      <c r="AZ19" s="178">
        <f t="shared" si="216"/>
        <v>2066</v>
      </c>
      <c r="BA19" s="178">
        <f t="shared" si="216"/>
        <v>2067</v>
      </c>
      <c r="BB19" s="178">
        <f t="shared" si="216"/>
        <v>2068</v>
      </c>
      <c r="BC19" s="178">
        <f t="shared" si="216"/>
        <v>2069</v>
      </c>
      <c r="BD19" s="178">
        <f t="shared" si="216"/>
        <v>2070</v>
      </c>
      <c r="BE19" s="178">
        <f t="shared" si="216"/>
        <v>2071</v>
      </c>
      <c r="BF19" s="178">
        <f t="shared" si="216"/>
        <v>2072</v>
      </c>
      <c r="BG19" s="178">
        <f t="shared" si="216"/>
        <v>2073</v>
      </c>
      <c r="BH19" s="178">
        <f t="shared" si="216"/>
        <v>2074</v>
      </c>
      <c r="BI19" s="178">
        <f t="shared" si="216"/>
        <v>2075</v>
      </c>
      <c r="BJ19" s="178">
        <f t="shared" si="216"/>
        <v>2076</v>
      </c>
      <c r="BK19" s="178">
        <f t="shared" si="216"/>
        <v>2077</v>
      </c>
      <c r="BL19" s="178">
        <f t="shared" si="216"/>
        <v>2078</v>
      </c>
      <c r="BM19" s="178">
        <f t="shared" si="216"/>
        <v>2079</v>
      </c>
      <c r="BN19" s="178">
        <f t="shared" si="216"/>
        <v>2080</v>
      </c>
      <c r="BO19" s="178">
        <f t="shared" si="216"/>
        <v>2081</v>
      </c>
      <c r="BP19" s="178">
        <f t="shared" si="216"/>
        <v>2082</v>
      </c>
      <c r="BQ19" s="178">
        <f t="shared" si="216"/>
        <v>2083</v>
      </c>
      <c r="BR19" s="178">
        <f t="shared" si="216"/>
        <v>2084</v>
      </c>
      <c r="BS19" s="178">
        <f t="shared" si="216"/>
        <v>2085</v>
      </c>
      <c r="BT19" s="178">
        <f t="shared" si="216"/>
        <v>2086</v>
      </c>
      <c r="BU19" s="178">
        <f t="shared" si="216"/>
        <v>2087</v>
      </c>
      <c r="BV19" s="178">
        <f t="shared" si="216"/>
        <v>2088</v>
      </c>
      <c r="BW19" s="178">
        <f t="shared" si="216"/>
        <v>2089</v>
      </c>
      <c r="BX19" s="178">
        <f t="shared" si="216"/>
        <v>2090</v>
      </c>
      <c r="BY19" s="178">
        <f t="shared" si="216"/>
        <v>2091</v>
      </c>
      <c r="BZ19" s="178">
        <f t="shared" si="216"/>
        <v>2092</v>
      </c>
      <c r="CA19" s="178">
        <f t="shared" si="216"/>
        <v>2093</v>
      </c>
      <c r="CB19" s="178">
        <f t="shared" si="216"/>
        <v>2094</v>
      </c>
      <c r="CC19" s="178">
        <f t="shared" si="216"/>
        <v>2095</v>
      </c>
      <c r="CD19" s="178">
        <f t="shared" si="216"/>
        <v>2096</v>
      </c>
      <c r="CE19" s="178">
        <f t="shared" si="216"/>
        <v>2097</v>
      </c>
      <c r="CF19" s="178">
        <f t="shared" si="216"/>
        <v>2098</v>
      </c>
      <c r="CG19" s="178">
        <f t="shared" si="216"/>
        <v>2099</v>
      </c>
      <c r="CH19" s="296">
        <f t="shared" si="216"/>
        <v>2100</v>
      </c>
    </row>
    <row r="20" spans="10:86" x14ac:dyDescent="0.3">
      <c r="J20" s="297" t="s">
        <v>541</v>
      </c>
      <c r="K20" s="182">
        <f t="shared" ref="K20:AP20" si="217">IF(K22&lt;K23,0,K13)</f>
        <v>0</v>
      </c>
      <c r="L20" s="182">
        <f t="shared" si="217"/>
        <v>0</v>
      </c>
      <c r="M20" s="182">
        <f t="shared" si="217"/>
        <v>0</v>
      </c>
      <c r="N20" s="182">
        <f t="shared" si="217"/>
        <v>0</v>
      </c>
      <c r="O20" s="182">
        <f t="shared" si="217"/>
        <v>0</v>
      </c>
      <c r="P20" s="182">
        <f t="shared" si="217"/>
        <v>0</v>
      </c>
      <c r="Q20" s="182">
        <f t="shared" si="217"/>
        <v>0</v>
      </c>
      <c r="R20" s="182">
        <f t="shared" si="217"/>
        <v>0</v>
      </c>
      <c r="S20" s="182">
        <f t="shared" ref="S20" si="218">IF(S22&lt;S23,0,S13)</f>
        <v>0</v>
      </c>
      <c r="T20" s="234">
        <f t="shared" si="217"/>
        <v>3547.7491159163205</v>
      </c>
      <c r="U20" s="182">
        <f t="shared" si="217"/>
        <v>4683.0288330095436</v>
      </c>
      <c r="V20" s="182">
        <f t="shared" si="217"/>
        <v>6181.5980595725987</v>
      </c>
      <c r="W20" s="182">
        <f t="shared" si="217"/>
        <v>6264.0193670335657</v>
      </c>
      <c r="X20" s="182">
        <f t="shared" si="217"/>
        <v>8268.5055644843069</v>
      </c>
      <c r="Y20" s="182">
        <f t="shared" si="217"/>
        <v>10914.427345119286</v>
      </c>
      <c r="Z20" s="182">
        <f t="shared" si="217"/>
        <v>14407.044095557458</v>
      </c>
      <c r="AA20" s="182">
        <f t="shared" si="217"/>
        <v>14983.325859379756</v>
      </c>
      <c r="AB20" s="182">
        <f t="shared" si="217"/>
        <v>15582.658893754946</v>
      </c>
      <c r="AC20" s="182">
        <f t="shared" si="217"/>
        <v>16205.965249505145</v>
      </c>
      <c r="AD20" s="182">
        <f t="shared" si="217"/>
        <v>16854.203859485351</v>
      </c>
      <c r="AE20" s="182">
        <f t="shared" si="217"/>
        <v>17528.372013864766</v>
      </c>
      <c r="AF20" s="182">
        <f t="shared" si="217"/>
        <v>18229.506894419359</v>
      </c>
      <c r="AG20" s="182">
        <f t="shared" si="217"/>
        <v>18958.687170196135</v>
      </c>
      <c r="AH20" s="182">
        <f t="shared" si="217"/>
        <v>19717.034657003984</v>
      </c>
      <c r="AI20" s="182">
        <f t="shared" si="217"/>
        <v>20505.716043284145</v>
      </c>
      <c r="AJ20" s="182">
        <f t="shared" si="217"/>
        <v>21325.944685015507</v>
      </c>
      <c r="AK20" s="182">
        <f t="shared" si="217"/>
        <v>22178.98247241613</v>
      </c>
      <c r="AL20" s="182">
        <f t="shared" si="217"/>
        <v>23066.141771312774</v>
      </c>
      <c r="AM20" s="182">
        <f t="shared" si="217"/>
        <v>23988.787442165285</v>
      </c>
      <c r="AN20" s="182">
        <f t="shared" si="217"/>
        <v>24948.338939851896</v>
      </c>
      <c r="AO20" s="182">
        <f t="shared" si="217"/>
        <v>25946.272497445978</v>
      </c>
      <c r="AP20" s="182">
        <f t="shared" si="217"/>
        <v>26205.735222420433</v>
      </c>
      <c r="AQ20" s="182">
        <f t="shared" ref="AQ20:BV20" si="219">IF(AQ22&lt;AQ23,0,AQ13)</f>
        <v>26467.792574644642</v>
      </c>
      <c r="AR20" s="182">
        <f t="shared" si="219"/>
        <v>26732.470500391086</v>
      </c>
      <c r="AS20" s="182">
        <f t="shared" si="219"/>
        <v>26999.795205394996</v>
      </c>
      <c r="AT20" s="182">
        <f t="shared" si="219"/>
        <v>27269.793157448945</v>
      </c>
      <c r="AU20" s="182">
        <f t="shared" si="219"/>
        <v>27542.491089023435</v>
      </c>
      <c r="AV20" s="182">
        <f t="shared" si="219"/>
        <v>27817.915999913672</v>
      </c>
      <c r="AW20" s="182">
        <f t="shared" si="219"/>
        <v>28096.095159912806</v>
      </c>
      <c r="AX20" s="182">
        <f t="shared" si="219"/>
        <v>28377.056111511934</v>
      </c>
      <c r="AY20" s="182">
        <f t="shared" si="219"/>
        <v>28660.826672627056</v>
      </c>
      <c r="AZ20" s="182">
        <f t="shared" si="219"/>
        <v>26009.700205409059</v>
      </c>
      <c r="BA20" s="182">
        <f t="shared" si="219"/>
        <v>26269.797207463151</v>
      </c>
      <c r="BB20" s="182">
        <f t="shared" si="219"/>
        <v>26532.495179537782</v>
      </c>
      <c r="BC20" s="182">
        <f t="shared" si="219"/>
        <v>26797.820131333159</v>
      </c>
      <c r="BD20" s="182">
        <f t="shared" si="219"/>
        <v>27065.798332646493</v>
      </c>
      <c r="BE20" s="182">
        <f t="shared" si="219"/>
        <v>27336.456315972955</v>
      </c>
      <c r="BF20" s="182">
        <f t="shared" si="219"/>
        <v>27609.820879132683</v>
      </c>
      <c r="BG20" s="182">
        <f t="shared" si="219"/>
        <v>27885.919087924012</v>
      </c>
      <c r="BH20" s="182">
        <f t="shared" si="219"/>
        <v>28164.778278803256</v>
      </c>
      <c r="BI20" s="182">
        <f t="shared" si="219"/>
        <v>28446.42606159129</v>
      </c>
      <c r="BJ20" s="182">
        <f t="shared" si="219"/>
        <v>28730.8903222072</v>
      </c>
      <c r="BK20" s="182">
        <f t="shared" si="219"/>
        <v>29018.199225429275</v>
      </c>
      <c r="BL20" s="182">
        <f t="shared" si="219"/>
        <v>29308.381217683567</v>
      </c>
      <c r="BM20" s="182">
        <f t="shared" si="219"/>
        <v>29601.465029860403</v>
      </c>
      <c r="BN20" s="182">
        <f t="shared" si="219"/>
        <v>29897.479680159006</v>
      </c>
      <c r="BO20" s="182">
        <f t="shared" si="219"/>
        <v>30196.454476960596</v>
      </c>
      <c r="BP20" s="182">
        <f t="shared" si="219"/>
        <v>30498.419021730202</v>
      </c>
      <c r="BQ20" s="182">
        <f t="shared" si="219"/>
        <v>30803.403211947505</v>
      </c>
      <c r="BR20" s="182">
        <f t="shared" si="219"/>
        <v>31111.437244066983</v>
      </c>
      <c r="BS20" s="182">
        <f t="shared" si="219"/>
        <v>31422.551616507655</v>
      </c>
      <c r="BT20" s="182">
        <f t="shared" si="219"/>
        <v>31422.551616507655</v>
      </c>
      <c r="BU20" s="182">
        <f t="shared" si="219"/>
        <v>31422.551616507655</v>
      </c>
      <c r="BV20" s="182">
        <f t="shared" si="219"/>
        <v>31422.551616507655</v>
      </c>
      <c r="BW20" s="182">
        <f t="shared" ref="BW20:CH20" si="220">IF(BW22&lt;BW23,0,BW13)</f>
        <v>31422.551616507655</v>
      </c>
      <c r="BX20" s="182">
        <f t="shared" si="220"/>
        <v>31422.551616507655</v>
      </c>
      <c r="BY20" s="182">
        <f t="shared" si="220"/>
        <v>31422.551616507655</v>
      </c>
      <c r="BZ20" s="182">
        <f t="shared" si="220"/>
        <v>31422.551616507655</v>
      </c>
      <c r="CA20" s="182">
        <f t="shared" si="220"/>
        <v>31422.551616507655</v>
      </c>
      <c r="CB20" s="182">
        <f t="shared" si="220"/>
        <v>31422.551616507655</v>
      </c>
      <c r="CC20" s="182">
        <f t="shared" si="220"/>
        <v>31422.551616507655</v>
      </c>
      <c r="CD20" s="182">
        <f t="shared" si="220"/>
        <v>31422.551616507655</v>
      </c>
      <c r="CE20" s="182">
        <f t="shared" si="220"/>
        <v>31422.551616507655</v>
      </c>
      <c r="CF20" s="182">
        <f t="shared" si="220"/>
        <v>31422.551616507655</v>
      </c>
      <c r="CG20" s="182">
        <f t="shared" si="220"/>
        <v>31422.551616507655</v>
      </c>
      <c r="CH20" s="298">
        <f t="shared" si="220"/>
        <v>31422.551616507655</v>
      </c>
    </row>
    <row r="21" spans="10:86" x14ac:dyDescent="0.3">
      <c r="J21" s="297" t="s">
        <v>542</v>
      </c>
      <c r="K21" s="180">
        <f>K20*Inputs!$C$15*Inputs!$C$18+(Inputs!$C$19-IF(Investment!$L$2="Custom",Inputs!$K$11,0))*(1-Inputs!$C$17)*Inputs!$C$16*'Long-term Model Summary'!K20</f>
        <v>0</v>
      </c>
      <c r="L21" s="180">
        <f>L20*Inputs!$C$15*Inputs!$C$18+(Inputs!$C$19-IF(Investment!$L$2="Custom",Inputs!$K$11,0))*(1-Inputs!$C$17)*Inputs!$C$16*'Long-term Model Summary'!L20</f>
        <v>0</v>
      </c>
      <c r="M21" s="180">
        <f>M20*Inputs!$C$15*Inputs!$C$18+(Inputs!$C$19-IF(Investment!$L$2="Custom",Inputs!$K$11,0))*(1-Inputs!$C$17)*Inputs!$C$16*'Long-term Model Summary'!M20</f>
        <v>0</v>
      </c>
      <c r="N21" s="180">
        <f>N20*Inputs!$C$15*Inputs!$C$18+(Inputs!$C$19-IF(Investment!$L$2="Custom",Inputs!$K$11,0))*(1-Inputs!$C$17)*Inputs!$C$16*'Long-term Model Summary'!N20</f>
        <v>0</v>
      </c>
      <c r="O21" s="180">
        <f>O20*Inputs!$C$15*Inputs!$C$18+(Inputs!$C$19-IF(Investment!$L$2="Custom",Inputs!$K$11,0))*(1-Inputs!$C$17)*Inputs!$C$16*'Long-term Model Summary'!O20</f>
        <v>0</v>
      </c>
      <c r="P21" s="180">
        <f>P20*Inputs!$C$15*Inputs!$C$18+(Inputs!$C$19-IF(Investment!$L$2="Custom",Inputs!$K$11,0))*(1-Inputs!$C$17)*Inputs!$C$16*'Long-term Model Summary'!P20</f>
        <v>0</v>
      </c>
      <c r="Q21" s="180">
        <f>Q20*Inputs!$C$15*Inputs!$C$18+(Inputs!$C$19-IF(Investment!$L$2="Custom",Inputs!$K$11,0))*(1-Inputs!$C$17)*Inputs!$C$16*'Long-term Model Summary'!Q20</f>
        <v>0</v>
      </c>
      <c r="R21" s="180">
        <f>R20*Inputs!$C$15*Inputs!$C$18+(Inputs!$C$19-IF(Investment!$L$2="Custom",Inputs!$K$11,0))*(1-Inputs!$C$17)*Inputs!$C$16*'Long-term Model Summary'!R20</f>
        <v>0</v>
      </c>
      <c r="S21" s="180">
        <f>S20*Inputs!$C$15*Inputs!$C$18+(Inputs!$C$19-IF(Investment!$L$2="Custom",Inputs!$K$11,0))*(1-Inputs!$C$17)*Inputs!$C$16*'Long-term Model Summary'!S20</f>
        <v>0</v>
      </c>
      <c r="T21" s="180">
        <f>T20*Inputs!$C$15*Inputs!$C$18+(Inputs!$C$19-IF(Investment!$L$2="Custom",Inputs!$K$11,0))*(1-Inputs!$C$17)*Inputs!$C$16*'Long-term Model Summary'!T20</f>
        <v>11707.572082523859</v>
      </c>
      <c r="U21" s="180">
        <f>U20*Inputs!$C$15*Inputs!$C$18+(Inputs!$C$19-IF(Investment!$L$2="Custom",Inputs!$K$11,0))*(1-Inputs!$C$17)*Inputs!$C$16*'Long-term Model Summary'!U20</f>
        <v>15453.995148931495</v>
      </c>
      <c r="V21" s="180">
        <f>V20*Inputs!$C$15*Inputs!$C$18+(Inputs!$C$19-IF(Investment!$L$2="Custom",Inputs!$K$11,0))*(1-Inputs!$C$17)*Inputs!$C$16*'Long-term Model Summary'!V20</f>
        <v>20399.273596589577</v>
      </c>
      <c r="W21" s="180">
        <f>W20*Inputs!$C$15*Inputs!$C$18+(Inputs!$C$19-IF(Investment!$L$2="Custom",Inputs!$K$11,0))*(1-Inputs!$C$17)*Inputs!$C$16*'Long-term Model Summary'!W20</f>
        <v>20671.263911210768</v>
      </c>
      <c r="X21" s="180">
        <f>X20*Inputs!$C$15*Inputs!$C$18+(Inputs!$C$19-IF(Investment!$L$2="Custom",Inputs!$K$11,0))*(1-Inputs!$C$17)*Inputs!$C$16*'Long-term Model Summary'!X20</f>
        <v>27286.068362798214</v>
      </c>
      <c r="Y21" s="180">
        <f>Y20*Inputs!$C$15*Inputs!$C$18+(Inputs!$C$19-IF(Investment!$L$2="Custom",Inputs!$K$11,0))*(1-Inputs!$C$17)*Inputs!$C$16*'Long-term Model Summary'!Y20</f>
        <v>36017.610238893649</v>
      </c>
      <c r="Z21" s="180">
        <f>Z20*Inputs!$C$15*Inputs!$C$18+(Inputs!$C$19-IF(Investment!$L$2="Custom",Inputs!$K$11,0))*(1-Inputs!$C$17)*Inputs!$C$16*'Long-term Model Summary'!Z20</f>
        <v>47543.245515339615</v>
      </c>
      <c r="AA21" s="180">
        <f>AA20*Inputs!$C$15*Inputs!$C$18+(Inputs!$C$19-IF(Investment!$L$2="Custom",Inputs!$K$11,0))*(1-Inputs!$C$17)*Inputs!$C$16*'Long-term Model Summary'!AA20</f>
        <v>49444.975335953197</v>
      </c>
      <c r="AB21" s="180">
        <f>AB20*Inputs!$C$15*Inputs!$C$18+(Inputs!$C$19-IF(Investment!$L$2="Custom",Inputs!$K$11,0))*(1-Inputs!$C$17)*Inputs!$C$16*'Long-term Model Summary'!AB20</f>
        <v>51422.774349391322</v>
      </c>
      <c r="AC21" s="180">
        <f>AC20*Inputs!$C$15*Inputs!$C$18+(Inputs!$C$19-IF(Investment!$L$2="Custom",Inputs!$K$11,0))*(1-Inputs!$C$17)*Inputs!$C$16*'Long-term Model Summary'!AC20</f>
        <v>53479.685323366983</v>
      </c>
      <c r="AD21" s="180">
        <f>AD20*Inputs!$C$15*Inputs!$C$18+(Inputs!$C$19-IF(Investment!$L$2="Custom",Inputs!$K$11,0))*(1-Inputs!$C$17)*Inputs!$C$16*'Long-term Model Summary'!AD20</f>
        <v>55618.872736301666</v>
      </c>
      <c r="AE21" s="180">
        <f>AE20*Inputs!$C$15*Inputs!$C$18+(Inputs!$C$19-IF(Investment!$L$2="Custom",Inputs!$K$11,0))*(1-Inputs!$C$17)*Inputs!$C$16*'Long-term Model Summary'!AE20</f>
        <v>57843.627645753731</v>
      </c>
      <c r="AF21" s="180">
        <f>AF20*Inputs!$C$15*Inputs!$C$18+(Inputs!$C$19-IF(Investment!$L$2="Custom",Inputs!$K$11,0))*(1-Inputs!$C$17)*Inputs!$C$16*'Long-term Model Summary'!AF20</f>
        <v>60157.372751583891</v>
      </c>
      <c r="AG21" s="180">
        <f>AG20*Inputs!$C$15*Inputs!$C$18+(Inputs!$C$19-IF(Investment!$L$2="Custom",Inputs!$K$11,0))*(1-Inputs!$C$17)*Inputs!$C$16*'Long-term Model Summary'!AG20</f>
        <v>62563.667661647254</v>
      </c>
      <c r="AH21" s="180">
        <f>AH20*Inputs!$C$15*Inputs!$C$18+(Inputs!$C$19-IF(Investment!$L$2="Custom",Inputs!$K$11,0))*(1-Inputs!$C$17)*Inputs!$C$16*'Long-term Model Summary'!AH20</f>
        <v>65066.214368113149</v>
      </c>
      <c r="AI21" s="180">
        <f>AI20*Inputs!$C$15*Inputs!$C$18+(Inputs!$C$19-IF(Investment!$L$2="Custom",Inputs!$K$11,0))*(1-Inputs!$C$17)*Inputs!$C$16*'Long-term Model Summary'!AI20</f>
        <v>67668.862942837688</v>
      </c>
      <c r="AJ21" s="180">
        <f>AJ20*Inputs!$C$15*Inputs!$C$18+(Inputs!$C$19-IF(Investment!$L$2="Custom",Inputs!$K$11,0))*(1-Inputs!$C$17)*Inputs!$C$16*'Long-term Model Summary'!AJ20</f>
        <v>70375.617460551177</v>
      </c>
      <c r="AK21" s="180">
        <f>AK20*Inputs!$C$15*Inputs!$C$18+(Inputs!$C$19-IF(Investment!$L$2="Custom",Inputs!$K$11,0))*(1-Inputs!$C$17)*Inputs!$C$16*'Long-term Model Summary'!AK20</f>
        <v>73190.642158973234</v>
      </c>
      <c r="AL21" s="180">
        <f>AL20*Inputs!$C$15*Inputs!$C$18+(Inputs!$C$19-IF(Investment!$L$2="Custom",Inputs!$K$11,0))*(1-Inputs!$C$17)*Inputs!$C$16*'Long-term Model Summary'!AL20</f>
        <v>76118.267845332157</v>
      </c>
      <c r="AM21" s="180">
        <f>AM20*Inputs!$C$15*Inputs!$C$18+(Inputs!$C$19-IF(Investment!$L$2="Custom",Inputs!$K$11,0))*(1-Inputs!$C$17)*Inputs!$C$16*'Long-term Model Summary'!AM20</f>
        <v>79162.998559145446</v>
      </c>
      <c r="AN21" s="180">
        <f>AN20*Inputs!$C$15*Inputs!$C$18+(Inputs!$C$19-IF(Investment!$L$2="Custom",Inputs!$K$11,0))*(1-Inputs!$C$17)*Inputs!$C$16*'Long-term Model Summary'!AN20</f>
        <v>82329.518501511266</v>
      </c>
      <c r="AO21" s="180">
        <f>AO20*Inputs!$C$15*Inputs!$C$18+(Inputs!$C$19-IF(Investment!$L$2="Custom",Inputs!$K$11,0))*(1-Inputs!$C$17)*Inputs!$C$16*'Long-term Model Summary'!AO20</f>
        <v>85622.69924157174</v>
      </c>
      <c r="AP21" s="180">
        <f>AP20*Inputs!$C$15*Inputs!$C$18+(Inputs!$C$19-IF(Investment!$L$2="Custom",Inputs!$K$11,0))*(1-Inputs!$C$17)*Inputs!$C$16*'Long-term Model Summary'!AP20</f>
        <v>86478.92623398744</v>
      </c>
      <c r="AQ21" s="180">
        <f>AQ20*Inputs!$C$15*Inputs!$C$18+(Inputs!$C$19-IF(Investment!$L$2="Custom",Inputs!$K$11,0))*(1-Inputs!$C$17)*Inputs!$C$16*'Long-term Model Summary'!AQ20</f>
        <v>87343.715496327321</v>
      </c>
      <c r="AR21" s="180">
        <f>AR20*Inputs!$C$15*Inputs!$C$18+(Inputs!$C$19-IF(Investment!$L$2="Custom",Inputs!$K$11,0))*(1-Inputs!$C$17)*Inputs!$C$16*'Long-term Model Summary'!AR20</f>
        <v>88217.152651290584</v>
      </c>
      <c r="AS21" s="180">
        <f>AS20*Inputs!$C$15*Inputs!$C$18+(Inputs!$C$19-IF(Investment!$L$2="Custom",Inputs!$K$11,0))*(1-Inputs!$C$17)*Inputs!$C$16*'Long-term Model Summary'!AS20</f>
        <v>89099.324177803486</v>
      </c>
      <c r="AT21" s="180">
        <f>AT20*Inputs!$C$15*Inputs!$C$18+(Inputs!$C$19-IF(Investment!$L$2="Custom",Inputs!$K$11,0))*(1-Inputs!$C$17)*Inputs!$C$16*'Long-term Model Summary'!AT20</f>
        <v>89990.317419581523</v>
      </c>
      <c r="AU21" s="180">
        <f>AU20*Inputs!$C$15*Inputs!$C$18+(Inputs!$C$19-IF(Investment!$L$2="Custom",Inputs!$K$11,0))*(1-Inputs!$C$17)*Inputs!$C$16*'Long-term Model Summary'!AU20</f>
        <v>90890.22059377734</v>
      </c>
      <c r="AV21" s="180">
        <f>AV20*Inputs!$C$15*Inputs!$C$18+(Inputs!$C$19-IF(Investment!$L$2="Custom",Inputs!$K$11,0))*(1-Inputs!$C$17)*Inputs!$C$16*'Long-term Model Summary'!AV20</f>
        <v>91799.122799715129</v>
      </c>
      <c r="AW21" s="180">
        <f>AW20*Inputs!$C$15*Inputs!$C$18+(Inputs!$C$19-IF(Investment!$L$2="Custom",Inputs!$K$11,0))*(1-Inputs!$C$17)*Inputs!$C$16*'Long-term Model Summary'!AW20</f>
        <v>92717.114027712261</v>
      </c>
      <c r="AX21" s="180">
        <f>AX20*Inputs!$C$15*Inputs!$C$18+(Inputs!$C$19-IF(Investment!$L$2="Custom",Inputs!$K$11,0))*(1-Inputs!$C$17)*Inputs!$C$16*'Long-term Model Summary'!AX20</f>
        <v>93644.285167989394</v>
      </c>
      <c r="AY21" s="180">
        <f>AY20*Inputs!$C$15*Inputs!$C$18+(Inputs!$C$19-IF(Investment!$L$2="Custom",Inputs!$K$11,0))*(1-Inputs!$C$17)*Inputs!$C$16*'Long-term Model Summary'!AY20</f>
        <v>94580.728019669288</v>
      </c>
      <c r="AZ21" s="180">
        <f>AZ20*Inputs!$C$15*Inputs!$C$18+(Inputs!$C$19-IF(Investment!$L$2="Custom",Inputs!$K$11,0))*(1-Inputs!$C$17)*Inputs!$C$16*'Long-term Model Summary'!AZ20</f>
        <v>85832.010677849903</v>
      </c>
      <c r="BA21" s="180">
        <f>BA20*Inputs!$C$15*Inputs!$C$18+(Inputs!$C$19-IF(Investment!$L$2="Custom",Inputs!$K$11,0))*(1-Inputs!$C$17)*Inputs!$C$16*'Long-term Model Summary'!BA20</f>
        <v>86690.330784628401</v>
      </c>
      <c r="BB21" s="180">
        <f>BB20*Inputs!$C$15*Inputs!$C$18+(Inputs!$C$19-IF(Investment!$L$2="Custom",Inputs!$K$11,0))*(1-Inputs!$C$17)*Inputs!$C$16*'Long-term Model Summary'!BB20</f>
        <v>87557.234092474682</v>
      </c>
      <c r="BC21" s="180">
        <f>BC20*Inputs!$C$15*Inputs!$C$18+(Inputs!$C$19-IF(Investment!$L$2="Custom",Inputs!$K$11,0))*(1-Inputs!$C$17)*Inputs!$C$16*'Long-term Model Summary'!BC20</f>
        <v>88432.806433399426</v>
      </c>
      <c r="BD21" s="180">
        <f>BD20*Inputs!$C$15*Inputs!$C$18+(Inputs!$C$19-IF(Investment!$L$2="Custom",Inputs!$K$11,0))*(1-Inputs!$C$17)*Inputs!$C$16*'Long-term Model Summary'!BD20</f>
        <v>89317.134497733437</v>
      </c>
      <c r="BE21" s="180">
        <f>BE20*Inputs!$C$15*Inputs!$C$18+(Inputs!$C$19-IF(Investment!$L$2="Custom",Inputs!$K$11,0))*(1-Inputs!$C$17)*Inputs!$C$16*'Long-term Model Summary'!BE20</f>
        <v>90210.305842710761</v>
      </c>
      <c r="BF21" s="180">
        <f>BF20*Inputs!$C$15*Inputs!$C$18+(Inputs!$C$19-IF(Investment!$L$2="Custom",Inputs!$K$11,0))*(1-Inputs!$C$17)*Inputs!$C$16*'Long-term Model Summary'!BF20</f>
        <v>91112.408901137867</v>
      </c>
      <c r="BG21" s="180">
        <f>BG20*Inputs!$C$15*Inputs!$C$18+(Inputs!$C$19-IF(Investment!$L$2="Custom",Inputs!$K$11,0))*(1-Inputs!$C$17)*Inputs!$C$16*'Long-term Model Summary'!BG20</f>
        <v>92023.532990149251</v>
      </c>
      <c r="BH21" s="180">
        <f>BH20*Inputs!$C$15*Inputs!$C$18+(Inputs!$C$19-IF(Investment!$L$2="Custom",Inputs!$K$11,0))*(1-Inputs!$C$17)*Inputs!$C$16*'Long-term Model Summary'!BH20</f>
        <v>92943.76832005076</v>
      </c>
      <c r="BI21" s="180">
        <f>BI20*Inputs!$C$15*Inputs!$C$18+(Inputs!$C$19-IF(Investment!$L$2="Custom",Inputs!$K$11,0))*(1-Inputs!$C$17)*Inputs!$C$16*'Long-term Model Summary'!BI20</f>
        <v>93873.206003251267</v>
      </c>
      <c r="BJ21" s="180">
        <f>BJ20*Inputs!$C$15*Inputs!$C$18+(Inputs!$C$19-IF(Investment!$L$2="Custom",Inputs!$K$11,0))*(1-Inputs!$C$17)*Inputs!$C$16*'Long-term Model Summary'!BJ20</f>
        <v>94811.938063283771</v>
      </c>
      <c r="BK21" s="180">
        <f>BK20*Inputs!$C$15*Inputs!$C$18+(Inputs!$C$19-IF(Investment!$L$2="Custom",Inputs!$K$11,0))*(1-Inputs!$C$17)*Inputs!$C$16*'Long-term Model Summary'!BK20</f>
        <v>95760.057443916608</v>
      </c>
      <c r="BL21" s="180">
        <f>BL20*Inputs!$C$15*Inputs!$C$18+(Inputs!$C$19-IF(Investment!$L$2="Custom",Inputs!$K$11,0))*(1-Inputs!$C$17)*Inputs!$C$16*'Long-term Model Summary'!BL20</f>
        <v>96717.658018355782</v>
      </c>
      <c r="BM21" s="180">
        <f>BM20*Inputs!$C$15*Inputs!$C$18+(Inputs!$C$19-IF(Investment!$L$2="Custom",Inputs!$K$11,0))*(1-Inputs!$C$17)*Inputs!$C$16*'Long-term Model Summary'!BM20</f>
        <v>97684.834598539339</v>
      </c>
      <c r="BN21" s="180">
        <f>BN20*Inputs!$C$15*Inputs!$C$18+(Inputs!$C$19-IF(Investment!$L$2="Custom",Inputs!$K$11,0))*(1-Inputs!$C$17)*Inputs!$C$16*'Long-term Model Summary'!BN20</f>
        <v>98661.682944524728</v>
      </c>
      <c r="BO21" s="180">
        <f>BO20*Inputs!$C$15*Inputs!$C$18+(Inputs!$C$19-IF(Investment!$L$2="Custom",Inputs!$K$11,0))*(1-Inputs!$C$17)*Inputs!$C$16*'Long-term Model Summary'!BO20</f>
        <v>99648.299773969979</v>
      </c>
      <c r="BP21" s="180">
        <f>BP20*Inputs!$C$15*Inputs!$C$18+(Inputs!$C$19-IF(Investment!$L$2="Custom",Inputs!$K$11,0))*(1-Inputs!$C$17)*Inputs!$C$16*'Long-term Model Summary'!BP20</f>
        <v>100644.78277170968</v>
      </c>
      <c r="BQ21" s="180">
        <f>BQ20*Inputs!$C$15*Inputs!$C$18+(Inputs!$C$19-IF(Investment!$L$2="Custom",Inputs!$K$11,0))*(1-Inputs!$C$17)*Inputs!$C$16*'Long-term Model Summary'!BQ20</f>
        <v>101651.23059942678</v>
      </c>
      <c r="BR21" s="180">
        <f>BR20*Inputs!$C$15*Inputs!$C$18+(Inputs!$C$19-IF(Investment!$L$2="Custom",Inputs!$K$11,0))*(1-Inputs!$C$17)*Inputs!$C$16*'Long-term Model Summary'!BR20</f>
        <v>102667.74290542105</v>
      </c>
      <c r="BS21" s="180">
        <f>BS20*Inputs!$C$15*Inputs!$C$18+(Inputs!$C$19-IF(Investment!$L$2="Custom",Inputs!$K$11,0))*(1-Inputs!$C$17)*Inputs!$C$16*'Long-term Model Summary'!BS20</f>
        <v>103694.42033447528</v>
      </c>
      <c r="BT21" s="180">
        <f>BT20*Inputs!$C$15*Inputs!$C$18+(Inputs!$C$19-IF(Investment!$L$2="Custom",Inputs!$K$11,0))*(1-Inputs!$C$17)*Inputs!$C$16*'Long-term Model Summary'!BT20</f>
        <v>103694.42033447528</v>
      </c>
      <c r="BU21" s="180">
        <f>BU20*Inputs!$C$15*Inputs!$C$18+(Inputs!$C$19-IF(Investment!$L$2="Custom",Inputs!$K$11,0))*(1-Inputs!$C$17)*Inputs!$C$16*'Long-term Model Summary'!BU20</f>
        <v>103694.42033447528</v>
      </c>
      <c r="BV21" s="180">
        <f>BV20*Inputs!$C$15*Inputs!$C$18+(Inputs!$C$19-IF(Investment!$L$2="Custom",Inputs!$K$11,0))*(1-Inputs!$C$17)*Inputs!$C$16*'Long-term Model Summary'!BV20</f>
        <v>103694.42033447528</v>
      </c>
      <c r="BW21" s="180">
        <f>BW20*Inputs!$C$15*Inputs!$C$18+(Inputs!$C$19-IF(Investment!$L$2="Custom",Inputs!$K$11,0))*(1-Inputs!$C$17)*Inputs!$C$16*'Long-term Model Summary'!BW20</f>
        <v>103694.42033447528</v>
      </c>
      <c r="BX21" s="180">
        <f>BX20*Inputs!$C$15*Inputs!$C$18+(Inputs!$C$19-IF(Investment!$L$2="Custom",Inputs!$K$11,0))*(1-Inputs!$C$17)*Inputs!$C$16*'Long-term Model Summary'!BX20</f>
        <v>103694.42033447528</v>
      </c>
      <c r="BY21" s="180">
        <f>BY20*Inputs!$C$15*Inputs!$C$18+(Inputs!$C$19-IF(Investment!$L$2="Custom",Inputs!$K$11,0))*(1-Inputs!$C$17)*Inputs!$C$16*'Long-term Model Summary'!BY20</f>
        <v>103694.42033447528</v>
      </c>
      <c r="BZ21" s="180">
        <f>BZ20*Inputs!$C$15*Inputs!$C$18+(Inputs!$C$19-IF(Investment!$L$2="Custom",Inputs!$K$11,0))*(1-Inputs!$C$17)*Inputs!$C$16*'Long-term Model Summary'!BZ20</f>
        <v>103694.42033447528</v>
      </c>
      <c r="CA21" s="180">
        <f>CA20*Inputs!$C$15*Inputs!$C$18+(Inputs!$C$19-IF(Investment!$L$2="Custom",Inputs!$K$11,0))*(1-Inputs!$C$17)*Inputs!$C$16*'Long-term Model Summary'!CA20</f>
        <v>103694.42033447528</v>
      </c>
      <c r="CB21" s="180">
        <f>CB20*Inputs!$C$15*Inputs!$C$18+(Inputs!$C$19-IF(Investment!$L$2="Custom",Inputs!$K$11,0))*(1-Inputs!$C$17)*Inputs!$C$16*'Long-term Model Summary'!CB20</f>
        <v>103694.42033447528</v>
      </c>
      <c r="CC21" s="180">
        <f>CC20*Inputs!$C$15*Inputs!$C$18+(Inputs!$C$19-IF(Investment!$L$2="Custom",Inputs!$K$11,0))*(1-Inputs!$C$17)*Inputs!$C$16*'Long-term Model Summary'!CC20</f>
        <v>103694.42033447528</v>
      </c>
      <c r="CD21" s="180">
        <f>CD20*Inputs!$C$15*Inputs!$C$18+(Inputs!$C$19-IF(Investment!$L$2="Custom",Inputs!$K$11,0))*(1-Inputs!$C$17)*Inputs!$C$16*'Long-term Model Summary'!CD20</f>
        <v>103694.42033447528</v>
      </c>
      <c r="CE21" s="180">
        <f>CE20*Inputs!$C$15*Inputs!$C$18+(Inputs!$C$19-IF(Investment!$L$2="Custom",Inputs!$K$11,0))*(1-Inputs!$C$17)*Inputs!$C$16*'Long-term Model Summary'!CE20</f>
        <v>103694.42033447528</v>
      </c>
      <c r="CF21" s="180">
        <f>CF20*Inputs!$C$15*Inputs!$C$18+(Inputs!$C$19-IF(Investment!$L$2="Custom",Inputs!$K$11,0))*(1-Inputs!$C$17)*Inputs!$C$16*'Long-term Model Summary'!CF20</f>
        <v>103694.42033447528</v>
      </c>
      <c r="CG21" s="180">
        <f>CG20*Inputs!$C$15*Inputs!$C$18+(Inputs!$C$19-IF(Investment!$L$2="Custom",Inputs!$K$11,0))*(1-Inputs!$C$17)*Inputs!$C$16*'Long-term Model Summary'!CG20</f>
        <v>103694.42033447528</v>
      </c>
      <c r="CH21" s="299">
        <f>CH20*Inputs!$C$15*Inputs!$C$18+(Inputs!$C$19-IF(Investment!$L$2="Custom",Inputs!$K$11,0))*(1-Inputs!$C$17)*Inputs!$C$16*'Long-term Model Summary'!CH20</f>
        <v>103694.42033447528</v>
      </c>
    </row>
    <row r="22" spans="10:86" hidden="1" x14ac:dyDescent="0.3">
      <c r="J22" s="297" t="s">
        <v>558</v>
      </c>
      <c r="K22" s="180">
        <f>K13*Inputs!$C$15*Inputs!$C$18+(Inputs!$C$19-IF(Investment!$L$2="Custom",Inputs!$K$11,0))*(1-Inputs!$C$17)*Inputs!$C$16*'Long-term Model Summary'!K13</f>
        <v>962.2800000000002</v>
      </c>
      <c r="L22" s="180">
        <f>L13*Inputs!$C$15*Inputs!$C$18+(Inputs!$C$19-IF(Investment!$L$2="Custom",Inputs!$K$11,0))*(1-Inputs!$C$17)*Inputs!$C$16*'Long-term Model Summary'!L13</f>
        <v>1270.2096000000001</v>
      </c>
      <c r="M22" s="180">
        <f>M13*Inputs!$C$15*Inputs!$C$18+(Inputs!$C$19-IF(Investment!$L$2="Custom",Inputs!$K$11,0))*(1-Inputs!$C$17)*Inputs!$C$16*'Long-term Model Summary'!M13</f>
        <v>1676.6766720000005</v>
      </c>
      <c r="N22" s="180">
        <f>N13*Inputs!$C$15*Inputs!$C$18+(Inputs!$C$19-IF(Investment!$L$2="Custom",Inputs!$K$11,0))*(1-Inputs!$C$17)*Inputs!$C$16*'Long-term Model Summary'!N13</f>
        <v>2213.2132070400007</v>
      </c>
      <c r="O22" s="180">
        <f>O13*Inputs!$C$15*Inputs!$C$18+(Inputs!$C$19-IF(Investment!$L$2="Custom",Inputs!$K$11,0))*(1-Inputs!$C$17)*Inputs!$C$16*'Long-term Model Summary'!O13</f>
        <v>2921.4414332928009</v>
      </c>
      <c r="P22" s="180">
        <f>P13*Inputs!$C$15*Inputs!$C$18+(Inputs!$C$19-IF(Investment!$L$2="Custom",Inputs!$K$11,0))*(1-Inputs!$C$17)*Inputs!$C$16*'Long-term Model Summary'!P13</f>
        <v>3856.3026919464978</v>
      </c>
      <c r="Q22" s="180">
        <f>Q13*Inputs!$C$15*Inputs!$C$18+(Inputs!$C$19-IF(Investment!$L$2="Custom",Inputs!$K$11,0))*(1-Inputs!$C$17)*Inputs!$C$16*'Long-term Model Summary'!Q13</f>
        <v>5090.319553369377</v>
      </c>
      <c r="R22" s="180">
        <f>R13*Inputs!$C$15*Inputs!$C$18+(Inputs!$C$19-IF(Investment!$L$2="Custom",Inputs!$K$11,0))*(1-Inputs!$C$17)*Inputs!$C$16*'Long-term Model Summary'!R13</f>
        <v>6719.2218104475769</v>
      </c>
      <c r="S22" s="180">
        <f>S13*Inputs!$C$15*Inputs!$C$18+(Inputs!$C$19-IF(Investment!$L$2="Custom",Inputs!$K$11,0))*(1-Inputs!$C$17)*Inputs!$C$16*'Long-term Model Summary'!S13</f>
        <v>8869.3727897908011</v>
      </c>
      <c r="T22" s="180">
        <f>T13*Inputs!$C$15*Inputs!$C$18+(Inputs!$C$19-IF(Investment!$L$2="Custom",Inputs!$K$11,0))*(1-Inputs!$C$17)*Inputs!$C$16*'Long-term Model Summary'!T13</f>
        <v>11707.572082523859</v>
      </c>
      <c r="U22" s="180">
        <f>U13*Inputs!$C$15*Inputs!$C$18+(Inputs!$C$19-IF(Investment!$L$2="Custom",Inputs!$K$11,0))*(1-Inputs!$C$17)*Inputs!$C$16*'Long-term Model Summary'!U13</f>
        <v>15453.995148931495</v>
      </c>
      <c r="V22" s="180">
        <f>V13*Inputs!$C$15*Inputs!$C$18+(Inputs!$C$19-IF(Investment!$L$2="Custom",Inputs!$K$11,0))*(1-Inputs!$C$17)*Inputs!$C$16*'Long-term Model Summary'!V13</f>
        <v>20399.273596589577</v>
      </c>
      <c r="W22" s="180">
        <f>W13*Inputs!$C$15*Inputs!$C$18+(Inputs!$C$19-IF(Investment!$L$2="Custom",Inputs!$K$11,0))*(1-Inputs!$C$17)*Inputs!$C$16*'Long-term Model Summary'!W13</f>
        <v>20671.263911210768</v>
      </c>
      <c r="X22" s="180">
        <f>X13*Inputs!$C$15*Inputs!$C$18+(Inputs!$C$19-IF(Investment!$L$2="Custom",Inputs!$K$11,0))*(1-Inputs!$C$17)*Inputs!$C$16*'Long-term Model Summary'!X13</f>
        <v>27286.068362798214</v>
      </c>
      <c r="Y22" s="180">
        <f>Y13*Inputs!$C$15*Inputs!$C$18+(Inputs!$C$19-IF(Investment!$L$2="Custom",Inputs!$K$11,0))*(1-Inputs!$C$17)*Inputs!$C$16*'Long-term Model Summary'!Y13</f>
        <v>36017.610238893649</v>
      </c>
      <c r="Z22" s="180">
        <f>Z13*Inputs!$C$15*Inputs!$C$18+(Inputs!$C$19-IF(Investment!$L$2="Custom",Inputs!$K$11,0))*(1-Inputs!$C$17)*Inputs!$C$16*'Long-term Model Summary'!Z13</f>
        <v>47543.245515339615</v>
      </c>
      <c r="AA22" s="180">
        <f>AA13*Inputs!$C$15*Inputs!$C$18+(Inputs!$C$19-IF(Investment!$L$2="Custom",Inputs!$K$11,0))*(1-Inputs!$C$17)*Inputs!$C$16*'Long-term Model Summary'!AA13</f>
        <v>49444.975335953197</v>
      </c>
      <c r="AB22" s="180">
        <f>AB13*Inputs!$C$15*Inputs!$C$18+(Inputs!$C$19-IF(Investment!$L$2="Custom",Inputs!$K$11,0))*(1-Inputs!$C$17)*Inputs!$C$16*'Long-term Model Summary'!AB13</f>
        <v>51422.774349391322</v>
      </c>
      <c r="AC22" s="180">
        <f>AC13*Inputs!$C$15*Inputs!$C$18+(Inputs!$C$19-IF(Investment!$L$2="Custom",Inputs!$K$11,0))*(1-Inputs!$C$17)*Inputs!$C$16*'Long-term Model Summary'!AC13</f>
        <v>53479.685323366983</v>
      </c>
      <c r="AD22" s="180">
        <f>AD13*Inputs!$C$15*Inputs!$C$18+(Inputs!$C$19-IF(Investment!$L$2="Custom",Inputs!$K$11,0))*(1-Inputs!$C$17)*Inputs!$C$16*'Long-term Model Summary'!AD13</f>
        <v>55618.872736301666</v>
      </c>
      <c r="AE22" s="180">
        <f>AE13*Inputs!$C$15*Inputs!$C$18+(Inputs!$C$19-IF(Investment!$L$2="Custom",Inputs!$K$11,0))*(1-Inputs!$C$17)*Inputs!$C$16*'Long-term Model Summary'!AE13</f>
        <v>57843.627645753731</v>
      </c>
      <c r="AF22" s="180">
        <f>AF13*Inputs!$C$15*Inputs!$C$18+(Inputs!$C$19-IF(Investment!$L$2="Custom",Inputs!$K$11,0))*(1-Inputs!$C$17)*Inputs!$C$16*'Long-term Model Summary'!AF13</f>
        <v>60157.372751583891</v>
      </c>
      <c r="AG22" s="180">
        <f>AG13*Inputs!$C$15*Inputs!$C$18+(Inputs!$C$19-IF(Investment!$L$2="Custom",Inputs!$K$11,0))*(1-Inputs!$C$17)*Inputs!$C$16*'Long-term Model Summary'!AG13</f>
        <v>62563.667661647254</v>
      </c>
      <c r="AH22" s="180">
        <f>AH13*Inputs!$C$15*Inputs!$C$18+(Inputs!$C$19-IF(Investment!$L$2="Custom",Inputs!$K$11,0))*(1-Inputs!$C$17)*Inputs!$C$16*'Long-term Model Summary'!AH13</f>
        <v>65066.214368113149</v>
      </c>
      <c r="AI22" s="180">
        <f>AI13*Inputs!$C$15*Inputs!$C$18+(Inputs!$C$19-IF(Investment!$L$2="Custom",Inputs!$K$11,0))*(1-Inputs!$C$17)*Inputs!$C$16*'Long-term Model Summary'!AI13</f>
        <v>67668.862942837688</v>
      </c>
      <c r="AJ22" s="180">
        <f>AJ13*Inputs!$C$15*Inputs!$C$18+(Inputs!$C$19-IF(Investment!$L$2="Custom",Inputs!$K$11,0))*(1-Inputs!$C$17)*Inputs!$C$16*'Long-term Model Summary'!AJ13</f>
        <v>70375.617460551177</v>
      </c>
      <c r="AK22" s="180">
        <f>AK13*Inputs!$C$15*Inputs!$C$18+(Inputs!$C$19-IF(Investment!$L$2="Custom",Inputs!$K$11,0))*(1-Inputs!$C$17)*Inputs!$C$16*'Long-term Model Summary'!AK13</f>
        <v>73190.642158973234</v>
      </c>
      <c r="AL22" s="180">
        <f>AL13*Inputs!$C$15*Inputs!$C$18+(Inputs!$C$19-IF(Investment!$L$2="Custom",Inputs!$K$11,0))*(1-Inputs!$C$17)*Inputs!$C$16*'Long-term Model Summary'!AL13</f>
        <v>76118.267845332157</v>
      </c>
      <c r="AM22" s="180">
        <f>AM13*Inputs!$C$15*Inputs!$C$18+(Inputs!$C$19-IF(Investment!$L$2="Custom",Inputs!$K$11,0))*(1-Inputs!$C$17)*Inputs!$C$16*'Long-term Model Summary'!AM13</f>
        <v>79162.998559145446</v>
      </c>
      <c r="AN22" s="180">
        <f>AN13*Inputs!$C$15*Inputs!$C$18+(Inputs!$C$19-IF(Investment!$L$2="Custom",Inputs!$K$11,0))*(1-Inputs!$C$17)*Inputs!$C$16*'Long-term Model Summary'!AN13</f>
        <v>82329.518501511266</v>
      </c>
      <c r="AO22" s="180">
        <f>AO13*Inputs!$C$15*Inputs!$C$18+(Inputs!$C$19-IF(Investment!$L$2="Custom",Inputs!$K$11,0))*(1-Inputs!$C$17)*Inputs!$C$16*'Long-term Model Summary'!AO13</f>
        <v>85622.69924157174</v>
      </c>
      <c r="AP22" s="180">
        <f>AP13*Inputs!$C$15*Inputs!$C$18+(Inputs!$C$19-IF(Investment!$L$2="Custom",Inputs!$K$11,0))*(1-Inputs!$C$17)*Inputs!$C$16*'Long-term Model Summary'!AP13</f>
        <v>86478.92623398744</v>
      </c>
      <c r="AQ22" s="180">
        <f>AQ13*Inputs!$C$15*Inputs!$C$18+(Inputs!$C$19-IF(Investment!$L$2="Custom",Inputs!$K$11,0))*(1-Inputs!$C$17)*Inputs!$C$16*'Long-term Model Summary'!AQ13</f>
        <v>87343.715496327321</v>
      </c>
      <c r="AR22" s="180">
        <f>AR13*Inputs!$C$15*Inputs!$C$18+(Inputs!$C$19-IF(Investment!$L$2="Custom",Inputs!$K$11,0))*(1-Inputs!$C$17)*Inputs!$C$16*'Long-term Model Summary'!AR13</f>
        <v>88217.152651290584</v>
      </c>
      <c r="AS22" s="180">
        <f>AS13*Inputs!$C$15*Inputs!$C$18+(Inputs!$C$19-IF(Investment!$L$2="Custom",Inputs!$K$11,0))*(1-Inputs!$C$17)*Inputs!$C$16*'Long-term Model Summary'!AS13</f>
        <v>89099.324177803486</v>
      </c>
      <c r="AT22" s="180">
        <f>AT13*Inputs!$C$15*Inputs!$C$18+(Inputs!$C$19-IF(Investment!$L$2="Custom",Inputs!$K$11,0))*(1-Inputs!$C$17)*Inputs!$C$16*'Long-term Model Summary'!AT13</f>
        <v>89990.317419581523</v>
      </c>
      <c r="AU22" s="180">
        <f>AU13*Inputs!$C$15*Inputs!$C$18+(Inputs!$C$19-IF(Investment!$L$2="Custom",Inputs!$K$11,0))*(1-Inputs!$C$17)*Inputs!$C$16*'Long-term Model Summary'!AU13</f>
        <v>90890.22059377734</v>
      </c>
      <c r="AV22" s="180">
        <f>AV13*Inputs!$C$15*Inputs!$C$18+(Inputs!$C$19-IF(Investment!$L$2="Custom",Inputs!$K$11,0))*(1-Inputs!$C$17)*Inputs!$C$16*'Long-term Model Summary'!AV13</f>
        <v>91799.122799715129</v>
      </c>
      <c r="AW22" s="180">
        <f>AW13*Inputs!$C$15*Inputs!$C$18+(Inputs!$C$19-IF(Investment!$L$2="Custom",Inputs!$K$11,0))*(1-Inputs!$C$17)*Inputs!$C$16*'Long-term Model Summary'!AW13</f>
        <v>92717.114027712261</v>
      </c>
      <c r="AX22" s="180">
        <f>AX13*Inputs!$C$15*Inputs!$C$18+(Inputs!$C$19-IF(Investment!$L$2="Custom",Inputs!$K$11,0))*(1-Inputs!$C$17)*Inputs!$C$16*'Long-term Model Summary'!AX13</f>
        <v>93644.285167989394</v>
      </c>
      <c r="AY22" s="180">
        <f>AY13*Inputs!$C$15*Inputs!$C$18+(Inputs!$C$19-IF(Investment!$L$2="Custom",Inputs!$K$11,0))*(1-Inputs!$C$17)*Inputs!$C$16*'Long-term Model Summary'!AY13</f>
        <v>94580.728019669288</v>
      </c>
      <c r="AZ22" s="180">
        <f>AZ13*Inputs!$C$15*Inputs!$C$18+(Inputs!$C$19-IF(Investment!$L$2="Custom",Inputs!$K$11,0))*(1-Inputs!$C$17)*Inputs!$C$16*'Long-term Model Summary'!AZ13</f>
        <v>85832.010677849903</v>
      </c>
      <c r="BA22" s="180">
        <f>BA13*Inputs!$C$15*Inputs!$C$18+(Inputs!$C$19-IF(Investment!$L$2="Custom",Inputs!$K$11,0))*(1-Inputs!$C$17)*Inputs!$C$16*'Long-term Model Summary'!BA13</f>
        <v>86690.330784628401</v>
      </c>
      <c r="BB22" s="180">
        <f>BB13*Inputs!$C$15*Inputs!$C$18+(Inputs!$C$19-IF(Investment!$L$2="Custom",Inputs!$K$11,0))*(1-Inputs!$C$17)*Inputs!$C$16*'Long-term Model Summary'!BB13</f>
        <v>87557.234092474682</v>
      </c>
      <c r="BC22" s="180">
        <f>BC13*Inputs!$C$15*Inputs!$C$18+(Inputs!$C$19-IF(Investment!$L$2="Custom",Inputs!$K$11,0))*(1-Inputs!$C$17)*Inputs!$C$16*'Long-term Model Summary'!BC13</f>
        <v>88432.806433399426</v>
      </c>
      <c r="BD22" s="180">
        <f>BD13*Inputs!$C$15*Inputs!$C$18+(Inputs!$C$19-IF(Investment!$L$2="Custom",Inputs!$K$11,0))*(1-Inputs!$C$17)*Inputs!$C$16*'Long-term Model Summary'!BD13</f>
        <v>89317.134497733437</v>
      </c>
      <c r="BE22" s="180">
        <f>BE13*Inputs!$C$15*Inputs!$C$18+(Inputs!$C$19-IF(Investment!$L$2="Custom",Inputs!$K$11,0))*(1-Inputs!$C$17)*Inputs!$C$16*'Long-term Model Summary'!BE13</f>
        <v>90210.305842710761</v>
      </c>
      <c r="BF22" s="180">
        <f>BF13*Inputs!$C$15*Inputs!$C$18+(Inputs!$C$19-IF(Investment!$L$2="Custom",Inputs!$K$11,0))*(1-Inputs!$C$17)*Inputs!$C$16*'Long-term Model Summary'!BF13</f>
        <v>91112.408901137867</v>
      </c>
      <c r="BG22" s="180">
        <f>BG13*Inputs!$C$15*Inputs!$C$18+(Inputs!$C$19-IF(Investment!$L$2="Custom",Inputs!$K$11,0))*(1-Inputs!$C$17)*Inputs!$C$16*'Long-term Model Summary'!BG13</f>
        <v>92023.532990149251</v>
      </c>
      <c r="BH22" s="180">
        <f>BH13*Inputs!$C$15*Inputs!$C$18+(Inputs!$C$19-IF(Investment!$L$2="Custom",Inputs!$K$11,0))*(1-Inputs!$C$17)*Inputs!$C$16*'Long-term Model Summary'!BH13</f>
        <v>92943.76832005076</v>
      </c>
      <c r="BI22" s="180">
        <f>BI13*Inputs!$C$15*Inputs!$C$18+(Inputs!$C$19-IF(Investment!$L$2="Custom",Inputs!$K$11,0))*(1-Inputs!$C$17)*Inputs!$C$16*'Long-term Model Summary'!BI13</f>
        <v>93873.206003251267</v>
      </c>
      <c r="BJ22" s="180">
        <f>BJ13*Inputs!$C$15*Inputs!$C$18+(Inputs!$C$19-IF(Investment!$L$2="Custom",Inputs!$K$11,0))*(1-Inputs!$C$17)*Inputs!$C$16*'Long-term Model Summary'!BJ13</f>
        <v>94811.938063283771</v>
      </c>
      <c r="BK22" s="180">
        <f>BK13*Inputs!$C$15*Inputs!$C$18+(Inputs!$C$19-IF(Investment!$L$2="Custom",Inputs!$K$11,0))*(1-Inputs!$C$17)*Inputs!$C$16*'Long-term Model Summary'!BK13</f>
        <v>95760.057443916608</v>
      </c>
      <c r="BL22" s="180">
        <f>BL13*Inputs!$C$15*Inputs!$C$18+(Inputs!$C$19-IF(Investment!$L$2="Custom",Inputs!$K$11,0))*(1-Inputs!$C$17)*Inputs!$C$16*'Long-term Model Summary'!BL13</f>
        <v>96717.658018355782</v>
      </c>
      <c r="BM22" s="180">
        <f>BM13*Inputs!$C$15*Inputs!$C$18+(Inputs!$C$19-IF(Investment!$L$2="Custom",Inputs!$K$11,0))*(1-Inputs!$C$17)*Inputs!$C$16*'Long-term Model Summary'!BM13</f>
        <v>97684.834598539339</v>
      </c>
      <c r="BN22" s="180">
        <f>BN13*Inputs!$C$15*Inputs!$C$18+(Inputs!$C$19-IF(Investment!$L$2="Custom",Inputs!$K$11,0))*(1-Inputs!$C$17)*Inputs!$C$16*'Long-term Model Summary'!BN13</f>
        <v>98661.682944524728</v>
      </c>
      <c r="BO22" s="180">
        <f>BO13*Inputs!$C$15*Inputs!$C$18+(Inputs!$C$19-IF(Investment!$L$2="Custom",Inputs!$K$11,0))*(1-Inputs!$C$17)*Inputs!$C$16*'Long-term Model Summary'!BO13</f>
        <v>99648.299773969979</v>
      </c>
      <c r="BP22" s="180">
        <f>BP13*Inputs!$C$15*Inputs!$C$18+(Inputs!$C$19-IF(Investment!$L$2="Custom",Inputs!$K$11,0))*(1-Inputs!$C$17)*Inputs!$C$16*'Long-term Model Summary'!BP13</f>
        <v>100644.78277170968</v>
      </c>
      <c r="BQ22" s="180">
        <f>BQ13*Inputs!$C$15*Inputs!$C$18+(Inputs!$C$19-IF(Investment!$L$2="Custom",Inputs!$K$11,0))*(1-Inputs!$C$17)*Inputs!$C$16*'Long-term Model Summary'!BQ13</f>
        <v>101651.23059942678</v>
      </c>
      <c r="BR22" s="180">
        <f>BR13*Inputs!$C$15*Inputs!$C$18+(Inputs!$C$19-IF(Investment!$L$2="Custom",Inputs!$K$11,0))*(1-Inputs!$C$17)*Inputs!$C$16*'Long-term Model Summary'!BR13</f>
        <v>102667.74290542105</v>
      </c>
      <c r="BS22" s="180">
        <f>BS13*Inputs!$C$15*Inputs!$C$18+(Inputs!$C$19-IF(Investment!$L$2="Custom",Inputs!$K$11,0))*(1-Inputs!$C$17)*Inputs!$C$16*'Long-term Model Summary'!BS13</f>
        <v>103694.42033447528</v>
      </c>
      <c r="BT22" s="180">
        <f>BT13*Inputs!$C$15*Inputs!$C$18+(Inputs!$C$19-IF(Investment!$L$2="Custom",Inputs!$K$11,0))*(1-Inputs!$C$17)*Inputs!$C$16*'Long-term Model Summary'!BT13</f>
        <v>103694.42033447528</v>
      </c>
      <c r="BU22" s="180">
        <f>BU13*Inputs!$C$15*Inputs!$C$18+(Inputs!$C$19-IF(Investment!$L$2="Custom",Inputs!$K$11,0))*(1-Inputs!$C$17)*Inputs!$C$16*'Long-term Model Summary'!BU13</f>
        <v>103694.42033447528</v>
      </c>
      <c r="BV22" s="180">
        <f>BV13*Inputs!$C$15*Inputs!$C$18+(Inputs!$C$19-IF(Investment!$L$2="Custom",Inputs!$K$11,0))*(1-Inputs!$C$17)*Inputs!$C$16*'Long-term Model Summary'!BV13</f>
        <v>103694.42033447528</v>
      </c>
      <c r="BW22" s="180">
        <f>BW13*Inputs!$C$15*Inputs!$C$18+(Inputs!$C$19-IF(Investment!$L$2="Custom",Inputs!$K$11,0))*(1-Inputs!$C$17)*Inputs!$C$16*'Long-term Model Summary'!BW13</f>
        <v>103694.42033447528</v>
      </c>
      <c r="BX22" s="180">
        <f>BX13*Inputs!$C$15*Inputs!$C$18+(Inputs!$C$19-IF(Investment!$L$2="Custom",Inputs!$K$11,0))*(1-Inputs!$C$17)*Inputs!$C$16*'Long-term Model Summary'!BX13</f>
        <v>103694.42033447528</v>
      </c>
      <c r="BY22" s="180">
        <f>BY13*Inputs!$C$15*Inputs!$C$18+(Inputs!$C$19-IF(Investment!$L$2="Custom",Inputs!$K$11,0))*(1-Inputs!$C$17)*Inputs!$C$16*'Long-term Model Summary'!BY13</f>
        <v>103694.42033447528</v>
      </c>
      <c r="BZ22" s="180">
        <f>BZ13*Inputs!$C$15*Inputs!$C$18+(Inputs!$C$19-IF(Investment!$L$2="Custom",Inputs!$K$11,0))*(1-Inputs!$C$17)*Inputs!$C$16*'Long-term Model Summary'!BZ13</f>
        <v>103694.42033447528</v>
      </c>
      <c r="CA22" s="180">
        <f>CA13*Inputs!$C$15*Inputs!$C$18+(Inputs!$C$19-IF(Investment!$L$2="Custom",Inputs!$K$11,0))*(1-Inputs!$C$17)*Inputs!$C$16*'Long-term Model Summary'!CA13</f>
        <v>103694.42033447528</v>
      </c>
      <c r="CB22" s="180">
        <f>CB13*Inputs!$C$15*Inputs!$C$18+(Inputs!$C$19-IF(Investment!$L$2="Custom",Inputs!$K$11,0))*(1-Inputs!$C$17)*Inputs!$C$16*'Long-term Model Summary'!CB13</f>
        <v>103694.42033447528</v>
      </c>
      <c r="CC22" s="180">
        <f>CC13*Inputs!$C$15*Inputs!$C$18+(Inputs!$C$19-IF(Investment!$L$2="Custom",Inputs!$K$11,0))*(1-Inputs!$C$17)*Inputs!$C$16*'Long-term Model Summary'!CC13</f>
        <v>103694.42033447528</v>
      </c>
      <c r="CD22" s="180">
        <f>CD13*Inputs!$C$15*Inputs!$C$18+(Inputs!$C$19-IF(Investment!$L$2="Custom",Inputs!$K$11,0))*(1-Inputs!$C$17)*Inputs!$C$16*'Long-term Model Summary'!CD13</f>
        <v>103694.42033447528</v>
      </c>
      <c r="CE22" s="180">
        <f>CE13*Inputs!$C$15*Inputs!$C$18+(Inputs!$C$19-IF(Investment!$L$2="Custom",Inputs!$K$11,0))*(1-Inputs!$C$17)*Inputs!$C$16*'Long-term Model Summary'!CE13</f>
        <v>103694.42033447528</v>
      </c>
      <c r="CF22" s="180">
        <f>CF13*Inputs!$C$15*Inputs!$C$18+(Inputs!$C$19-IF(Investment!$L$2="Custom",Inputs!$K$11,0))*(1-Inputs!$C$17)*Inputs!$C$16*'Long-term Model Summary'!CF13</f>
        <v>103694.42033447528</v>
      </c>
      <c r="CG22" s="180">
        <f>CG13*Inputs!$C$15*Inputs!$C$18+(Inputs!$C$19-IF(Investment!$L$2="Custom",Inputs!$K$11,0))*(1-Inputs!$C$17)*Inputs!$C$16*'Long-term Model Summary'!CG13</f>
        <v>103694.42033447528</v>
      </c>
      <c r="CH22" s="299">
        <f>CH13*Inputs!$C$15*Inputs!$C$18+(Inputs!$C$19-IF(Investment!$L$2="Custom",Inputs!$K$11,0))*(1-Inputs!$C$17)*Inputs!$C$16*'Long-term Model Summary'!CH13</f>
        <v>103694.42033447528</v>
      </c>
    </row>
    <row r="23" spans="10:86" hidden="1" x14ac:dyDescent="0.3">
      <c r="J23" s="297" t="s">
        <v>559</v>
      </c>
      <c r="K23" s="180">
        <f>((SUM(Labor!$F$48/60,IF(Investment!$L$2="In-house",Labor!$C$6/60*K13/Inputs!$C$3,0),IF(Investment!$L$2="Custom",MAX(Labor!$F$56/60*K13/Inputs!$C$3,Labor!$F$57/Inputs!$C$3),0))*Inputs!$G$9+K13*Inputs!$C$15*'Pecan budget'!$D$26+K13/Inputs!$C$3*(1-Inputs!$C$17)*Inputs!$C$19*Inputs!$C$16*'Pecan budget'!$D$27+SUM('Pecan budget'!$F$35:$F$36,'Pecan budget'!$F$25,'Pecan budget'!$F$24)*IF(Investment!$D$49=Investment!$L$5,Investment!$D$50,Investment!$E$50)*IF('Long-term Model Summary'!K13&gt;1,1,0)+(SUM(Labor!$F$48/60,IF(Investment!$L$2="In-house",Labor!$C$6/60*K13/Inputs!$C$3,0),IF(Investment!$L$2="Custom",MAX(Labor!$F$56/60*K13/Inputs!$C$3,Labor!$F$57/Inputs!$C$3),0))*Inputs!$G$9+K13*Inputs!$C$15*'Pecan budget'!$D$26+K13/Inputs!$C$3*(1-Inputs!$C$17)*Inputs!$C$19*Inputs!$C$16*'Pecan budget'!$D$27+SUM('Pecan budget'!$F$25,'Pecan budget'!$F$24)*IF(Investment!$D$49=Investment!$L$5,Investment!$D$50,Investment!$E$50)*IF('Long-term Model Summary'!K13&gt;1,1,0))*Inputs!$K$8/2)*Inputs!$C$3)</f>
        <v>10562.256315867256</v>
      </c>
      <c r="L23" s="180">
        <f>((SUM(Labor!$F$48/60,IF(Investment!$L$2="In-house",Labor!$C$6/60*L13/Inputs!$C$3,0),IF(Investment!$L$2="Custom",MAX(Labor!$F$56/60*L13/Inputs!$C$3,Labor!$F$57/Inputs!$C$3),0))*Inputs!$G$9+L13*Inputs!$C$15*'Pecan budget'!$D$26+L13/Inputs!$C$3*(1-Inputs!$C$17)*Inputs!$C$19*Inputs!$C$16*'Pecan budget'!$D$27+SUM('Pecan budget'!$F$35:$F$36,'Pecan budget'!$F$25,'Pecan budget'!$F$24)*IF(Investment!$D$49=Investment!$L$5,Investment!$D$50,Investment!$E$50)*IF('Long-term Model Summary'!L13&gt;1,1,0)+(SUM(Labor!$F$48/60,IF(Investment!$L$2="In-house",Labor!$C$6/60*L13/Inputs!$C$3,0),IF(Investment!$L$2="Custom",MAX(Labor!$F$56/60*L13/Inputs!$C$3,Labor!$F$57/Inputs!$C$3),0))*Inputs!$G$9+L13*Inputs!$C$15*'Pecan budget'!$D$26+L13/Inputs!$C$3*(1-Inputs!$C$17)*Inputs!$C$19*Inputs!$C$16*'Pecan budget'!$D$27+SUM('Pecan budget'!$F$25,'Pecan budget'!$F$24)*IF(Investment!$D$49=Investment!$L$5,Investment!$D$50,Investment!$E$50)*IF('Long-term Model Summary'!L13&gt;1,1,0))*Inputs!$K$8/2)*Inputs!$C$3)</f>
        <v>10583.084487387257</v>
      </c>
      <c r="M23" s="180">
        <f>((SUM(Labor!$F$48/60,IF(Investment!$L$2="In-house",Labor!$C$6/60*M13/Inputs!$C$3,0),IF(Investment!$L$2="Custom",MAX(Labor!$F$56/60*M13/Inputs!$C$3,Labor!$F$57/Inputs!$C$3),0))*Inputs!$G$9+M13*Inputs!$C$15*'Pecan budget'!$D$26+M13/Inputs!$C$3*(1-Inputs!$C$17)*Inputs!$C$19*Inputs!$C$16*'Pecan budget'!$D$27+SUM('Pecan budget'!$F$35:$F$36,'Pecan budget'!$F$25,'Pecan budget'!$F$24)*IF(Investment!$D$49=Investment!$L$5,Investment!$D$50,Investment!$E$50)*IF('Long-term Model Summary'!M13&gt;1,1,0)+(SUM(Labor!$F$48/60,IF(Investment!$L$2="In-house",Labor!$C$6/60*M13/Inputs!$C$3,0),IF(Investment!$L$2="Custom",MAX(Labor!$F$56/60*M13/Inputs!$C$3,Labor!$F$57/Inputs!$C$3),0))*Inputs!$G$9+M13*Inputs!$C$15*'Pecan budget'!$D$26+M13/Inputs!$C$3*(1-Inputs!$C$17)*Inputs!$C$19*Inputs!$C$16*'Pecan budget'!$D$27+SUM('Pecan budget'!$F$25,'Pecan budget'!$F$24)*IF(Investment!$D$49=Investment!$L$5,Investment!$D$50,Investment!$E$50)*IF('Long-term Model Summary'!M13&gt;1,1,0))*Inputs!$K$8/2)*Inputs!$C$3)</f>
        <v>10610.577673793654</v>
      </c>
      <c r="N23" s="180">
        <f>((SUM(Labor!$F$48/60,IF(Investment!$L$2="In-house",Labor!$C$6/60*N13/Inputs!$C$3,0),IF(Investment!$L$2="Custom",MAX(Labor!$F$56/60*N13/Inputs!$C$3,Labor!$F$57/Inputs!$C$3),0))*Inputs!$G$9+N13*Inputs!$C$15*'Pecan budget'!$D$26+N13/Inputs!$C$3*(1-Inputs!$C$17)*Inputs!$C$19*Inputs!$C$16*'Pecan budget'!$D$27+SUM('Pecan budget'!$F$35:$F$36,'Pecan budget'!$F$25,'Pecan budget'!$F$24)*IF(Investment!$D$49=Investment!$L$5,Investment!$D$50,Investment!$E$50)*IF('Long-term Model Summary'!N13&gt;1,1,0)+(SUM(Labor!$F$48/60,IF(Investment!$L$2="In-house",Labor!$C$6/60*N13/Inputs!$C$3,0),IF(Investment!$L$2="Custom",MAX(Labor!$F$56/60*N13/Inputs!$C$3,Labor!$F$57/Inputs!$C$3),0))*Inputs!$G$9+N13*Inputs!$C$15*'Pecan budget'!$D$26+N13/Inputs!$C$3*(1-Inputs!$C$17)*Inputs!$C$19*Inputs!$C$16*'Pecan budget'!$D$27+SUM('Pecan budget'!$F$25,'Pecan budget'!$F$24)*IF(Investment!$D$49=Investment!$L$5,Investment!$D$50,Investment!$E$50)*IF('Long-term Model Summary'!N13&gt;1,1,0))*Inputs!$K$8/2)*Inputs!$C$3)</f>
        <v>10646.868679850104</v>
      </c>
      <c r="O23" s="180">
        <f>((SUM(Labor!$F$48/60,IF(Investment!$L$2="In-house",Labor!$C$6/60*O13/Inputs!$C$3,0),IF(Investment!$L$2="Custom",MAX(Labor!$F$56/60*O13/Inputs!$C$3,Labor!$F$57/Inputs!$C$3),0))*Inputs!$G$9+O13*Inputs!$C$15*'Pecan budget'!$D$26+O13/Inputs!$C$3*(1-Inputs!$C$17)*Inputs!$C$19*Inputs!$C$16*'Pecan budget'!$D$27+SUM('Pecan budget'!$F$35:$F$36,'Pecan budget'!$F$25,'Pecan budget'!$F$24)*IF(Investment!$D$49=Investment!$L$5,Investment!$D$50,Investment!$E$50)*IF('Long-term Model Summary'!O13&gt;1,1,0)+(SUM(Labor!$F$48/60,IF(Investment!$L$2="In-house",Labor!$C$6/60*O13/Inputs!$C$3,0),IF(Investment!$L$2="Custom",MAX(Labor!$F$56/60*O13/Inputs!$C$3,Labor!$F$57/Inputs!$C$3),0))*Inputs!$G$9+O13*Inputs!$C$15*'Pecan budget'!$D$26+O13/Inputs!$C$3*(1-Inputs!$C$17)*Inputs!$C$19*Inputs!$C$16*'Pecan budget'!$D$27+SUM('Pecan budget'!$F$25,'Pecan budget'!$F$24)*IF(Investment!$D$49=Investment!$L$5,Investment!$D$50,Investment!$E$50)*IF('Long-term Model Summary'!O13&gt;1,1,0))*Inputs!$K$8/2)*Inputs!$C$3)</f>
        <v>10694.772807844616</v>
      </c>
      <c r="P23" s="180">
        <f>((SUM(Labor!$F$48/60,IF(Investment!$L$2="In-house",Labor!$C$6/60*P13/Inputs!$C$3,0),IF(Investment!$L$2="Custom",MAX(Labor!$F$56/60*P13/Inputs!$C$3,Labor!$F$57/Inputs!$C$3),0))*Inputs!$G$9+P13*Inputs!$C$15*'Pecan budget'!$D$26+P13/Inputs!$C$3*(1-Inputs!$C$17)*Inputs!$C$19*Inputs!$C$16*'Pecan budget'!$D$27+SUM('Pecan budget'!$F$35:$F$36,'Pecan budget'!$F$25,'Pecan budget'!$F$24)*IF(Investment!$D$49=Investment!$L$5,Investment!$D$50,Investment!$E$50)*IF('Long-term Model Summary'!P13&gt;1,1,0)+(SUM(Labor!$F$48/60,IF(Investment!$L$2="In-house",Labor!$C$6/60*P13/Inputs!$C$3,0),IF(Investment!$L$2="Custom",MAX(Labor!$F$56/60*P13/Inputs!$C$3,Labor!$F$57/Inputs!$C$3),0))*Inputs!$G$9+P13*Inputs!$C$15*'Pecan budget'!$D$26+P13/Inputs!$C$3*(1-Inputs!$C$17)*Inputs!$C$19*Inputs!$C$16*'Pecan budget'!$D$27+SUM('Pecan budget'!$F$25,'Pecan budget'!$F$24)*IF(Investment!$D$49=Investment!$L$5,Investment!$D$50,Investment!$E$50)*IF('Long-term Model Summary'!P13&gt;1,1,0))*Inputs!$K$8/2)*Inputs!$C$3)</f>
        <v>10758.006256797371</v>
      </c>
      <c r="Q23" s="180">
        <f>((SUM(Labor!$F$48/60,IF(Investment!$L$2="In-house",Labor!$C$6/60*Q13/Inputs!$C$3,0),IF(Investment!$L$2="Custom",MAX(Labor!$F$56/60*Q13/Inputs!$C$3,Labor!$F$57/Inputs!$C$3),0))*Inputs!$G$9+Q13*Inputs!$C$15*'Pecan budget'!$D$26+Q13/Inputs!$C$3*(1-Inputs!$C$17)*Inputs!$C$19*Inputs!$C$16*'Pecan budget'!$D$27+SUM('Pecan budget'!$F$35:$F$36,'Pecan budget'!$F$25,'Pecan budget'!$F$24)*IF(Investment!$D$49=Investment!$L$5,Investment!$D$50,Investment!$E$50)*IF('Long-term Model Summary'!Q13&gt;1,1,0)+(SUM(Labor!$F$48/60,IF(Investment!$L$2="In-house",Labor!$C$6/60*Q13/Inputs!$C$3,0),IF(Investment!$L$2="Custom",MAX(Labor!$F$56/60*Q13/Inputs!$C$3,Labor!$F$57/Inputs!$C$3),0))*Inputs!$G$9+Q13*Inputs!$C$15*'Pecan budget'!$D$26+Q13/Inputs!$C$3*(1-Inputs!$C$17)*Inputs!$C$19*Inputs!$C$16*'Pecan budget'!$D$27+SUM('Pecan budget'!$F$25,'Pecan budget'!$F$24)*IF(Investment!$D$49=Investment!$L$5,Investment!$D$50,Investment!$E$50)*IF('Long-term Model Summary'!Q13&gt;1,1,0))*Inputs!$K$8/2)*Inputs!$C$3)</f>
        <v>10841.474409415008</v>
      </c>
      <c r="R23" s="180">
        <f>((SUM(Labor!$F$48/60,IF(Investment!$L$2="In-house",Labor!$C$6/60*R13/Inputs!$C$3,0),IF(Investment!$L$2="Custom",MAX(Labor!$F$56/60*R13/Inputs!$C$3,Labor!$F$57/Inputs!$C$3),0))*Inputs!$G$9+R13*Inputs!$C$15*'Pecan budget'!$D$26+R13/Inputs!$C$3*(1-Inputs!$C$17)*Inputs!$C$19*Inputs!$C$16*'Pecan budget'!$D$27+SUM('Pecan budget'!$F$35:$F$36,'Pecan budget'!$F$25,'Pecan budget'!$F$24)*IF(Investment!$D$49=Investment!$L$5,Investment!$D$50,Investment!$E$50)*IF('Long-term Model Summary'!R13&gt;1,1,0)+(SUM(Labor!$F$48/60,IF(Investment!$L$2="In-house",Labor!$C$6/60*R13/Inputs!$C$3,0),IF(Investment!$L$2="Custom",MAX(Labor!$F$56/60*R13/Inputs!$C$3,Labor!$F$57/Inputs!$C$3),0))*Inputs!$G$9+R13*Inputs!$C$15*'Pecan budget'!$D$26+R13/Inputs!$C$3*(1-Inputs!$C$17)*Inputs!$C$19*Inputs!$C$16*'Pecan budget'!$D$27+SUM('Pecan budget'!$F$25,'Pecan budget'!$F$24)*IF(Investment!$D$49=Investment!$L$5,Investment!$D$50,Investment!$E$50)*IF('Long-term Model Summary'!R13&gt;1,1,0))*Inputs!$K$8/2)*Inputs!$C$3)</f>
        <v>10951.652370870288</v>
      </c>
      <c r="S23" s="180">
        <f>((SUM(Labor!$F$48/60,IF(Investment!$L$2="In-house",Labor!$C$6/60*S13/Inputs!$C$3,0),IF(Investment!$L$2="Custom",MAX(Labor!$F$56/60*S13/Inputs!$C$3,Labor!$F$57/Inputs!$C$3),0))*Inputs!$G$9+S13*Inputs!$C$15*'Pecan budget'!$D$26+S13/Inputs!$C$3*(1-Inputs!$C$17)*Inputs!$C$19*Inputs!$C$16*'Pecan budget'!$D$27+SUM('Pecan budget'!$F$35:$F$36,'Pecan budget'!$F$25,'Pecan budget'!$F$24)*IF(Investment!$D$49=Investment!$L$5,Investment!$D$50,Investment!$E$50)*IF('Long-term Model Summary'!S13&gt;1,1,0)+(SUM(Labor!$F$48/60,IF(Investment!$L$2="In-house",Labor!$C$6/60*S13/Inputs!$C$3,0),IF(Investment!$L$2="Custom",MAX(Labor!$F$56/60*S13/Inputs!$C$3,Labor!$F$57/Inputs!$C$3),0))*Inputs!$G$9+S13*Inputs!$C$15*'Pecan budget'!$D$26+S13/Inputs!$C$3*(1-Inputs!$C$17)*Inputs!$C$19*Inputs!$C$16*'Pecan budget'!$D$27+SUM('Pecan budget'!$F$25,'Pecan budget'!$F$24)*IF(Investment!$D$49=Investment!$L$5,Investment!$D$50,Investment!$E$50)*IF('Long-term Model Summary'!S13&gt;1,1,0))*Inputs!$K$8/2)*Inputs!$C$3)</f>
        <v>11097.087279991258</v>
      </c>
      <c r="T23" s="180">
        <f>((SUM(Labor!$F$48/60,IF(Investment!$L$2="In-house",Labor!$C$6/60*T13/Inputs!$C$3,0),IF(Investment!$L$2="Custom",MAX(Labor!$F$56/60*T13/Inputs!$C$3,Labor!$F$57/Inputs!$C$3),0))*Inputs!$G$9+T13*Inputs!$C$15*'Pecan budget'!$D$26+T13/Inputs!$C$3*(1-Inputs!$C$17)*Inputs!$C$19*Inputs!$C$16*'Pecan budget'!$D$27+SUM('Pecan budget'!$F$35:$F$36,'Pecan budget'!$F$25,'Pecan budget'!$F$24)*IF(Investment!$D$49=Investment!$L$5,Investment!$D$50,Investment!$E$50)*IF('Long-term Model Summary'!T13&gt;1,1,0)+(SUM(Labor!$F$48/60,IF(Investment!$L$2="In-house",Labor!$C$6/60*T13/Inputs!$C$3,0),IF(Investment!$L$2="Custom",MAX(Labor!$F$56/60*T13/Inputs!$C$3,Labor!$F$57/Inputs!$C$3),0))*Inputs!$G$9+T13*Inputs!$C$15*'Pecan budget'!$D$26+T13/Inputs!$C$3*(1-Inputs!$C$17)*Inputs!$C$19*Inputs!$C$16*'Pecan budget'!$D$27+SUM('Pecan budget'!$F$25,'Pecan budget'!$F$24)*IF(Investment!$D$49=Investment!$L$5,Investment!$D$50,Investment!$E$50)*IF('Long-term Model Summary'!T13&gt;1,1,0))*Inputs!$K$8/2)*Inputs!$C$3)</f>
        <v>11289.061360030937</v>
      </c>
      <c r="U23" s="180">
        <f>((SUM(Labor!$F$48/60,IF(Investment!$L$2="In-house",Labor!$C$6/60*U13/Inputs!$C$3,0),IF(Investment!$L$2="Custom",MAX(Labor!$F$56/60*U13/Inputs!$C$3,Labor!$F$57/Inputs!$C$3),0))*Inputs!$G$9+U13*Inputs!$C$15*'Pecan budget'!$D$26+U13/Inputs!$C$3*(1-Inputs!$C$17)*Inputs!$C$19*Inputs!$C$16*'Pecan budget'!$D$27+SUM('Pecan budget'!$F$35:$F$36,'Pecan budget'!$F$25,'Pecan budget'!$F$24)*IF(Investment!$D$49=Investment!$L$5,Investment!$D$50,Investment!$E$50)*IF('Long-term Model Summary'!U13&gt;1,1,0)+(SUM(Labor!$F$48/60,IF(Investment!$L$2="In-house",Labor!$C$6/60*U13/Inputs!$C$3,0),IF(Investment!$L$2="Custom",MAX(Labor!$F$56/60*U13/Inputs!$C$3,Labor!$F$57/Inputs!$C$3),0))*Inputs!$G$9+U13*Inputs!$C$15*'Pecan budget'!$D$26+U13/Inputs!$C$3*(1-Inputs!$C$17)*Inputs!$C$19*Inputs!$C$16*'Pecan budget'!$D$27+SUM('Pecan budget'!$F$25,'Pecan budget'!$F$24)*IF(Investment!$D$49=Investment!$L$5,Investment!$D$50,Investment!$E$50)*IF('Long-term Model Summary'!U13&gt;1,1,0))*Inputs!$K$8/2)*Inputs!$C$3)</f>
        <v>11542.467145683315</v>
      </c>
      <c r="V23" s="180">
        <f>((SUM(Labor!$F$48/60,IF(Investment!$L$2="In-house",Labor!$C$6/60*V13/Inputs!$C$3,0),IF(Investment!$L$2="Custom",MAX(Labor!$F$56/60*V13/Inputs!$C$3,Labor!$F$57/Inputs!$C$3),0))*Inputs!$G$9+V13*Inputs!$C$15*'Pecan budget'!$D$26+V13/Inputs!$C$3*(1-Inputs!$C$17)*Inputs!$C$19*Inputs!$C$16*'Pecan budget'!$D$27+SUM('Pecan budget'!$F$35:$F$36,'Pecan budget'!$F$25,'Pecan budget'!$F$24)*IF(Investment!$D$49=Investment!$L$5,Investment!$D$50,Investment!$E$50)*IF('Long-term Model Summary'!V13&gt;1,1,0)+(SUM(Labor!$F$48/60,IF(Investment!$L$2="In-house",Labor!$C$6/60*V13/Inputs!$C$3,0),IF(Investment!$L$2="Custom",MAX(Labor!$F$56/60*V13/Inputs!$C$3,Labor!$F$57/Inputs!$C$3),0))*Inputs!$G$9+V13*Inputs!$C$15*'Pecan budget'!$D$26+V13/Inputs!$C$3*(1-Inputs!$C$17)*Inputs!$C$19*Inputs!$C$16*'Pecan budget'!$D$27+SUM('Pecan budget'!$F$25,'Pecan budget'!$F$24)*IF(Investment!$D$49=Investment!$L$5,Investment!$D$50,Investment!$E$50)*IF('Long-term Model Summary'!V13&gt;1,1,0))*Inputs!$K$8/2)*Inputs!$C$3)</f>
        <v>11876.962782744456</v>
      </c>
      <c r="W23" s="180">
        <f>((SUM(Labor!$F$48/60,IF(Investment!$L$2="In-house",Labor!$C$6/60*W13/Inputs!$C$3,0),IF(Investment!$L$2="Custom",MAX(Labor!$F$56/60*W13/Inputs!$C$3,Labor!$F$57/Inputs!$C$3),0))*Inputs!$G$9+W13*Inputs!$C$15*'Pecan budget'!$D$26+W13/Inputs!$C$3*(1-Inputs!$C$17)*Inputs!$C$19*Inputs!$C$16*'Pecan budget'!$D$27+SUM('Pecan budget'!$F$35:$F$36,'Pecan budget'!$F$25,'Pecan budget'!$F$24)*IF(Investment!$D$49=Investment!$L$5,Investment!$D$50,Investment!$E$50)*IF('Long-term Model Summary'!W13&gt;1,1,0)+(SUM(Labor!$F$48/60,IF(Investment!$L$2="In-house",Labor!$C$6/60*W13/Inputs!$C$3,0),IF(Investment!$L$2="Custom",MAX(Labor!$F$56/60*W13/Inputs!$C$3,Labor!$F$57/Inputs!$C$3),0))*Inputs!$G$9+W13*Inputs!$C$15*'Pecan budget'!$D$26+W13/Inputs!$C$3*(1-Inputs!$C$17)*Inputs!$C$19*Inputs!$C$16*'Pecan budget'!$D$27+SUM('Pecan budget'!$F$25,'Pecan budget'!$F$24)*IF(Investment!$D$49=Investment!$L$5,Investment!$D$50,Investment!$E$50)*IF('Long-term Model Summary'!W13&gt;1,1,0))*Inputs!$K$8/2)*Inputs!$C$3)</f>
        <v>11895.360042782817</v>
      </c>
      <c r="X23" s="180">
        <f>((SUM(Labor!$F$48/60,IF(Investment!$L$2="In-house",Labor!$C$6/60*X13/Inputs!$C$3,0),IF(Investment!$L$2="Custom",MAX(Labor!$F$56/60*X13/Inputs!$C$3,Labor!$F$57/Inputs!$C$3),0))*Inputs!$G$9+X13*Inputs!$C$15*'Pecan budget'!$D$26+X13/Inputs!$C$3*(1-Inputs!$C$17)*Inputs!$C$19*Inputs!$C$16*'Pecan budget'!$D$27+SUM('Pecan budget'!$F$35:$F$36,'Pecan budget'!$F$25,'Pecan budget'!$F$24)*IF(Investment!$D$49=Investment!$L$5,Investment!$D$50,Investment!$E$50)*IF('Long-term Model Summary'!X13&gt;1,1,0)+(SUM(Labor!$F$48/60,IF(Investment!$L$2="In-house",Labor!$C$6/60*X13/Inputs!$C$3,0),IF(Investment!$L$2="Custom",MAX(Labor!$F$56/60*X13/Inputs!$C$3,Labor!$F$57/Inputs!$C$3),0))*Inputs!$G$9+X13*Inputs!$C$15*'Pecan budget'!$D$26+X13/Inputs!$C$3*(1-Inputs!$C$17)*Inputs!$C$19*Inputs!$C$16*'Pecan budget'!$D$27+SUM('Pecan budget'!$F$25,'Pecan budget'!$F$24)*IF(Investment!$D$49=Investment!$L$5,Investment!$D$50,Investment!$E$50)*IF('Long-term Model Summary'!X13&gt;1,1,0))*Inputs!$K$8/2)*Inputs!$C$3)</f>
        <v>12342.781406915799</v>
      </c>
      <c r="Y23" s="180">
        <f>((SUM(Labor!$F$48/60,IF(Investment!$L$2="In-house",Labor!$C$6/60*Y13/Inputs!$C$3,0),IF(Investment!$L$2="Custom",MAX(Labor!$F$56/60*Y13/Inputs!$C$3,Labor!$F$57/Inputs!$C$3),0))*Inputs!$G$9+Y13*Inputs!$C$15*'Pecan budget'!$D$26+Y13/Inputs!$C$3*(1-Inputs!$C$17)*Inputs!$C$19*Inputs!$C$16*'Pecan budget'!$D$27+SUM('Pecan budget'!$F$35:$F$36,'Pecan budget'!$F$25,'Pecan budget'!$F$24)*IF(Investment!$D$49=Investment!$L$5,Investment!$D$50,Investment!$E$50)*IF('Long-term Model Summary'!Y13&gt;1,1,0)+(SUM(Labor!$F$48/60,IF(Investment!$L$2="In-house",Labor!$C$6/60*Y13/Inputs!$C$3,0),IF(Investment!$L$2="Custom",MAX(Labor!$F$56/60*Y13/Inputs!$C$3,Labor!$F$57/Inputs!$C$3),0))*Inputs!$G$9+Y13*Inputs!$C$15*'Pecan budget'!$D$26+Y13/Inputs!$C$3*(1-Inputs!$C$17)*Inputs!$C$19*Inputs!$C$16*'Pecan budget'!$D$27+SUM('Pecan budget'!$F$25,'Pecan budget'!$F$24)*IF(Investment!$D$49=Investment!$L$5,Investment!$D$50,Investment!$E$50)*IF('Long-term Model Summary'!Y13&gt;1,1,0))*Inputs!$K$8/2)*Inputs!$C$3)</f>
        <v>12933.37760757133</v>
      </c>
      <c r="Z23" s="180">
        <f>((SUM(Labor!$F$48/60,IF(Investment!$L$2="In-house",Labor!$C$6/60*Z13/Inputs!$C$3,0),IF(Investment!$L$2="Custom",MAX(Labor!$F$56/60*Z13/Inputs!$C$3,Labor!$F$57/Inputs!$C$3),0))*Inputs!$G$9+Z13*Inputs!$C$15*'Pecan budget'!$D$26+Z13/Inputs!$C$3*(1-Inputs!$C$17)*Inputs!$C$19*Inputs!$C$16*'Pecan budget'!$D$27+SUM('Pecan budget'!$F$35:$F$36,'Pecan budget'!$F$25,'Pecan budget'!$F$24)*IF(Investment!$D$49=Investment!$L$5,Investment!$D$50,Investment!$E$50)*IF('Long-term Model Summary'!Z13&gt;1,1,0)+(SUM(Labor!$F$48/60,IF(Investment!$L$2="In-house",Labor!$C$6/60*Z13/Inputs!$C$3,0),IF(Investment!$L$2="Custom",MAX(Labor!$F$56/60*Z13/Inputs!$C$3,Labor!$F$57/Inputs!$C$3),0))*Inputs!$G$9+Z13*Inputs!$C$15*'Pecan budget'!$D$26+Z13/Inputs!$C$3*(1-Inputs!$C$17)*Inputs!$C$19*Inputs!$C$16*'Pecan budget'!$D$27+SUM('Pecan budget'!$F$25,'Pecan budget'!$F$24)*IF(Investment!$D$49=Investment!$L$5,Investment!$D$50,Investment!$E$50)*IF('Long-term Model Summary'!Z13&gt;1,1,0))*Inputs!$K$8/2)*Inputs!$C$3)</f>
        <v>13712.964592436638</v>
      </c>
      <c r="AA23" s="180">
        <f>((SUM(Labor!$F$48/60,IF(Investment!$L$2="In-house",Labor!$C$6/60*AA13/Inputs!$C$3,0),IF(Investment!$L$2="Custom",MAX(Labor!$F$56/60*AA13/Inputs!$C$3,Labor!$F$57/Inputs!$C$3),0))*Inputs!$G$9+AA13*Inputs!$C$15*'Pecan budget'!$D$26+AA13/Inputs!$C$3*(1-Inputs!$C$17)*Inputs!$C$19*Inputs!$C$16*'Pecan budget'!$D$27+SUM('Pecan budget'!$F$35:$F$36,'Pecan budget'!$F$25,'Pecan budget'!$F$24)*IF(Investment!$D$49=Investment!$L$5,Investment!$D$50,Investment!$E$50)*IF('Long-term Model Summary'!AA13&gt;1,1,0)+(SUM(Labor!$F$48/60,IF(Investment!$L$2="In-house",Labor!$C$6/60*AA13/Inputs!$C$3,0),IF(Investment!$L$2="Custom",MAX(Labor!$F$56/60*AA13/Inputs!$C$3,Labor!$F$57/Inputs!$C$3),0))*Inputs!$G$9+AA13*Inputs!$C$15*'Pecan budget'!$D$26+AA13/Inputs!$C$3*(1-Inputs!$C$17)*Inputs!$C$19*Inputs!$C$16*'Pecan budget'!$D$27+SUM('Pecan budget'!$F$25,'Pecan budget'!$F$24)*IF(Investment!$D$49=Investment!$L$5,Investment!$D$50,Investment!$E$50)*IF('Long-term Model Summary'!AA13&gt;1,1,0))*Inputs!$K$8/2)*Inputs!$C$3)</f>
        <v>13841.596444939412</v>
      </c>
      <c r="AB23" s="180">
        <f>((SUM(Labor!$F$48/60,IF(Investment!$L$2="In-house",Labor!$C$6/60*AB13/Inputs!$C$3,0),IF(Investment!$L$2="Custom",MAX(Labor!$F$56/60*AB13/Inputs!$C$3,Labor!$F$57/Inputs!$C$3),0))*Inputs!$G$9+AB13*Inputs!$C$15*'Pecan budget'!$D$26+AB13/Inputs!$C$3*(1-Inputs!$C$17)*Inputs!$C$19*Inputs!$C$16*'Pecan budget'!$D$27+SUM('Pecan budget'!$F$35:$F$36,'Pecan budget'!$F$25,'Pecan budget'!$F$24)*IF(Investment!$D$49=Investment!$L$5,Investment!$D$50,Investment!$E$50)*IF('Long-term Model Summary'!AB13&gt;1,1,0)+(SUM(Labor!$F$48/60,IF(Investment!$L$2="In-house",Labor!$C$6/60*AB13/Inputs!$C$3,0),IF(Investment!$L$2="Custom",MAX(Labor!$F$56/60*AB13/Inputs!$C$3,Labor!$F$57/Inputs!$C$3),0))*Inputs!$G$9+AB13*Inputs!$C$15*'Pecan budget'!$D$26+AB13/Inputs!$C$3*(1-Inputs!$C$17)*Inputs!$C$19*Inputs!$C$16*'Pecan budget'!$D$27+SUM('Pecan budget'!$F$25,'Pecan budget'!$F$24)*IF(Investment!$D$49=Investment!$L$5,Investment!$D$50,Investment!$E$50)*IF('Long-term Model Summary'!AB13&gt;1,1,0))*Inputs!$K$8/2)*Inputs!$C$3)</f>
        <v>13975.373571542299</v>
      </c>
      <c r="AC23" s="180">
        <f>((SUM(Labor!$F$48/60,IF(Investment!$L$2="In-house",Labor!$C$6/60*AC13/Inputs!$C$3,0),IF(Investment!$L$2="Custom",MAX(Labor!$F$56/60*AC13/Inputs!$C$3,Labor!$F$57/Inputs!$C$3),0))*Inputs!$G$9+AC13*Inputs!$C$15*'Pecan budget'!$D$26+AC13/Inputs!$C$3*(1-Inputs!$C$17)*Inputs!$C$19*Inputs!$C$16*'Pecan budget'!$D$27+SUM('Pecan budget'!$F$35:$F$36,'Pecan budget'!$F$25,'Pecan budget'!$F$24)*IF(Investment!$D$49=Investment!$L$5,Investment!$D$50,Investment!$E$50)*IF('Long-term Model Summary'!AC13&gt;1,1,0)+(SUM(Labor!$F$48/60,IF(Investment!$L$2="In-house",Labor!$C$6/60*AC13/Inputs!$C$3,0),IF(Investment!$L$2="Custom",MAX(Labor!$F$56/60*AC13/Inputs!$C$3,Labor!$F$57/Inputs!$C$3),0))*Inputs!$G$9+AC13*Inputs!$C$15*'Pecan budget'!$D$26+AC13/Inputs!$C$3*(1-Inputs!$C$17)*Inputs!$C$19*Inputs!$C$16*'Pecan budget'!$D$27+SUM('Pecan budget'!$F$25,'Pecan budget'!$F$24)*IF(Investment!$D$49=Investment!$L$5,Investment!$D$50,Investment!$E$50)*IF('Long-term Model Summary'!AC13&gt;1,1,0))*Inputs!$K$8/2)*Inputs!$C$3)</f>
        <v>14114.5017832093</v>
      </c>
      <c r="AD23" s="180">
        <f>((SUM(Labor!$F$48/60,IF(Investment!$L$2="In-house",Labor!$C$6/60*AD13/Inputs!$C$3,0),IF(Investment!$L$2="Custom",MAX(Labor!$F$56/60*AD13/Inputs!$C$3,Labor!$F$57/Inputs!$C$3),0))*Inputs!$G$9+AD13*Inputs!$C$15*'Pecan budget'!$D$26+AD13/Inputs!$C$3*(1-Inputs!$C$17)*Inputs!$C$19*Inputs!$C$16*'Pecan budget'!$D$27+SUM('Pecan budget'!$F$35:$F$36,'Pecan budget'!$F$25,'Pecan budget'!$F$24)*IF(Investment!$D$49=Investment!$L$5,Investment!$D$50,Investment!$E$50)*IF('Long-term Model Summary'!AD13&gt;1,1,0)+(SUM(Labor!$F$48/60,IF(Investment!$L$2="In-house",Labor!$C$6/60*AD13/Inputs!$C$3,0),IF(Investment!$L$2="Custom",MAX(Labor!$F$56/60*AD13/Inputs!$C$3,Labor!$F$57/Inputs!$C$3),0))*Inputs!$G$9+AD13*Inputs!$C$15*'Pecan budget'!$D$26+AD13/Inputs!$C$3*(1-Inputs!$C$17)*Inputs!$C$19*Inputs!$C$16*'Pecan budget'!$D$27+SUM('Pecan budget'!$F$25,'Pecan budget'!$F$24)*IF(Investment!$D$49=Investment!$L$5,Investment!$D$50,Investment!$E$50)*IF('Long-term Model Summary'!AD13&gt;1,1,0))*Inputs!$K$8/2)*Inputs!$C$3)</f>
        <v>14259.195123342983</v>
      </c>
      <c r="AE23" s="180">
        <f>((SUM(Labor!$F$48/60,IF(Investment!$L$2="In-house",Labor!$C$6/60*AE13/Inputs!$C$3,0),IF(Investment!$L$2="Custom",MAX(Labor!$F$56/60*AE13/Inputs!$C$3,Labor!$F$57/Inputs!$C$3),0))*Inputs!$G$9+AE13*Inputs!$C$15*'Pecan budget'!$D$26+AE13/Inputs!$C$3*(1-Inputs!$C$17)*Inputs!$C$19*Inputs!$C$16*'Pecan budget'!$D$27+SUM('Pecan budget'!$F$35:$F$36,'Pecan budget'!$F$25,'Pecan budget'!$F$24)*IF(Investment!$D$49=Investment!$L$5,Investment!$D$50,Investment!$E$50)*IF('Long-term Model Summary'!AE13&gt;1,1,0)+(SUM(Labor!$F$48/60,IF(Investment!$L$2="In-house",Labor!$C$6/60*AE13/Inputs!$C$3,0),IF(Investment!$L$2="Custom",MAX(Labor!$F$56/60*AE13/Inputs!$C$3,Labor!$F$57/Inputs!$C$3),0))*Inputs!$G$9+AE13*Inputs!$C$15*'Pecan budget'!$D$26+AE13/Inputs!$C$3*(1-Inputs!$C$17)*Inputs!$C$19*Inputs!$C$16*'Pecan budget'!$D$27+SUM('Pecan budget'!$F$25,'Pecan budget'!$F$24)*IF(Investment!$D$49=Investment!$L$5,Investment!$D$50,Investment!$E$50)*IF('Long-term Model Summary'!AE13&gt;1,1,0))*Inputs!$K$8/2)*Inputs!$C$3)</f>
        <v>14409.67619708201</v>
      </c>
      <c r="AF23" s="180">
        <f>((SUM(Labor!$F$48/60,IF(Investment!$L$2="In-house",Labor!$C$6/60*AF13/Inputs!$C$3,0),IF(Investment!$L$2="Custom",MAX(Labor!$F$56/60*AF13/Inputs!$C$3,Labor!$F$57/Inputs!$C$3),0))*Inputs!$G$9+AF13*Inputs!$C$15*'Pecan budget'!$D$26+AF13/Inputs!$C$3*(1-Inputs!$C$17)*Inputs!$C$19*Inputs!$C$16*'Pecan budget'!$D$27+SUM('Pecan budget'!$F$35:$F$36,'Pecan budget'!$F$25,'Pecan budget'!$F$24)*IF(Investment!$D$49=Investment!$L$5,Investment!$D$50,Investment!$E$50)*IF('Long-term Model Summary'!AF13&gt;1,1,0)+(SUM(Labor!$F$48/60,IF(Investment!$L$2="In-house",Labor!$C$6/60*AF13/Inputs!$C$3,0),IF(Investment!$L$2="Custom",MAX(Labor!$F$56/60*AF13/Inputs!$C$3,Labor!$F$57/Inputs!$C$3),0))*Inputs!$G$9+AF13*Inputs!$C$15*'Pecan budget'!$D$26+AF13/Inputs!$C$3*(1-Inputs!$C$17)*Inputs!$C$19*Inputs!$C$16*'Pecan budget'!$D$27+SUM('Pecan budget'!$F$25,'Pecan budget'!$F$24)*IF(Investment!$D$49=Investment!$L$5,Investment!$D$50,Investment!$E$50)*IF('Long-term Model Summary'!AF13&gt;1,1,0))*Inputs!$K$8/2)*Inputs!$C$3)</f>
        <v>14566.176513770604</v>
      </c>
      <c r="AG23" s="180">
        <f>((SUM(Labor!$F$48/60,IF(Investment!$L$2="In-house",Labor!$C$6/60*AG13/Inputs!$C$3,0),IF(Investment!$L$2="Custom",MAX(Labor!$F$56/60*AG13/Inputs!$C$3,Labor!$F$57/Inputs!$C$3),0))*Inputs!$G$9+AG13*Inputs!$C$15*'Pecan budget'!$D$26+AG13/Inputs!$C$3*(1-Inputs!$C$17)*Inputs!$C$19*Inputs!$C$16*'Pecan budget'!$D$27+SUM('Pecan budget'!$F$35:$F$36,'Pecan budget'!$F$25,'Pecan budget'!$F$24)*IF(Investment!$D$49=Investment!$L$5,Investment!$D$50,Investment!$E$50)*IF('Long-term Model Summary'!AG13&gt;1,1,0)+(SUM(Labor!$F$48/60,IF(Investment!$L$2="In-house",Labor!$C$6/60*AG13/Inputs!$C$3,0),IF(Investment!$L$2="Custom",MAX(Labor!$F$56/60*AG13/Inputs!$C$3,Labor!$F$57/Inputs!$C$3),0))*Inputs!$G$9+AG13*Inputs!$C$15*'Pecan budget'!$D$26+AG13/Inputs!$C$3*(1-Inputs!$C$17)*Inputs!$C$19*Inputs!$C$16*'Pecan budget'!$D$27+SUM('Pecan budget'!$F$25,'Pecan budget'!$F$24)*IF(Investment!$D$49=Investment!$L$5,Investment!$D$50,Investment!$E$50)*IF('Long-term Model Summary'!AG13&gt;1,1,0))*Inputs!$K$8/2)*Inputs!$C$3)</f>
        <v>14728.936843126738</v>
      </c>
      <c r="AH23" s="180">
        <f>((SUM(Labor!$F$48/60,IF(Investment!$L$2="In-house",Labor!$C$6/60*AH13/Inputs!$C$3,0),IF(Investment!$L$2="Custom",MAX(Labor!$F$56/60*AH13/Inputs!$C$3,Labor!$F$57/Inputs!$C$3),0))*Inputs!$G$9+AH13*Inputs!$C$15*'Pecan budget'!$D$26+AH13/Inputs!$C$3*(1-Inputs!$C$17)*Inputs!$C$19*Inputs!$C$16*'Pecan budget'!$D$27+SUM('Pecan budget'!$F$35:$F$36,'Pecan budget'!$F$25,'Pecan budget'!$F$24)*IF(Investment!$D$49=Investment!$L$5,Investment!$D$50,Investment!$E$50)*IF('Long-term Model Summary'!AH13&gt;1,1,0)+(SUM(Labor!$F$48/60,IF(Investment!$L$2="In-house",Labor!$C$6/60*AH13/Inputs!$C$3,0),IF(Investment!$L$2="Custom",MAX(Labor!$F$56/60*AH13/Inputs!$C$3,Labor!$F$57/Inputs!$C$3),0))*Inputs!$G$9+AH13*Inputs!$C$15*'Pecan budget'!$D$26+AH13/Inputs!$C$3*(1-Inputs!$C$17)*Inputs!$C$19*Inputs!$C$16*'Pecan budget'!$D$27+SUM('Pecan budget'!$F$25,'Pecan budget'!$F$24)*IF(Investment!$D$49=Investment!$L$5,Investment!$D$50,Investment!$E$50)*IF('Long-term Model Summary'!AH13&gt;1,1,0))*Inputs!$K$8/2)*Inputs!$C$3)</f>
        <v>14898.207585657114</v>
      </c>
      <c r="AI23" s="180">
        <f>((SUM(Labor!$F$48/60,IF(Investment!$L$2="In-house",Labor!$C$6/60*AI13/Inputs!$C$3,0),IF(Investment!$L$2="Custom",MAX(Labor!$F$56/60*AI13/Inputs!$C$3,Labor!$F$57/Inputs!$C$3),0))*Inputs!$G$9+AI13*Inputs!$C$15*'Pecan budget'!$D$26+AI13/Inputs!$C$3*(1-Inputs!$C$17)*Inputs!$C$19*Inputs!$C$16*'Pecan budget'!$D$27+SUM('Pecan budget'!$F$35:$F$36,'Pecan budget'!$F$25,'Pecan budget'!$F$24)*IF(Investment!$D$49=Investment!$L$5,Investment!$D$50,Investment!$E$50)*IF('Long-term Model Summary'!AI13&gt;1,1,0)+(SUM(Labor!$F$48/60,IF(Investment!$L$2="In-house",Labor!$C$6/60*AI13/Inputs!$C$3,0),IF(Investment!$L$2="Custom",MAX(Labor!$F$56/60*AI13/Inputs!$C$3,Labor!$F$57/Inputs!$C$3),0))*Inputs!$G$9+AI13*Inputs!$C$15*'Pecan budget'!$D$26+AI13/Inputs!$C$3*(1-Inputs!$C$17)*Inputs!$C$19*Inputs!$C$16*'Pecan budget'!$D$27+SUM('Pecan budget'!$F$25,'Pecan budget'!$F$24)*IF(Investment!$D$49=Investment!$L$5,Investment!$D$50,Investment!$E$50)*IF('Long-term Model Summary'!AI13&gt;1,1,0))*Inputs!$K$8/2)*Inputs!$C$3)</f>
        <v>15074.249157888709</v>
      </c>
      <c r="AJ23" s="180">
        <f>((SUM(Labor!$F$48/60,IF(Investment!$L$2="In-house",Labor!$C$6/60*AJ13/Inputs!$C$3,0),IF(Investment!$L$2="Custom",MAX(Labor!$F$56/60*AJ13/Inputs!$C$3,Labor!$F$57/Inputs!$C$3),0))*Inputs!$G$9+AJ13*Inputs!$C$15*'Pecan budget'!$D$26+AJ13/Inputs!$C$3*(1-Inputs!$C$17)*Inputs!$C$19*Inputs!$C$16*'Pecan budget'!$D$27+SUM('Pecan budget'!$F$35:$F$36,'Pecan budget'!$F$25,'Pecan budget'!$F$24)*IF(Investment!$D$49=Investment!$L$5,Investment!$D$50,Investment!$E$50)*IF('Long-term Model Summary'!AJ13&gt;1,1,0)+(SUM(Labor!$F$48/60,IF(Investment!$L$2="In-house",Labor!$C$6/60*AJ13/Inputs!$C$3,0),IF(Investment!$L$2="Custom",MAX(Labor!$F$56/60*AJ13/Inputs!$C$3,Labor!$F$57/Inputs!$C$3),0))*Inputs!$G$9+AJ13*Inputs!$C$15*'Pecan budget'!$D$26+AJ13/Inputs!$C$3*(1-Inputs!$C$17)*Inputs!$C$19*Inputs!$C$16*'Pecan budget'!$D$27+SUM('Pecan budget'!$F$25,'Pecan budget'!$F$24)*IF(Investment!$D$49=Investment!$L$5,Investment!$D$50,Investment!$E$50)*IF('Long-term Model Summary'!AJ13&gt;1,1,0))*Inputs!$K$8/2)*Inputs!$C$3)</f>
        <v>15257.332393009568</v>
      </c>
      <c r="AK23" s="180">
        <f>((SUM(Labor!$F$48/60,IF(Investment!$L$2="In-house",Labor!$C$6/60*AK13/Inputs!$C$3,0),IF(Investment!$L$2="Custom",MAX(Labor!$F$56/60*AK13/Inputs!$C$3,Labor!$F$57/Inputs!$C$3),0))*Inputs!$G$9+AK13*Inputs!$C$15*'Pecan budget'!$D$26+AK13/Inputs!$C$3*(1-Inputs!$C$17)*Inputs!$C$19*Inputs!$C$16*'Pecan budget'!$D$27+SUM('Pecan budget'!$F$35:$F$36,'Pecan budget'!$F$25,'Pecan budget'!$F$24)*IF(Investment!$D$49=Investment!$L$5,Investment!$D$50,Investment!$E$50)*IF('Long-term Model Summary'!AK13&gt;1,1,0)+(SUM(Labor!$F$48/60,IF(Investment!$L$2="In-house",Labor!$C$6/60*AK13/Inputs!$C$3,0),IF(Investment!$L$2="Custom",MAX(Labor!$F$56/60*AK13/Inputs!$C$3,Labor!$F$57/Inputs!$C$3),0))*Inputs!$G$9+AK13*Inputs!$C$15*'Pecan budget'!$D$26+AK13/Inputs!$C$3*(1-Inputs!$C$17)*Inputs!$C$19*Inputs!$C$16*'Pecan budget'!$D$27+SUM('Pecan budget'!$F$25,'Pecan budget'!$F$24)*IF(Investment!$D$49=Investment!$L$5,Investment!$D$50,Investment!$E$50)*IF('Long-term Model Summary'!AK13&gt;1,1,0))*Inputs!$K$8/2)*Inputs!$C$3)</f>
        <v>15447.738957535261</v>
      </c>
      <c r="AL23" s="180">
        <f>((SUM(Labor!$F$48/60,IF(Investment!$L$2="In-house",Labor!$C$6/60*AL13/Inputs!$C$3,0),IF(Investment!$L$2="Custom",MAX(Labor!$F$56/60*AL13/Inputs!$C$3,Labor!$F$57/Inputs!$C$3),0))*Inputs!$G$9+AL13*Inputs!$C$15*'Pecan budget'!$D$26+AL13/Inputs!$C$3*(1-Inputs!$C$17)*Inputs!$C$19*Inputs!$C$16*'Pecan budget'!$D$27+SUM('Pecan budget'!$F$35:$F$36,'Pecan budget'!$F$25,'Pecan budget'!$F$24)*IF(Investment!$D$49=Investment!$L$5,Investment!$D$50,Investment!$E$50)*IF('Long-term Model Summary'!AL13&gt;1,1,0)+(SUM(Labor!$F$48/60,IF(Investment!$L$2="In-house",Labor!$C$6/60*AL13/Inputs!$C$3,0),IF(Investment!$L$2="Custom",MAX(Labor!$F$56/60*AL13/Inputs!$C$3,Labor!$F$57/Inputs!$C$3),0))*Inputs!$G$9+AL13*Inputs!$C$15*'Pecan budget'!$D$26+AL13/Inputs!$C$3*(1-Inputs!$C$17)*Inputs!$C$19*Inputs!$C$16*'Pecan budget'!$D$27+SUM('Pecan budget'!$F$25,'Pecan budget'!$F$24)*IF(Investment!$D$49=Investment!$L$5,Investment!$D$50,Investment!$E$50)*IF('Long-term Model Summary'!AL13&gt;1,1,0))*Inputs!$K$8/2)*Inputs!$C$3)</f>
        <v>15645.76178464198</v>
      </c>
      <c r="AM23" s="180">
        <f>((SUM(Labor!$F$48/60,IF(Investment!$L$2="In-house",Labor!$C$6/60*AM13/Inputs!$C$3,0),IF(Investment!$L$2="Custom",MAX(Labor!$F$56/60*AM13/Inputs!$C$3,Labor!$F$57/Inputs!$C$3),0))*Inputs!$G$9+AM13*Inputs!$C$15*'Pecan budget'!$D$26+AM13/Inputs!$C$3*(1-Inputs!$C$17)*Inputs!$C$19*Inputs!$C$16*'Pecan budget'!$D$27+SUM('Pecan budget'!$F$35:$F$36,'Pecan budget'!$F$25,'Pecan budget'!$F$24)*IF(Investment!$D$49=Investment!$L$5,Investment!$D$50,Investment!$E$50)*IF('Long-term Model Summary'!AM13&gt;1,1,0)+(SUM(Labor!$F$48/60,IF(Investment!$L$2="In-house",Labor!$C$6/60*AM13/Inputs!$C$3,0),IF(Investment!$L$2="Custom",MAX(Labor!$F$56/60*AM13/Inputs!$C$3,Labor!$F$57/Inputs!$C$3),0))*Inputs!$G$9+AM13*Inputs!$C$15*'Pecan budget'!$D$26+AM13/Inputs!$C$3*(1-Inputs!$C$17)*Inputs!$C$19*Inputs!$C$16*'Pecan budget'!$D$27+SUM('Pecan budget'!$F$25,'Pecan budget'!$F$24)*IF(Investment!$D$49=Investment!$L$5,Investment!$D$50,Investment!$E$50)*IF('Long-term Model Summary'!AM13&gt;1,1,0))*Inputs!$K$8/2)*Inputs!$C$3)</f>
        <v>15851.705524832971</v>
      </c>
      <c r="AN23" s="180">
        <f>((SUM(Labor!$F$48/60,IF(Investment!$L$2="In-house",Labor!$C$6/60*AN13/Inputs!$C$3,0),IF(Investment!$L$2="Custom",MAX(Labor!$F$56/60*AN13/Inputs!$C$3,Labor!$F$57/Inputs!$C$3),0))*Inputs!$G$9+AN13*Inputs!$C$15*'Pecan budget'!$D$26+AN13/Inputs!$C$3*(1-Inputs!$C$17)*Inputs!$C$19*Inputs!$C$16*'Pecan budget'!$D$27+SUM('Pecan budget'!$F$35:$F$36,'Pecan budget'!$F$25,'Pecan budget'!$F$24)*IF(Investment!$D$49=Investment!$L$5,Investment!$D$50,Investment!$E$50)*IF('Long-term Model Summary'!AN13&gt;1,1,0)+(SUM(Labor!$F$48/60,IF(Investment!$L$2="In-house",Labor!$C$6/60*AN13/Inputs!$C$3,0),IF(Investment!$L$2="Custom",MAX(Labor!$F$56/60*AN13/Inputs!$C$3,Labor!$F$57/Inputs!$C$3),0))*Inputs!$G$9+AN13*Inputs!$C$15*'Pecan budget'!$D$26+AN13/Inputs!$C$3*(1-Inputs!$C$17)*Inputs!$C$19*Inputs!$C$16*'Pecan budget'!$D$27+SUM('Pecan budget'!$F$25,'Pecan budget'!$F$24)*IF(Investment!$D$49=Investment!$L$5,Investment!$D$50,Investment!$E$50)*IF('Long-term Model Summary'!AN13&gt;1,1,0))*Inputs!$K$8/2)*Inputs!$C$3)</f>
        <v>16065.887014631599</v>
      </c>
      <c r="AO23" s="180">
        <f>((SUM(Labor!$F$48/60,IF(Investment!$L$2="In-house",Labor!$C$6/60*AO13/Inputs!$C$3,0),IF(Investment!$L$2="Custom",MAX(Labor!$F$56/60*AO13/Inputs!$C$3,Labor!$F$57/Inputs!$C$3),0))*Inputs!$G$9+AO13*Inputs!$C$15*'Pecan budget'!$D$26+AO13/Inputs!$C$3*(1-Inputs!$C$17)*Inputs!$C$19*Inputs!$C$16*'Pecan budget'!$D$27+SUM('Pecan budget'!$F$35:$F$36,'Pecan budget'!$F$25,'Pecan budget'!$F$24)*IF(Investment!$D$49=Investment!$L$5,Investment!$D$50,Investment!$E$50)*IF('Long-term Model Summary'!AO13&gt;1,1,0)+(SUM(Labor!$F$48/60,IF(Investment!$L$2="In-house",Labor!$C$6/60*AO13/Inputs!$C$3,0),IF(Investment!$L$2="Custom",MAX(Labor!$F$56/60*AO13/Inputs!$C$3,Labor!$F$57/Inputs!$C$3),0))*Inputs!$G$9+AO13*Inputs!$C$15*'Pecan budget'!$D$26+AO13/Inputs!$C$3*(1-Inputs!$C$17)*Inputs!$C$19*Inputs!$C$16*'Pecan budget'!$D$27+SUM('Pecan budget'!$F$25,'Pecan budget'!$F$24)*IF(Investment!$D$49=Investment!$L$5,Investment!$D$50,Investment!$E$50)*IF('Long-term Model Summary'!AO13&gt;1,1,0))*Inputs!$K$8/2)*Inputs!$C$3)</f>
        <v>16288.635764022174</v>
      </c>
      <c r="AP23" s="180">
        <f>((SUM(Labor!$F$48/60,IF(Investment!$L$2="In-house",Labor!$C$6/60*AP13/Inputs!$C$3,0),IF(Investment!$L$2="Custom",MAX(Labor!$F$56/60*AP13/Inputs!$C$3,Labor!$F$57/Inputs!$C$3),0))*Inputs!$G$9+AP13*Inputs!$C$15*'Pecan budget'!$D$26+AP13/Inputs!$C$3*(1-Inputs!$C$17)*Inputs!$C$19*Inputs!$C$16*'Pecan budget'!$D$27+SUM('Pecan budget'!$F$35:$F$36,'Pecan budget'!$F$25,'Pecan budget'!$F$24)*IF(Investment!$D$49=Investment!$L$5,Investment!$D$50,Investment!$E$50)*IF('Long-term Model Summary'!AP13&gt;1,1,0)+(SUM(Labor!$F$48/60,IF(Investment!$L$2="In-house",Labor!$C$6/60*AP13/Inputs!$C$3,0),IF(Investment!$L$2="Custom",MAX(Labor!$F$56/60*AP13/Inputs!$C$3,Labor!$F$57/Inputs!$C$3),0))*Inputs!$G$9+AP13*Inputs!$C$15*'Pecan budget'!$D$26+AP13/Inputs!$C$3*(1-Inputs!$C$17)*Inputs!$C$19*Inputs!$C$16*'Pecan budget'!$D$27+SUM('Pecan budget'!$F$25,'Pecan budget'!$F$24)*IF(Investment!$D$49=Investment!$L$5,Investment!$D$50,Investment!$E$50)*IF('Long-term Model Summary'!AP13&gt;1,1,0))*Inputs!$K$8/2)*Inputs!$C$3)</f>
        <v>16346.550438863724</v>
      </c>
      <c r="AQ23" s="180">
        <f>((SUM(Labor!$F$48/60,IF(Investment!$L$2="In-house",Labor!$C$6/60*AQ13/Inputs!$C$3,0),IF(Investment!$L$2="Custom",MAX(Labor!$F$56/60*AQ13/Inputs!$C$3,Labor!$F$57/Inputs!$C$3),0))*Inputs!$G$9+AQ13*Inputs!$C$15*'Pecan budget'!$D$26+AQ13/Inputs!$C$3*(1-Inputs!$C$17)*Inputs!$C$19*Inputs!$C$16*'Pecan budget'!$D$27+SUM('Pecan budget'!$F$35:$F$36,'Pecan budget'!$F$25,'Pecan budget'!$F$24)*IF(Investment!$D$49=Investment!$L$5,Investment!$D$50,Investment!$E$50)*IF('Long-term Model Summary'!AQ13&gt;1,1,0)+(SUM(Labor!$F$48/60,IF(Investment!$L$2="In-house",Labor!$C$6/60*AQ13/Inputs!$C$3,0),IF(Investment!$L$2="Custom",MAX(Labor!$F$56/60*AQ13/Inputs!$C$3,Labor!$F$57/Inputs!$C$3),0))*Inputs!$G$9+AQ13*Inputs!$C$15*'Pecan budget'!$D$26+AQ13/Inputs!$C$3*(1-Inputs!$C$17)*Inputs!$C$19*Inputs!$C$16*'Pecan budget'!$D$27+SUM('Pecan budget'!$F$25,'Pecan budget'!$F$24)*IF(Investment!$D$49=Investment!$L$5,Investment!$D$50,Investment!$E$50)*IF('Long-term Model Summary'!AQ13&gt;1,1,0))*Inputs!$K$8/2)*Inputs!$C$3)</f>
        <v>16405.044260453691</v>
      </c>
      <c r="AR23" s="180">
        <f>((SUM(Labor!$F$48/60,IF(Investment!$L$2="In-house",Labor!$C$6/60*AR13/Inputs!$C$3,0),IF(Investment!$L$2="Custom",MAX(Labor!$F$56/60*AR13/Inputs!$C$3,Labor!$F$57/Inputs!$C$3),0))*Inputs!$G$9+AR13*Inputs!$C$15*'Pecan budget'!$D$26+AR13/Inputs!$C$3*(1-Inputs!$C$17)*Inputs!$C$19*Inputs!$C$16*'Pecan budget'!$D$27+SUM('Pecan budget'!$F$35:$F$36,'Pecan budget'!$F$25,'Pecan budget'!$F$24)*IF(Investment!$D$49=Investment!$L$5,Investment!$D$50,Investment!$E$50)*IF('Long-term Model Summary'!AR13&gt;1,1,0)+(SUM(Labor!$F$48/60,IF(Investment!$L$2="In-house",Labor!$C$6/60*AR13/Inputs!$C$3,0),IF(Investment!$L$2="Custom",MAX(Labor!$F$56/60*AR13/Inputs!$C$3,Labor!$F$57/Inputs!$C$3),0))*Inputs!$G$9+AR13*Inputs!$C$15*'Pecan budget'!$D$26+AR13/Inputs!$C$3*(1-Inputs!$C$17)*Inputs!$C$19*Inputs!$C$16*'Pecan budget'!$D$27+SUM('Pecan budget'!$F$25,'Pecan budget'!$F$24)*IF(Investment!$D$49=Investment!$L$5,Investment!$D$50,Investment!$E$50)*IF('Long-term Model Summary'!AR13&gt;1,1,0))*Inputs!$K$8/2)*Inputs!$C$3)</f>
        <v>16464.123020259551</v>
      </c>
      <c r="AS23" s="180">
        <f>((SUM(Labor!$F$48/60,IF(Investment!$L$2="In-house",Labor!$C$6/60*AS13/Inputs!$C$3,0),IF(Investment!$L$2="Custom",MAX(Labor!$F$56/60*AS13/Inputs!$C$3,Labor!$F$57/Inputs!$C$3),0))*Inputs!$G$9+AS13*Inputs!$C$15*'Pecan budget'!$D$26+AS13/Inputs!$C$3*(1-Inputs!$C$17)*Inputs!$C$19*Inputs!$C$16*'Pecan budget'!$D$27+SUM('Pecan budget'!$F$35:$F$36,'Pecan budget'!$F$25,'Pecan budget'!$F$24)*IF(Investment!$D$49=Investment!$L$5,Investment!$D$50,Investment!$E$50)*IF('Long-term Model Summary'!AS13&gt;1,1,0)+(SUM(Labor!$F$48/60,IF(Investment!$L$2="In-house",Labor!$C$6/60*AS13/Inputs!$C$3,0),IF(Investment!$L$2="Custom",MAX(Labor!$F$56/60*AS13/Inputs!$C$3,Labor!$F$57/Inputs!$C$3),0))*Inputs!$G$9+AS13*Inputs!$C$15*'Pecan budget'!$D$26+AS13/Inputs!$C$3*(1-Inputs!$C$17)*Inputs!$C$19*Inputs!$C$16*'Pecan budget'!$D$27+SUM('Pecan budget'!$F$25,'Pecan budget'!$F$24)*IF(Investment!$D$49=Investment!$L$5,Investment!$D$50,Investment!$E$50)*IF('Long-term Model Summary'!AS13&gt;1,1,0))*Inputs!$K$8/2)*Inputs!$C$3)</f>
        <v>16523.792567663473</v>
      </c>
      <c r="AT23" s="180">
        <f>((SUM(Labor!$F$48/60,IF(Investment!$L$2="In-house",Labor!$C$6/60*AT13/Inputs!$C$3,0),IF(Investment!$L$2="Custom",MAX(Labor!$F$56/60*AT13/Inputs!$C$3,Labor!$F$57/Inputs!$C$3),0))*Inputs!$G$9+AT13*Inputs!$C$15*'Pecan budget'!$D$26+AT13/Inputs!$C$3*(1-Inputs!$C$17)*Inputs!$C$19*Inputs!$C$16*'Pecan budget'!$D$27+SUM('Pecan budget'!$F$35:$F$36,'Pecan budget'!$F$25,'Pecan budget'!$F$24)*IF(Investment!$D$49=Investment!$L$5,Investment!$D$50,Investment!$E$50)*IF('Long-term Model Summary'!AT13&gt;1,1,0)+(SUM(Labor!$F$48/60,IF(Investment!$L$2="In-house",Labor!$C$6/60*AT13/Inputs!$C$3,0),IF(Investment!$L$2="Custom",MAX(Labor!$F$56/60*AT13/Inputs!$C$3,Labor!$F$57/Inputs!$C$3),0))*Inputs!$G$9+AT13*Inputs!$C$15*'Pecan budget'!$D$26+AT13/Inputs!$C$3*(1-Inputs!$C$17)*Inputs!$C$19*Inputs!$C$16*'Pecan budget'!$D$27+SUM('Pecan budget'!$F$25,'Pecan budget'!$F$24)*IF(Investment!$D$49=Investment!$L$5,Investment!$D$50,Investment!$E$50)*IF('Long-term Model Summary'!AT13&gt;1,1,0))*Inputs!$K$8/2)*Inputs!$C$3)</f>
        <v>16584.058810541435</v>
      </c>
      <c r="AU23" s="180">
        <f>((SUM(Labor!$F$48/60,IF(Investment!$L$2="In-house",Labor!$C$6/60*AU13/Inputs!$C$3,0),IF(Investment!$L$2="Custom",MAX(Labor!$F$56/60*AU13/Inputs!$C$3,Labor!$F$57/Inputs!$C$3),0))*Inputs!$G$9+AU13*Inputs!$C$15*'Pecan budget'!$D$26+AU13/Inputs!$C$3*(1-Inputs!$C$17)*Inputs!$C$19*Inputs!$C$16*'Pecan budget'!$D$27+SUM('Pecan budget'!$F$35:$F$36,'Pecan budget'!$F$25,'Pecan budget'!$F$24)*IF(Investment!$D$49=Investment!$L$5,Investment!$D$50,Investment!$E$50)*IF('Long-term Model Summary'!AU13&gt;1,1,0)+(SUM(Labor!$F$48/60,IF(Investment!$L$2="In-house",Labor!$C$6/60*AU13/Inputs!$C$3,0),IF(Investment!$L$2="Custom",MAX(Labor!$F$56/60*AU13/Inputs!$C$3,Labor!$F$57/Inputs!$C$3),0))*Inputs!$G$9+AU13*Inputs!$C$15*'Pecan budget'!$D$26+AU13/Inputs!$C$3*(1-Inputs!$C$17)*Inputs!$C$19*Inputs!$C$16*'Pecan budget'!$D$27+SUM('Pecan budget'!$F$25,'Pecan budget'!$F$24)*IF(Investment!$D$49=Investment!$L$5,Investment!$D$50,Investment!$E$50)*IF('Long-term Model Summary'!AU13&gt;1,1,0))*Inputs!$K$8/2)*Inputs!$C$3)</f>
        <v>16644.927715848178</v>
      </c>
      <c r="AV23" s="180">
        <f>((SUM(Labor!$F$48/60,IF(Investment!$L$2="In-house",Labor!$C$6/60*AV13/Inputs!$C$3,0),IF(Investment!$L$2="Custom",MAX(Labor!$F$56/60*AV13/Inputs!$C$3,Labor!$F$57/Inputs!$C$3),0))*Inputs!$G$9+AV13*Inputs!$C$15*'Pecan budget'!$D$26+AV13/Inputs!$C$3*(1-Inputs!$C$17)*Inputs!$C$19*Inputs!$C$16*'Pecan budget'!$D$27+SUM('Pecan budget'!$F$35:$F$36,'Pecan budget'!$F$25,'Pecan budget'!$F$24)*IF(Investment!$D$49=Investment!$L$5,Investment!$D$50,Investment!$E$50)*IF('Long-term Model Summary'!AV13&gt;1,1,0)+(SUM(Labor!$F$48/60,IF(Investment!$L$2="In-house",Labor!$C$6/60*AV13/Inputs!$C$3,0),IF(Investment!$L$2="Custom",MAX(Labor!$F$56/60*AV13/Inputs!$C$3,Labor!$F$57/Inputs!$C$3),0))*Inputs!$G$9+AV13*Inputs!$C$15*'Pecan budget'!$D$26+AV13/Inputs!$C$3*(1-Inputs!$C$17)*Inputs!$C$19*Inputs!$C$16*'Pecan budget'!$D$27+SUM('Pecan budget'!$F$25,'Pecan budget'!$F$24)*IF(Investment!$D$49=Investment!$L$5,Investment!$D$50,Investment!$E$50)*IF('Long-term Model Summary'!AV13&gt;1,1,0))*Inputs!$K$8/2)*Inputs!$C$3)</f>
        <v>16706.405310207989</v>
      </c>
      <c r="AW23" s="180">
        <f>((SUM(Labor!$F$48/60,IF(Investment!$L$2="In-house",Labor!$C$6/60*AW13/Inputs!$C$3,0),IF(Investment!$L$2="Custom",MAX(Labor!$F$56/60*AW13/Inputs!$C$3,Labor!$F$57/Inputs!$C$3),0))*Inputs!$G$9+AW13*Inputs!$C$15*'Pecan budget'!$D$26+AW13/Inputs!$C$3*(1-Inputs!$C$17)*Inputs!$C$19*Inputs!$C$16*'Pecan budget'!$D$27+SUM('Pecan budget'!$F$35:$F$36,'Pecan budget'!$F$25,'Pecan budget'!$F$24)*IF(Investment!$D$49=Investment!$L$5,Investment!$D$50,Investment!$E$50)*IF('Long-term Model Summary'!AW13&gt;1,1,0)+(SUM(Labor!$F$48/60,IF(Investment!$L$2="In-house",Labor!$C$6/60*AW13/Inputs!$C$3,0),IF(Investment!$L$2="Custom",MAX(Labor!$F$56/60*AW13/Inputs!$C$3,Labor!$F$57/Inputs!$C$3),0))*Inputs!$G$9+AW13*Inputs!$C$15*'Pecan budget'!$D$26+AW13/Inputs!$C$3*(1-Inputs!$C$17)*Inputs!$C$19*Inputs!$C$16*'Pecan budget'!$D$27+SUM('Pecan budget'!$F$25,'Pecan budget'!$F$24)*IF(Investment!$D$49=Investment!$L$5,Investment!$D$50,Investment!$E$50)*IF('Long-term Model Summary'!AW13&gt;1,1,0))*Inputs!$K$8/2)*Inputs!$C$3)</f>
        <v>16768.497680511395</v>
      </c>
      <c r="AX23" s="180">
        <f>((SUM(Labor!$F$48/60,IF(Investment!$L$2="In-house",Labor!$C$6/60*AX13/Inputs!$C$3,0),IF(Investment!$L$2="Custom",MAX(Labor!$F$56/60*AX13/Inputs!$C$3,Labor!$F$57/Inputs!$C$3),0))*Inputs!$G$9+AX13*Inputs!$C$15*'Pecan budget'!$D$26+AX13/Inputs!$C$3*(1-Inputs!$C$17)*Inputs!$C$19*Inputs!$C$16*'Pecan budget'!$D$27+SUM('Pecan budget'!$F$35:$F$36,'Pecan budget'!$F$25,'Pecan budget'!$F$24)*IF(Investment!$D$49=Investment!$L$5,Investment!$D$50,Investment!$E$50)*IF('Long-term Model Summary'!AX13&gt;1,1,0)+(SUM(Labor!$F$48/60,IF(Investment!$L$2="In-house",Labor!$C$6/60*AX13/Inputs!$C$3,0),IF(Investment!$L$2="Custom",MAX(Labor!$F$56/60*AX13/Inputs!$C$3,Labor!$F$57/Inputs!$C$3),0))*Inputs!$G$9+AX13*Inputs!$C$15*'Pecan budget'!$D$26+AX13/Inputs!$C$3*(1-Inputs!$C$17)*Inputs!$C$19*Inputs!$C$16*'Pecan budget'!$D$27+SUM('Pecan budget'!$F$25,'Pecan budget'!$F$24)*IF(Investment!$D$49=Investment!$L$5,Investment!$D$50,Investment!$E$50)*IF('Long-term Model Summary'!AX13&gt;1,1,0))*Inputs!$K$8/2)*Inputs!$C$3)</f>
        <v>16831.210974517839</v>
      </c>
      <c r="AY23" s="180">
        <f>((SUM(Labor!$F$48/60,IF(Investment!$L$2="In-house",Labor!$C$6/60*AY13/Inputs!$C$3,0),IF(Investment!$L$2="Custom",MAX(Labor!$F$56/60*AY13/Inputs!$C$3,Labor!$F$57/Inputs!$C$3),0))*Inputs!$G$9+AY13*Inputs!$C$15*'Pecan budget'!$D$26+AY13/Inputs!$C$3*(1-Inputs!$C$17)*Inputs!$C$19*Inputs!$C$16*'Pecan budget'!$D$27+SUM('Pecan budget'!$F$35:$F$36,'Pecan budget'!$F$25,'Pecan budget'!$F$24)*IF(Investment!$D$49=Investment!$L$5,Investment!$D$50,Investment!$E$50)*IF('Long-term Model Summary'!AY13&gt;1,1,0)+(SUM(Labor!$F$48/60,IF(Investment!$L$2="In-house",Labor!$C$6/60*AY13/Inputs!$C$3,0),IF(Investment!$L$2="Custom",MAX(Labor!$F$56/60*AY13/Inputs!$C$3,Labor!$F$57/Inputs!$C$3),0))*Inputs!$G$9+AY13*Inputs!$C$15*'Pecan budget'!$D$26+AY13/Inputs!$C$3*(1-Inputs!$C$17)*Inputs!$C$19*Inputs!$C$16*'Pecan budget'!$D$27+SUM('Pecan budget'!$F$25,'Pecan budget'!$F$24)*IF(Investment!$D$49=Investment!$L$5,Investment!$D$50,Investment!$E$50)*IF('Long-term Model Summary'!AY13&gt;1,1,0))*Inputs!$K$8/2)*Inputs!$C$3)</f>
        <v>16894.551401464341</v>
      </c>
      <c r="AZ23" s="180">
        <f>((SUM(Labor!$F$48/60,IF(Investment!$L$2="In-house",Labor!$C$6/60*AZ13/Inputs!$C$3,0),IF(Investment!$L$2="Custom",MAX(Labor!$F$56/60*AZ13/Inputs!$C$3,Labor!$F$57/Inputs!$C$3),0))*Inputs!$G$9+AZ13*Inputs!$C$15*'Pecan budget'!$D$26+AZ13/Inputs!$C$3*(1-Inputs!$C$17)*Inputs!$C$19*Inputs!$C$16*'Pecan budget'!$D$27+SUM('Pecan budget'!$F$35:$F$36,'Pecan budget'!$F$25,'Pecan budget'!$F$24)*IF(Investment!$D$49=Investment!$L$5,Investment!$D$50,Investment!$E$50)*IF('Long-term Model Summary'!AZ13&gt;1,1,0)+(SUM(Labor!$F$48/60,IF(Investment!$L$2="In-house",Labor!$C$6/60*AZ13/Inputs!$C$3,0),IF(Investment!$L$2="Custom",MAX(Labor!$F$56/60*AZ13/Inputs!$C$3,Labor!$F$57/Inputs!$C$3),0))*Inputs!$G$9+AZ13*Inputs!$C$15*'Pecan budget'!$D$26+AZ13/Inputs!$C$3*(1-Inputs!$C$17)*Inputs!$C$19*Inputs!$C$16*'Pecan budget'!$D$27+SUM('Pecan budget'!$F$25,'Pecan budget'!$F$24)*IF(Investment!$D$49=Investment!$L$5,Investment!$D$50,Investment!$E$50)*IF('Long-term Model Summary'!AZ13&gt;1,1,0))*Inputs!$K$8/2)*Inputs!$C$3)</f>
        <v>16302.793462716611</v>
      </c>
      <c r="BA23" s="180">
        <f>((SUM(Labor!$F$48/60,IF(Investment!$L$2="In-house",Labor!$C$6/60*BA13/Inputs!$C$3,0),IF(Investment!$L$2="Custom",MAX(Labor!$F$56/60*BA13/Inputs!$C$3,Labor!$F$57/Inputs!$C$3),0))*Inputs!$G$9+BA13*Inputs!$C$15*'Pecan budget'!$D$26+BA13/Inputs!$C$3*(1-Inputs!$C$17)*Inputs!$C$19*Inputs!$C$16*'Pecan budget'!$D$27+SUM('Pecan budget'!$F$35:$F$36,'Pecan budget'!$F$25,'Pecan budget'!$F$24)*IF(Investment!$D$49=Investment!$L$5,Investment!$D$50,Investment!$E$50)*IF('Long-term Model Summary'!BA13&gt;1,1,0)+(SUM(Labor!$F$48/60,IF(Investment!$L$2="In-house",Labor!$C$6/60*BA13/Inputs!$C$3,0),IF(Investment!$L$2="Custom",MAX(Labor!$F$56/60*BA13/Inputs!$C$3,Labor!$F$57/Inputs!$C$3),0))*Inputs!$G$9+BA13*Inputs!$C$15*'Pecan budget'!$D$26+BA13/Inputs!$C$3*(1-Inputs!$C$17)*Inputs!$C$19*Inputs!$C$16*'Pecan budget'!$D$27+SUM('Pecan budget'!$F$25,'Pecan budget'!$F$24)*IF(Investment!$D$49=Investment!$L$5,Investment!$D$50,Investment!$E$50)*IF('Long-term Model Summary'!BA13&gt;1,1,0))*Inputs!$K$8/2)*Inputs!$C$3)</f>
        <v>16360.849714545109</v>
      </c>
      <c r="BB23" s="180">
        <f>((SUM(Labor!$F$48/60,IF(Investment!$L$2="In-house",Labor!$C$6/60*BB13/Inputs!$C$3,0),IF(Investment!$L$2="Custom",MAX(Labor!$F$56/60*BB13/Inputs!$C$3,Labor!$F$57/Inputs!$C$3),0))*Inputs!$G$9+BB13*Inputs!$C$15*'Pecan budget'!$D$26+BB13/Inputs!$C$3*(1-Inputs!$C$17)*Inputs!$C$19*Inputs!$C$16*'Pecan budget'!$D$27+SUM('Pecan budget'!$F$35:$F$36,'Pecan budget'!$F$25,'Pecan budget'!$F$24)*IF(Investment!$D$49=Investment!$L$5,Investment!$D$50,Investment!$E$50)*IF('Long-term Model Summary'!BB13&gt;1,1,0)+(SUM(Labor!$F$48/60,IF(Investment!$L$2="In-house",Labor!$C$6/60*BB13/Inputs!$C$3,0),IF(Investment!$L$2="Custom",MAX(Labor!$F$56/60*BB13/Inputs!$C$3,Labor!$F$57/Inputs!$C$3),0))*Inputs!$G$9+BB13*Inputs!$C$15*'Pecan budget'!$D$26+BB13/Inputs!$C$3*(1-Inputs!$C$17)*Inputs!$C$19*Inputs!$C$16*'Pecan budget'!$D$27+SUM('Pecan budget'!$F$25,'Pecan budget'!$F$24)*IF(Investment!$D$49=Investment!$L$5,Investment!$D$50,Investment!$E$50)*IF('Long-term Model Summary'!BB13&gt;1,1,0))*Inputs!$K$8/2)*Inputs!$C$3)</f>
        <v>16419.486528891885</v>
      </c>
      <c r="BC23" s="180">
        <f>((SUM(Labor!$F$48/60,IF(Investment!$L$2="In-house",Labor!$C$6/60*BC13/Inputs!$C$3,0),IF(Investment!$L$2="Custom",MAX(Labor!$F$56/60*BC13/Inputs!$C$3,Labor!$F$57/Inputs!$C$3),0))*Inputs!$G$9+BC13*Inputs!$C$15*'Pecan budget'!$D$26+BC13/Inputs!$C$3*(1-Inputs!$C$17)*Inputs!$C$19*Inputs!$C$16*'Pecan budget'!$D$27+SUM('Pecan budget'!$F$35:$F$36,'Pecan budget'!$F$25,'Pecan budget'!$F$24)*IF(Investment!$D$49=Investment!$L$5,Investment!$D$50,Investment!$E$50)*IF('Long-term Model Summary'!BC13&gt;1,1,0)+(SUM(Labor!$F$48/60,IF(Investment!$L$2="In-house",Labor!$C$6/60*BC13/Inputs!$C$3,0),IF(Investment!$L$2="Custom",MAX(Labor!$F$56/60*BC13/Inputs!$C$3,Labor!$F$57/Inputs!$C$3),0))*Inputs!$G$9+BC13*Inputs!$C$15*'Pecan budget'!$D$26+BC13/Inputs!$C$3*(1-Inputs!$C$17)*Inputs!$C$19*Inputs!$C$16*'Pecan budget'!$D$27+SUM('Pecan budget'!$F$25,'Pecan budget'!$F$24)*IF(Investment!$D$49=Investment!$L$5,Investment!$D$50,Investment!$E$50)*IF('Long-term Model Summary'!BC13&gt;1,1,0))*Inputs!$K$8/2)*Inputs!$C$3)</f>
        <v>16478.709711382133</v>
      </c>
      <c r="BD23" s="180">
        <f>((SUM(Labor!$F$48/60,IF(Investment!$L$2="In-house",Labor!$C$6/60*BD13/Inputs!$C$3,0),IF(Investment!$L$2="Custom",MAX(Labor!$F$56/60*BD13/Inputs!$C$3,Labor!$F$57/Inputs!$C$3),0))*Inputs!$G$9+BD13*Inputs!$C$15*'Pecan budget'!$D$26+BD13/Inputs!$C$3*(1-Inputs!$C$17)*Inputs!$C$19*Inputs!$C$16*'Pecan budget'!$D$27+SUM('Pecan budget'!$F$35:$F$36,'Pecan budget'!$F$25,'Pecan budget'!$F$24)*IF(Investment!$D$49=Investment!$L$5,Investment!$D$50,Investment!$E$50)*IF('Long-term Model Summary'!BD13&gt;1,1,0)+(SUM(Labor!$F$48/60,IF(Investment!$L$2="In-house",Labor!$C$6/60*BD13/Inputs!$C$3,0),IF(Investment!$L$2="Custom",MAX(Labor!$F$56/60*BD13/Inputs!$C$3,Labor!$F$57/Inputs!$C$3),0))*Inputs!$G$9+BD13*Inputs!$C$15*'Pecan budget'!$D$26+BD13/Inputs!$C$3*(1-Inputs!$C$17)*Inputs!$C$19*Inputs!$C$16*'Pecan budget'!$D$27+SUM('Pecan budget'!$F$25,'Pecan budget'!$F$24)*IF(Investment!$D$49=Investment!$L$5,Investment!$D$50,Investment!$E$50)*IF('Long-term Model Summary'!BD13&gt;1,1,0))*Inputs!$K$8/2)*Inputs!$C$3)</f>
        <v>16538.525125697277</v>
      </c>
      <c r="BE23" s="180">
        <f>((SUM(Labor!$F$48/60,IF(Investment!$L$2="In-house",Labor!$C$6/60*BE13/Inputs!$C$3,0),IF(Investment!$L$2="Custom",MAX(Labor!$F$56/60*BE13/Inputs!$C$3,Labor!$F$57/Inputs!$C$3),0))*Inputs!$G$9+BE13*Inputs!$C$15*'Pecan budget'!$D$26+BE13/Inputs!$C$3*(1-Inputs!$C$17)*Inputs!$C$19*Inputs!$C$16*'Pecan budget'!$D$27+SUM('Pecan budget'!$F$35:$F$36,'Pecan budget'!$F$25,'Pecan budget'!$F$24)*IF(Investment!$D$49=Investment!$L$5,Investment!$D$50,Investment!$E$50)*IF('Long-term Model Summary'!BE13&gt;1,1,0)+(SUM(Labor!$F$48/60,IF(Investment!$L$2="In-house",Labor!$C$6/60*BE13/Inputs!$C$3,0),IF(Investment!$L$2="Custom",MAX(Labor!$F$56/60*BE13/Inputs!$C$3,Labor!$F$57/Inputs!$C$3),0))*Inputs!$G$9+BE13*Inputs!$C$15*'Pecan budget'!$D$26+BE13/Inputs!$C$3*(1-Inputs!$C$17)*Inputs!$C$19*Inputs!$C$16*'Pecan budget'!$D$27+SUM('Pecan budget'!$F$25,'Pecan budget'!$F$24)*IF(Investment!$D$49=Investment!$L$5,Investment!$D$50,Investment!$E$50)*IF('Long-term Model Summary'!BE13&gt;1,1,0))*Inputs!$K$8/2)*Inputs!$C$3)</f>
        <v>16598.938694155579</v>
      </c>
      <c r="BF23" s="180">
        <f>((SUM(Labor!$F$48/60,IF(Investment!$L$2="In-house",Labor!$C$6/60*BF13/Inputs!$C$3,0),IF(Investment!$L$2="Custom",MAX(Labor!$F$56/60*BF13/Inputs!$C$3,Labor!$F$57/Inputs!$C$3),0))*Inputs!$G$9+BF13*Inputs!$C$15*'Pecan budget'!$D$26+BF13/Inputs!$C$3*(1-Inputs!$C$17)*Inputs!$C$19*Inputs!$C$16*'Pecan budget'!$D$27+SUM('Pecan budget'!$F$35:$F$36,'Pecan budget'!$F$25,'Pecan budget'!$F$24)*IF(Investment!$D$49=Investment!$L$5,Investment!$D$50,Investment!$E$50)*IF('Long-term Model Summary'!BF13&gt;1,1,0)+(SUM(Labor!$F$48/60,IF(Investment!$L$2="In-house",Labor!$C$6/60*BF13/Inputs!$C$3,0),IF(Investment!$L$2="Custom",MAX(Labor!$F$56/60*BF13/Inputs!$C$3,Labor!$F$57/Inputs!$C$3),0))*Inputs!$G$9+BF13*Inputs!$C$15*'Pecan budget'!$D$26+BF13/Inputs!$C$3*(1-Inputs!$C$17)*Inputs!$C$19*Inputs!$C$16*'Pecan budget'!$D$27+SUM('Pecan budget'!$F$25,'Pecan budget'!$F$24)*IF(Investment!$D$49=Investment!$L$5,Investment!$D$50,Investment!$E$50)*IF('Long-term Model Summary'!BF13&gt;1,1,0))*Inputs!$K$8/2)*Inputs!$C$3)</f>
        <v>16659.956398298462</v>
      </c>
      <c r="BG23" s="180">
        <f>((SUM(Labor!$F$48/60,IF(Investment!$L$2="In-house",Labor!$C$6/60*BG13/Inputs!$C$3,0),IF(Investment!$L$2="Custom",MAX(Labor!$F$56/60*BG13/Inputs!$C$3,Labor!$F$57/Inputs!$C$3),0))*Inputs!$G$9+BG13*Inputs!$C$15*'Pecan budget'!$D$26+BG13/Inputs!$C$3*(1-Inputs!$C$17)*Inputs!$C$19*Inputs!$C$16*'Pecan budget'!$D$27+SUM('Pecan budget'!$F$35:$F$36,'Pecan budget'!$F$25,'Pecan budget'!$F$24)*IF(Investment!$D$49=Investment!$L$5,Investment!$D$50,Investment!$E$50)*IF('Long-term Model Summary'!BG13&gt;1,1,0)+(SUM(Labor!$F$48/60,IF(Investment!$L$2="In-house",Labor!$C$6/60*BG13/Inputs!$C$3,0),IF(Investment!$L$2="Custom",MAX(Labor!$F$56/60*BG13/Inputs!$C$3,Labor!$F$57/Inputs!$C$3),0))*Inputs!$G$9+BG13*Inputs!$C$15*'Pecan budget'!$D$26+BG13/Inputs!$C$3*(1-Inputs!$C$17)*Inputs!$C$19*Inputs!$C$16*'Pecan budget'!$D$27+SUM('Pecan budget'!$F$25,'Pecan budget'!$F$24)*IF(Investment!$D$49=Investment!$L$5,Investment!$D$50,Investment!$E$50)*IF('Long-term Model Summary'!BG13&gt;1,1,0))*Inputs!$K$8/2)*Inputs!$C$3)</f>
        <v>16721.584279482773</v>
      </c>
      <c r="BH23" s="180">
        <f>((SUM(Labor!$F$48/60,IF(Investment!$L$2="In-house",Labor!$C$6/60*BH13/Inputs!$C$3,0),IF(Investment!$L$2="Custom",MAX(Labor!$F$56/60*BH13/Inputs!$C$3,Labor!$F$57/Inputs!$C$3),0))*Inputs!$G$9+BH13*Inputs!$C$15*'Pecan budget'!$D$26+BH13/Inputs!$C$3*(1-Inputs!$C$17)*Inputs!$C$19*Inputs!$C$16*'Pecan budget'!$D$27+SUM('Pecan budget'!$F$35:$F$36,'Pecan budget'!$F$25,'Pecan budget'!$F$24)*IF(Investment!$D$49=Investment!$L$5,Investment!$D$50,Investment!$E$50)*IF('Long-term Model Summary'!BH13&gt;1,1,0)+(SUM(Labor!$F$48/60,IF(Investment!$L$2="In-house",Labor!$C$6/60*BH13/Inputs!$C$3,0),IF(Investment!$L$2="Custom",MAX(Labor!$F$56/60*BH13/Inputs!$C$3,Labor!$F$57/Inputs!$C$3),0))*Inputs!$G$9+BH13*Inputs!$C$15*'Pecan budget'!$D$26+BH13/Inputs!$C$3*(1-Inputs!$C$17)*Inputs!$C$19*Inputs!$C$16*'Pecan budget'!$D$27+SUM('Pecan budget'!$F$25,'Pecan budget'!$F$24)*IF(Investment!$D$49=Investment!$L$5,Investment!$D$50,Investment!$E$50)*IF('Long-term Model Summary'!BH13&gt;1,1,0))*Inputs!$K$8/2)*Inputs!$C$3)</f>
        <v>16783.828439478933</v>
      </c>
      <c r="BI23" s="180">
        <f>((SUM(Labor!$F$48/60,IF(Investment!$L$2="In-house",Labor!$C$6/60*BI13/Inputs!$C$3,0),IF(Investment!$L$2="Custom",MAX(Labor!$F$56/60*BI13/Inputs!$C$3,Labor!$F$57/Inputs!$C$3),0))*Inputs!$G$9+BI13*Inputs!$C$15*'Pecan budget'!$D$26+BI13/Inputs!$C$3*(1-Inputs!$C$17)*Inputs!$C$19*Inputs!$C$16*'Pecan budget'!$D$27+SUM('Pecan budget'!$F$35:$F$36,'Pecan budget'!$F$25,'Pecan budget'!$F$24)*IF(Investment!$D$49=Investment!$L$5,Investment!$D$50,Investment!$E$50)*IF('Long-term Model Summary'!BI13&gt;1,1,0)+(SUM(Labor!$F$48/60,IF(Investment!$L$2="In-house",Labor!$C$6/60*BI13/Inputs!$C$3,0),IF(Investment!$L$2="Custom",MAX(Labor!$F$56/60*BI13/Inputs!$C$3,Labor!$F$57/Inputs!$C$3),0))*Inputs!$G$9+BI13*Inputs!$C$15*'Pecan budget'!$D$26+BI13/Inputs!$C$3*(1-Inputs!$C$17)*Inputs!$C$19*Inputs!$C$16*'Pecan budget'!$D$27+SUM('Pecan budget'!$F$25,'Pecan budget'!$F$24)*IF(Investment!$D$49=Investment!$L$5,Investment!$D$50,Investment!$E$50)*IF('Long-term Model Summary'!BI13&gt;1,1,0))*Inputs!$K$8/2)*Inputs!$C$3)</f>
        <v>16846.695041075047</v>
      </c>
      <c r="BJ23" s="180">
        <f>((SUM(Labor!$F$48/60,IF(Investment!$L$2="In-house",Labor!$C$6/60*BJ13/Inputs!$C$3,0),IF(Investment!$L$2="Custom",MAX(Labor!$F$56/60*BJ13/Inputs!$C$3,Labor!$F$57/Inputs!$C$3),0))*Inputs!$G$9+BJ13*Inputs!$C$15*'Pecan budget'!$D$26+BJ13/Inputs!$C$3*(1-Inputs!$C$17)*Inputs!$C$19*Inputs!$C$16*'Pecan budget'!$D$27+SUM('Pecan budget'!$F$35:$F$36,'Pecan budget'!$F$25,'Pecan budget'!$F$24)*IF(Investment!$D$49=Investment!$L$5,Investment!$D$50,Investment!$E$50)*IF('Long-term Model Summary'!BJ13&gt;1,1,0)+(SUM(Labor!$F$48/60,IF(Investment!$L$2="In-house",Labor!$C$6/60*BJ13/Inputs!$C$3,0),IF(Investment!$L$2="Custom",MAX(Labor!$F$56/60*BJ13/Inputs!$C$3,Labor!$F$57/Inputs!$C$3),0))*Inputs!$G$9+BJ13*Inputs!$C$15*'Pecan budget'!$D$26+BJ13/Inputs!$C$3*(1-Inputs!$C$17)*Inputs!$C$19*Inputs!$C$16*'Pecan budget'!$D$27+SUM('Pecan budget'!$F$25,'Pecan budget'!$F$24)*IF(Investment!$D$49=Investment!$L$5,Investment!$D$50,Investment!$E$50)*IF('Long-term Model Summary'!BJ13&gt;1,1,0))*Inputs!$K$8/2)*Inputs!$C$3)</f>
        <v>16910.190308687124</v>
      </c>
      <c r="BK23" s="180">
        <f>((SUM(Labor!$F$48/60,IF(Investment!$L$2="In-house",Labor!$C$6/60*BK13/Inputs!$C$3,0),IF(Investment!$L$2="Custom",MAX(Labor!$F$56/60*BK13/Inputs!$C$3,Labor!$F$57/Inputs!$C$3),0))*Inputs!$G$9+BK13*Inputs!$C$15*'Pecan budget'!$D$26+BK13/Inputs!$C$3*(1-Inputs!$C$17)*Inputs!$C$19*Inputs!$C$16*'Pecan budget'!$D$27+SUM('Pecan budget'!$F$35:$F$36,'Pecan budget'!$F$25,'Pecan budget'!$F$24)*IF(Investment!$D$49=Investment!$L$5,Investment!$D$50,Investment!$E$50)*IF('Long-term Model Summary'!BK13&gt;1,1,0)+(SUM(Labor!$F$48/60,IF(Investment!$L$2="In-house",Labor!$C$6/60*BK13/Inputs!$C$3,0),IF(Investment!$L$2="Custom",MAX(Labor!$F$56/60*BK13/Inputs!$C$3,Labor!$F$57/Inputs!$C$3),0))*Inputs!$G$9+BK13*Inputs!$C$15*'Pecan budget'!$D$26+BK13/Inputs!$C$3*(1-Inputs!$C$17)*Inputs!$C$19*Inputs!$C$16*'Pecan budget'!$D$27+SUM('Pecan budget'!$F$25,'Pecan budget'!$F$24)*IF(Investment!$D$49=Investment!$L$5,Investment!$D$50,Investment!$E$50)*IF('Long-term Model Summary'!BK13&gt;1,1,0))*Inputs!$K$8/2)*Inputs!$C$3)</f>
        <v>16974.320528975324</v>
      </c>
      <c r="BL23" s="180">
        <f>((SUM(Labor!$F$48/60,IF(Investment!$L$2="In-house",Labor!$C$6/60*BL13/Inputs!$C$3,0),IF(Investment!$L$2="Custom",MAX(Labor!$F$56/60*BL13/Inputs!$C$3,Labor!$F$57/Inputs!$C$3),0))*Inputs!$G$9+BL13*Inputs!$C$15*'Pecan budget'!$D$26+BL13/Inputs!$C$3*(1-Inputs!$C$17)*Inputs!$C$19*Inputs!$C$16*'Pecan budget'!$D$27+SUM('Pecan budget'!$F$35:$F$36,'Pecan budget'!$F$25,'Pecan budget'!$F$24)*IF(Investment!$D$49=Investment!$L$5,Investment!$D$50,Investment!$E$50)*IF('Long-term Model Summary'!BL13&gt;1,1,0)+(SUM(Labor!$F$48/60,IF(Investment!$L$2="In-house",Labor!$C$6/60*BL13/Inputs!$C$3,0),IF(Investment!$L$2="Custom",MAX(Labor!$F$56/60*BL13/Inputs!$C$3,Labor!$F$57/Inputs!$C$3),0))*Inputs!$G$9+BL13*Inputs!$C$15*'Pecan budget'!$D$26+BL13/Inputs!$C$3*(1-Inputs!$C$17)*Inputs!$C$19*Inputs!$C$16*'Pecan budget'!$D$27+SUM('Pecan budget'!$F$25,'Pecan budget'!$F$24)*IF(Investment!$D$49=Investment!$L$5,Investment!$D$50,Investment!$E$50)*IF('Long-term Model Summary'!BL13&gt;1,1,0))*Inputs!$K$8/2)*Inputs!$C$3)</f>
        <v>17039.092051466407</v>
      </c>
      <c r="BM23" s="180">
        <f>((SUM(Labor!$F$48/60,IF(Investment!$L$2="In-house",Labor!$C$6/60*BM13/Inputs!$C$3,0),IF(Investment!$L$2="Custom",MAX(Labor!$F$56/60*BM13/Inputs!$C$3,Labor!$F$57/Inputs!$C$3),0))*Inputs!$G$9+BM13*Inputs!$C$15*'Pecan budget'!$D$26+BM13/Inputs!$C$3*(1-Inputs!$C$17)*Inputs!$C$19*Inputs!$C$16*'Pecan budget'!$D$27+SUM('Pecan budget'!$F$35:$F$36,'Pecan budget'!$F$25,'Pecan budget'!$F$24)*IF(Investment!$D$49=Investment!$L$5,Investment!$D$50,Investment!$E$50)*IF('Long-term Model Summary'!BM13&gt;1,1,0)+(SUM(Labor!$F$48/60,IF(Investment!$L$2="In-house",Labor!$C$6/60*BM13/Inputs!$C$3,0),IF(Investment!$L$2="Custom",MAX(Labor!$F$56/60*BM13/Inputs!$C$3,Labor!$F$57/Inputs!$C$3),0))*Inputs!$G$9+BM13*Inputs!$C$15*'Pecan budget'!$D$26+BM13/Inputs!$C$3*(1-Inputs!$C$17)*Inputs!$C$19*Inputs!$C$16*'Pecan budget'!$D$27+SUM('Pecan budget'!$F$25,'Pecan budget'!$F$24)*IF(Investment!$D$49=Investment!$L$5,Investment!$D$50,Investment!$E$50)*IF('Long-term Model Summary'!BM13&gt;1,1,0))*Inputs!$K$8/2)*Inputs!$C$3)</f>
        <v>17104.511289182399</v>
      </c>
      <c r="BN23" s="180">
        <f>((SUM(Labor!$F$48/60,IF(Investment!$L$2="In-house",Labor!$C$6/60*BN13/Inputs!$C$3,0),IF(Investment!$L$2="Custom",MAX(Labor!$F$56/60*BN13/Inputs!$C$3,Labor!$F$57/Inputs!$C$3),0))*Inputs!$G$9+BN13*Inputs!$C$15*'Pecan budget'!$D$26+BN13/Inputs!$C$3*(1-Inputs!$C$17)*Inputs!$C$19*Inputs!$C$16*'Pecan budget'!$D$27+SUM('Pecan budget'!$F$35:$F$36,'Pecan budget'!$F$25,'Pecan budget'!$F$24)*IF(Investment!$D$49=Investment!$L$5,Investment!$D$50,Investment!$E$50)*IF('Long-term Model Summary'!BN13&gt;1,1,0)+(SUM(Labor!$F$48/60,IF(Investment!$L$2="In-house",Labor!$C$6/60*BN13/Inputs!$C$3,0),IF(Investment!$L$2="Custom",MAX(Labor!$F$56/60*BN13/Inputs!$C$3,Labor!$F$57/Inputs!$C$3),0))*Inputs!$G$9+BN13*Inputs!$C$15*'Pecan budget'!$D$26+BN13/Inputs!$C$3*(1-Inputs!$C$17)*Inputs!$C$19*Inputs!$C$16*'Pecan budget'!$D$27+SUM('Pecan budget'!$F$25,'Pecan budget'!$F$24)*IF(Investment!$D$49=Investment!$L$5,Investment!$D$50,Investment!$E$50)*IF('Long-term Model Summary'!BN13&gt;1,1,0))*Inputs!$K$8/2)*Inputs!$C$3)</f>
        <v>17170.584719275546</v>
      </c>
      <c r="BO23" s="180">
        <f>((SUM(Labor!$F$48/60,IF(Investment!$L$2="In-house",Labor!$C$6/60*BO13/Inputs!$C$3,0),IF(Investment!$L$2="Custom",MAX(Labor!$F$56/60*BO13/Inputs!$C$3,Labor!$F$57/Inputs!$C$3),0))*Inputs!$G$9+BO13*Inputs!$C$15*'Pecan budget'!$D$26+BO13/Inputs!$C$3*(1-Inputs!$C$17)*Inputs!$C$19*Inputs!$C$16*'Pecan budget'!$D$27+SUM('Pecan budget'!$F$35:$F$36,'Pecan budget'!$F$25,'Pecan budget'!$F$24)*IF(Investment!$D$49=Investment!$L$5,Investment!$D$50,Investment!$E$50)*IF('Long-term Model Summary'!BO13&gt;1,1,0)+(SUM(Labor!$F$48/60,IF(Investment!$L$2="In-house",Labor!$C$6/60*BO13/Inputs!$C$3,0),IF(Investment!$L$2="Custom",MAX(Labor!$F$56/60*BO13/Inputs!$C$3,Labor!$F$57/Inputs!$C$3),0))*Inputs!$G$9+BO13*Inputs!$C$15*'Pecan budget'!$D$26+BO13/Inputs!$C$3*(1-Inputs!$C$17)*Inputs!$C$19*Inputs!$C$16*'Pecan budget'!$D$27+SUM('Pecan budget'!$F$25,'Pecan budget'!$F$24)*IF(Investment!$D$49=Investment!$L$5,Investment!$D$50,Investment!$E$50)*IF('Long-term Model Summary'!BO13&gt;1,1,0))*Inputs!$K$8/2)*Inputs!$C$3)</f>
        <v>17237.318883669632</v>
      </c>
      <c r="BP23" s="180">
        <f>((SUM(Labor!$F$48/60,IF(Investment!$L$2="In-house",Labor!$C$6/60*BP13/Inputs!$C$3,0),IF(Investment!$L$2="Custom",MAX(Labor!$F$56/60*BP13/Inputs!$C$3,Labor!$F$57/Inputs!$C$3),0))*Inputs!$G$9+BP13*Inputs!$C$15*'Pecan budget'!$D$26+BP13/Inputs!$C$3*(1-Inputs!$C$17)*Inputs!$C$19*Inputs!$C$16*'Pecan budget'!$D$27+SUM('Pecan budget'!$F$35:$F$36,'Pecan budget'!$F$25,'Pecan budget'!$F$24)*IF(Investment!$D$49=Investment!$L$5,Investment!$D$50,Investment!$E$50)*IF('Long-term Model Summary'!BP13&gt;1,1,0)+(SUM(Labor!$F$48/60,IF(Investment!$L$2="In-house",Labor!$C$6/60*BP13/Inputs!$C$3,0),IF(Investment!$L$2="Custom",MAX(Labor!$F$56/60*BP13/Inputs!$C$3,Labor!$F$57/Inputs!$C$3),0))*Inputs!$G$9+BP13*Inputs!$C$15*'Pecan budget'!$D$26+BP13/Inputs!$C$3*(1-Inputs!$C$17)*Inputs!$C$19*Inputs!$C$16*'Pecan budget'!$D$27+SUM('Pecan budget'!$F$25,'Pecan budget'!$F$24)*IF(Investment!$D$49=Investment!$L$5,Investment!$D$50,Investment!$E$50)*IF('Long-term Model Summary'!BP13&gt;1,1,0))*Inputs!$K$8/2)*Inputs!$C$3)</f>
        <v>17304.720389707658</v>
      </c>
      <c r="BQ23" s="180">
        <f>((SUM(Labor!$F$48/60,IF(Investment!$L$2="In-house",Labor!$C$6/60*BQ13/Inputs!$C$3,0),IF(Investment!$L$2="Custom",MAX(Labor!$F$56/60*BQ13/Inputs!$C$3,Labor!$F$57/Inputs!$C$3),0))*Inputs!$G$9+BQ13*Inputs!$C$15*'Pecan budget'!$D$26+BQ13/Inputs!$C$3*(1-Inputs!$C$17)*Inputs!$C$19*Inputs!$C$16*'Pecan budget'!$D$27+SUM('Pecan budget'!$F$35:$F$36,'Pecan budget'!$F$25,'Pecan budget'!$F$24)*IF(Investment!$D$49=Investment!$L$5,Investment!$D$50,Investment!$E$50)*IF('Long-term Model Summary'!BQ13&gt;1,1,0)+(SUM(Labor!$F$48/60,IF(Investment!$L$2="In-house",Labor!$C$6/60*BQ13/Inputs!$C$3,0),IF(Investment!$L$2="Custom",MAX(Labor!$F$56/60*BQ13/Inputs!$C$3,Labor!$F$57/Inputs!$C$3),0))*Inputs!$G$9+BQ13*Inputs!$C$15*'Pecan budget'!$D$26+BQ13/Inputs!$C$3*(1-Inputs!$C$17)*Inputs!$C$19*Inputs!$C$16*'Pecan budget'!$D$27+SUM('Pecan budget'!$F$25,'Pecan budget'!$F$24)*IF(Investment!$D$49=Investment!$L$5,Investment!$D$50,Investment!$E$50)*IF('Long-term Model Summary'!BQ13&gt;1,1,0))*Inputs!$K$8/2)*Inputs!$C$3)</f>
        <v>17372.79591080606</v>
      </c>
      <c r="BR23" s="180">
        <f>((SUM(Labor!$F$48/60,IF(Investment!$L$2="In-house",Labor!$C$6/60*BR13/Inputs!$C$3,0),IF(Investment!$L$2="Custom",MAX(Labor!$F$56/60*BR13/Inputs!$C$3,Labor!$F$57/Inputs!$C$3),0))*Inputs!$G$9+BR13*Inputs!$C$15*'Pecan budget'!$D$26+BR13/Inputs!$C$3*(1-Inputs!$C$17)*Inputs!$C$19*Inputs!$C$16*'Pecan budget'!$D$27+SUM('Pecan budget'!$F$35:$F$36,'Pecan budget'!$F$25,'Pecan budget'!$F$24)*IF(Investment!$D$49=Investment!$L$5,Investment!$D$50,Investment!$E$50)*IF('Long-term Model Summary'!BR13&gt;1,1,0)+(SUM(Labor!$F$48/60,IF(Investment!$L$2="In-house",Labor!$C$6/60*BR13/Inputs!$C$3,0),IF(Investment!$L$2="Custom",MAX(Labor!$F$56/60*BR13/Inputs!$C$3,Labor!$F$57/Inputs!$C$3),0))*Inputs!$G$9+BR13*Inputs!$C$15*'Pecan budget'!$D$26+BR13/Inputs!$C$3*(1-Inputs!$C$17)*Inputs!$C$19*Inputs!$C$16*'Pecan budget'!$D$27+SUM('Pecan budget'!$F$25,'Pecan budget'!$F$24)*IF(Investment!$D$49=Investment!$L$5,Investment!$D$50,Investment!$E$50)*IF('Long-term Model Summary'!BR13&gt;1,1,0))*Inputs!$K$8/2)*Inputs!$C$3)</f>
        <v>17441.552187115449</v>
      </c>
      <c r="BS23" s="180">
        <f>((SUM(Labor!$F$48/60,IF(Investment!$L$2="In-house",Labor!$C$6/60*BS13/Inputs!$C$3,0),IF(Investment!$L$2="Custom",MAX(Labor!$F$56/60*BS13/Inputs!$C$3,Labor!$F$57/Inputs!$C$3),0))*Inputs!$G$9+BS13*Inputs!$C$15*'Pecan budget'!$D$26+BS13/Inputs!$C$3*(1-Inputs!$C$17)*Inputs!$C$19*Inputs!$C$16*'Pecan budget'!$D$27+SUM('Pecan budget'!$F$35:$F$36,'Pecan budget'!$F$25,'Pecan budget'!$F$24)*IF(Investment!$D$49=Investment!$L$5,Investment!$D$50,Investment!$E$50)*IF('Long-term Model Summary'!BS13&gt;1,1,0)+(SUM(Labor!$F$48/60,IF(Investment!$L$2="In-house",Labor!$C$6/60*BS13/Inputs!$C$3,0),IF(Investment!$L$2="Custom",MAX(Labor!$F$56/60*BS13/Inputs!$C$3,Labor!$F$57/Inputs!$C$3),0))*Inputs!$G$9+BS13*Inputs!$C$15*'Pecan budget'!$D$26+BS13/Inputs!$C$3*(1-Inputs!$C$17)*Inputs!$C$19*Inputs!$C$16*'Pecan budget'!$D$27+SUM('Pecan budget'!$F$25,'Pecan budget'!$F$24)*IF(Investment!$D$49=Investment!$L$5,Investment!$D$50,Investment!$E$50)*IF('Long-term Model Summary'!BS13&gt;1,1,0))*Inputs!$K$8/2)*Inputs!$C$3)</f>
        <v>17510.996026187928</v>
      </c>
      <c r="BT23" s="180">
        <f>((SUM(Labor!$F$48/60,IF(Investment!$L$2="In-house",Labor!$C$6/60*BT13/Inputs!$C$3,0),IF(Investment!$L$2="Custom",MAX(Labor!$F$56/60*BT13/Inputs!$C$3,Labor!$F$57/Inputs!$C$3),0))*Inputs!$G$9+BT13*Inputs!$C$15*'Pecan budget'!$D$26+BT13/Inputs!$C$3*(1-Inputs!$C$17)*Inputs!$C$19*Inputs!$C$16*'Pecan budget'!$D$27+SUM('Pecan budget'!$F$35:$F$36,'Pecan budget'!$F$25,'Pecan budget'!$F$24)*IF(Investment!$D$49=Investment!$L$5,Investment!$D$50,Investment!$E$50)*IF('Long-term Model Summary'!BT13&gt;1,1,0)+(SUM(Labor!$F$48/60,IF(Investment!$L$2="In-house",Labor!$C$6/60*BT13/Inputs!$C$3,0),IF(Investment!$L$2="Custom",MAX(Labor!$F$56/60*BT13/Inputs!$C$3,Labor!$F$57/Inputs!$C$3),0))*Inputs!$G$9+BT13*Inputs!$C$15*'Pecan budget'!$D$26+BT13/Inputs!$C$3*(1-Inputs!$C$17)*Inputs!$C$19*Inputs!$C$16*'Pecan budget'!$D$27+SUM('Pecan budget'!$F$25,'Pecan budget'!$F$24)*IF(Investment!$D$49=Investment!$L$5,Investment!$D$50,Investment!$E$50)*IF('Long-term Model Summary'!BT13&gt;1,1,0))*Inputs!$K$8/2)*Inputs!$C$3)</f>
        <v>17510.996026187928</v>
      </c>
      <c r="BU23" s="180">
        <f>((SUM(Labor!$F$48/60,IF(Investment!$L$2="In-house",Labor!$C$6/60*BU13/Inputs!$C$3,0),IF(Investment!$L$2="Custom",MAX(Labor!$F$56/60*BU13/Inputs!$C$3,Labor!$F$57/Inputs!$C$3),0))*Inputs!$G$9+BU13*Inputs!$C$15*'Pecan budget'!$D$26+BU13/Inputs!$C$3*(1-Inputs!$C$17)*Inputs!$C$19*Inputs!$C$16*'Pecan budget'!$D$27+SUM('Pecan budget'!$F$35:$F$36,'Pecan budget'!$F$25,'Pecan budget'!$F$24)*IF(Investment!$D$49=Investment!$L$5,Investment!$D$50,Investment!$E$50)*IF('Long-term Model Summary'!BU13&gt;1,1,0)+(SUM(Labor!$F$48/60,IF(Investment!$L$2="In-house",Labor!$C$6/60*BU13/Inputs!$C$3,0),IF(Investment!$L$2="Custom",MAX(Labor!$F$56/60*BU13/Inputs!$C$3,Labor!$F$57/Inputs!$C$3),0))*Inputs!$G$9+BU13*Inputs!$C$15*'Pecan budget'!$D$26+BU13/Inputs!$C$3*(1-Inputs!$C$17)*Inputs!$C$19*Inputs!$C$16*'Pecan budget'!$D$27+SUM('Pecan budget'!$F$25,'Pecan budget'!$F$24)*IF(Investment!$D$49=Investment!$L$5,Investment!$D$50,Investment!$E$50)*IF('Long-term Model Summary'!BU13&gt;1,1,0))*Inputs!$K$8/2)*Inputs!$C$3)</f>
        <v>17510.996026187928</v>
      </c>
      <c r="BV23" s="180">
        <f>((SUM(Labor!$F$48/60,IF(Investment!$L$2="In-house",Labor!$C$6/60*BV13/Inputs!$C$3,0),IF(Investment!$L$2="Custom",MAX(Labor!$F$56/60*BV13/Inputs!$C$3,Labor!$F$57/Inputs!$C$3),0))*Inputs!$G$9+BV13*Inputs!$C$15*'Pecan budget'!$D$26+BV13/Inputs!$C$3*(1-Inputs!$C$17)*Inputs!$C$19*Inputs!$C$16*'Pecan budget'!$D$27+SUM('Pecan budget'!$F$35:$F$36,'Pecan budget'!$F$25,'Pecan budget'!$F$24)*IF(Investment!$D$49=Investment!$L$5,Investment!$D$50,Investment!$E$50)*IF('Long-term Model Summary'!BV13&gt;1,1,0)+(SUM(Labor!$F$48/60,IF(Investment!$L$2="In-house",Labor!$C$6/60*BV13/Inputs!$C$3,0),IF(Investment!$L$2="Custom",MAX(Labor!$F$56/60*BV13/Inputs!$C$3,Labor!$F$57/Inputs!$C$3),0))*Inputs!$G$9+BV13*Inputs!$C$15*'Pecan budget'!$D$26+BV13/Inputs!$C$3*(1-Inputs!$C$17)*Inputs!$C$19*Inputs!$C$16*'Pecan budget'!$D$27+SUM('Pecan budget'!$F$25,'Pecan budget'!$F$24)*IF(Investment!$D$49=Investment!$L$5,Investment!$D$50,Investment!$E$50)*IF('Long-term Model Summary'!BV13&gt;1,1,0))*Inputs!$K$8/2)*Inputs!$C$3)</f>
        <v>17510.996026187928</v>
      </c>
      <c r="BW23" s="180">
        <f>((SUM(Labor!$F$48/60,IF(Investment!$L$2="In-house",Labor!$C$6/60*BW13/Inputs!$C$3,0),IF(Investment!$L$2="Custom",MAX(Labor!$F$56/60*BW13/Inputs!$C$3,Labor!$F$57/Inputs!$C$3),0))*Inputs!$G$9+BW13*Inputs!$C$15*'Pecan budget'!$D$26+BW13/Inputs!$C$3*(1-Inputs!$C$17)*Inputs!$C$19*Inputs!$C$16*'Pecan budget'!$D$27+SUM('Pecan budget'!$F$35:$F$36,'Pecan budget'!$F$25,'Pecan budget'!$F$24)*IF(Investment!$D$49=Investment!$L$5,Investment!$D$50,Investment!$E$50)*IF('Long-term Model Summary'!BW13&gt;1,1,0)+(SUM(Labor!$F$48/60,IF(Investment!$L$2="In-house",Labor!$C$6/60*BW13/Inputs!$C$3,0),IF(Investment!$L$2="Custom",MAX(Labor!$F$56/60*BW13/Inputs!$C$3,Labor!$F$57/Inputs!$C$3),0))*Inputs!$G$9+BW13*Inputs!$C$15*'Pecan budget'!$D$26+BW13/Inputs!$C$3*(1-Inputs!$C$17)*Inputs!$C$19*Inputs!$C$16*'Pecan budget'!$D$27+SUM('Pecan budget'!$F$25,'Pecan budget'!$F$24)*IF(Investment!$D$49=Investment!$L$5,Investment!$D$50,Investment!$E$50)*IF('Long-term Model Summary'!BW13&gt;1,1,0))*Inputs!$K$8/2)*Inputs!$C$3)</f>
        <v>17510.996026187928</v>
      </c>
      <c r="BX23" s="180">
        <f>((SUM(Labor!$F$48/60,IF(Investment!$L$2="In-house",Labor!$C$6/60*BX13/Inputs!$C$3,0),IF(Investment!$L$2="Custom",MAX(Labor!$F$56/60*BX13/Inputs!$C$3,Labor!$F$57/Inputs!$C$3),0))*Inputs!$G$9+BX13*Inputs!$C$15*'Pecan budget'!$D$26+BX13/Inputs!$C$3*(1-Inputs!$C$17)*Inputs!$C$19*Inputs!$C$16*'Pecan budget'!$D$27+SUM('Pecan budget'!$F$35:$F$36,'Pecan budget'!$F$25,'Pecan budget'!$F$24)*IF(Investment!$D$49=Investment!$L$5,Investment!$D$50,Investment!$E$50)*IF('Long-term Model Summary'!BX13&gt;1,1,0)+(SUM(Labor!$F$48/60,IF(Investment!$L$2="In-house",Labor!$C$6/60*BX13/Inputs!$C$3,0),IF(Investment!$L$2="Custom",MAX(Labor!$F$56/60*BX13/Inputs!$C$3,Labor!$F$57/Inputs!$C$3),0))*Inputs!$G$9+BX13*Inputs!$C$15*'Pecan budget'!$D$26+BX13/Inputs!$C$3*(1-Inputs!$C$17)*Inputs!$C$19*Inputs!$C$16*'Pecan budget'!$D$27+SUM('Pecan budget'!$F$25,'Pecan budget'!$F$24)*IF(Investment!$D$49=Investment!$L$5,Investment!$D$50,Investment!$E$50)*IF('Long-term Model Summary'!BX13&gt;1,1,0))*Inputs!$K$8/2)*Inputs!$C$3)</f>
        <v>17510.996026187928</v>
      </c>
      <c r="BY23" s="180">
        <f>((SUM(Labor!$F$48/60,IF(Investment!$L$2="In-house",Labor!$C$6/60*BY13/Inputs!$C$3,0),IF(Investment!$L$2="Custom",MAX(Labor!$F$56/60*BY13/Inputs!$C$3,Labor!$F$57/Inputs!$C$3),0))*Inputs!$G$9+BY13*Inputs!$C$15*'Pecan budget'!$D$26+BY13/Inputs!$C$3*(1-Inputs!$C$17)*Inputs!$C$19*Inputs!$C$16*'Pecan budget'!$D$27+SUM('Pecan budget'!$F$35:$F$36,'Pecan budget'!$F$25,'Pecan budget'!$F$24)*IF(Investment!$D$49=Investment!$L$5,Investment!$D$50,Investment!$E$50)*IF('Long-term Model Summary'!BY13&gt;1,1,0)+(SUM(Labor!$F$48/60,IF(Investment!$L$2="In-house",Labor!$C$6/60*BY13/Inputs!$C$3,0),IF(Investment!$L$2="Custom",MAX(Labor!$F$56/60*BY13/Inputs!$C$3,Labor!$F$57/Inputs!$C$3),0))*Inputs!$G$9+BY13*Inputs!$C$15*'Pecan budget'!$D$26+BY13/Inputs!$C$3*(1-Inputs!$C$17)*Inputs!$C$19*Inputs!$C$16*'Pecan budget'!$D$27+SUM('Pecan budget'!$F$25,'Pecan budget'!$F$24)*IF(Investment!$D$49=Investment!$L$5,Investment!$D$50,Investment!$E$50)*IF('Long-term Model Summary'!BY13&gt;1,1,0))*Inputs!$K$8/2)*Inputs!$C$3)</f>
        <v>17510.996026187928</v>
      </c>
      <c r="BZ23" s="180">
        <f>((SUM(Labor!$F$48/60,IF(Investment!$L$2="In-house",Labor!$C$6/60*BZ13/Inputs!$C$3,0),IF(Investment!$L$2="Custom",MAX(Labor!$F$56/60*BZ13/Inputs!$C$3,Labor!$F$57/Inputs!$C$3),0))*Inputs!$G$9+BZ13*Inputs!$C$15*'Pecan budget'!$D$26+BZ13/Inputs!$C$3*(1-Inputs!$C$17)*Inputs!$C$19*Inputs!$C$16*'Pecan budget'!$D$27+SUM('Pecan budget'!$F$35:$F$36,'Pecan budget'!$F$25,'Pecan budget'!$F$24)*IF(Investment!$D$49=Investment!$L$5,Investment!$D$50,Investment!$E$50)*IF('Long-term Model Summary'!BZ13&gt;1,1,0)+(SUM(Labor!$F$48/60,IF(Investment!$L$2="In-house",Labor!$C$6/60*BZ13/Inputs!$C$3,0),IF(Investment!$L$2="Custom",MAX(Labor!$F$56/60*BZ13/Inputs!$C$3,Labor!$F$57/Inputs!$C$3),0))*Inputs!$G$9+BZ13*Inputs!$C$15*'Pecan budget'!$D$26+BZ13/Inputs!$C$3*(1-Inputs!$C$17)*Inputs!$C$19*Inputs!$C$16*'Pecan budget'!$D$27+SUM('Pecan budget'!$F$25,'Pecan budget'!$F$24)*IF(Investment!$D$49=Investment!$L$5,Investment!$D$50,Investment!$E$50)*IF('Long-term Model Summary'!BZ13&gt;1,1,0))*Inputs!$K$8/2)*Inputs!$C$3)</f>
        <v>17510.996026187928</v>
      </c>
      <c r="CA23" s="180">
        <f>((SUM(Labor!$F$48/60,IF(Investment!$L$2="In-house",Labor!$C$6/60*CA13/Inputs!$C$3,0),IF(Investment!$L$2="Custom",MAX(Labor!$F$56/60*CA13/Inputs!$C$3,Labor!$F$57/Inputs!$C$3),0))*Inputs!$G$9+CA13*Inputs!$C$15*'Pecan budget'!$D$26+CA13/Inputs!$C$3*(1-Inputs!$C$17)*Inputs!$C$19*Inputs!$C$16*'Pecan budget'!$D$27+SUM('Pecan budget'!$F$35:$F$36,'Pecan budget'!$F$25,'Pecan budget'!$F$24)*IF(Investment!$D$49=Investment!$L$5,Investment!$D$50,Investment!$E$50)*IF('Long-term Model Summary'!CA13&gt;1,1,0)+(SUM(Labor!$F$48/60,IF(Investment!$L$2="In-house",Labor!$C$6/60*CA13/Inputs!$C$3,0),IF(Investment!$L$2="Custom",MAX(Labor!$F$56/60*CA13/Inputs!$C$3,Labor!$F$57/Inputs!$C$3),0))*Inputs!$G$9+CA13*Inputs!$C$15*'Pecan budget'!$D$26+CA13/Inputs!$C$3*(1-Inputs!$C$17)*Inputs!$C$19*Inputs!$C$16*'Pecan budget'!$D$27+SUM('Pecan budget'!$F$25,'Pecan budget'!$F$24)*IF(Investment!$D$49=Investment!$L$5,Investment!$D$50,Investment!$E$50)*IF('Long-term Model Summary'!CA13&gt;1,1,0))*Inputs!$K$8/2)*Inputs!$C$3)</f>
        <v>17510.996026187928</v>
      </c>
      <c r="CB23" s="180">
        <f>((SUM(Labor!$F$48/60,IF(Investment!$L$2="In-house",Labor!$C$6/60*CB13/Inputs!$C$3,0),IF(Investment!$L$2="Custom",MAX(Labor!$F$56/60*CB13/Inputs!$C$3,Labor!$F$57/Inputs!$C$3),0))*Inputs!$G$9+CB13*Inputs!$C$15*'Pecan budget'!$D$26+CB13/Inputs!$C$3*(1-Inputs!$C$17)*Inputs!$C$19*Inputs!$C$16*'Pecan budget'!$D$27+SUM('Pecan budget'!$F$35:$F$36,'Pecan budget'!$F$25,'Pecan budget'!$F$24)*IF(Investment!$D$49=Investment!$L$5,Investment!$D$50,Investment!$E$50)*IF('Long-term Model Summary'!CB13&gt;1,1,0)+(SUM(Labor!$F$48/60,IF(Investment!$L$2="In-house",Labor!$C$6/60*CB13/Inputs!$C$3,0),IF(Investment!$L$2="Custom",MAX(Labor!$F$56/60*CB13/Inputs!$C$3,Labor!$F$57/Inputs!$C$3),0))*Inputs!$G$9+CB13*Inputs!$C$15*'Pecan budget'!$D$26+CB13/Inputs!$C$3*(1-Inputs!$C$17)*Inputs!$C$19*Inputs!$C$16*'Pecan budget'!$D$27+SUM('Pecan budget'!$F$25,'Pecan budget'!$F$24)*IF(Investment!$D$49=Investment!$L$5,Investment!$D$50,Investment!$E$50)*IF('Long-term Model Summary'!CB13&gt;1,1,0))*Inputs!$K$8/2)*Inputs!$C$3)</f>
        <v>17510.996026187928</v>
      </c>
      <c r="CC23" s="180">
        <f>((SUM(Labor!$F$48/60,IF(Investment!$L$2="In-house",Labor!$C$6/60*CC13/Inputs!$C$3,0),IF(Investment!$L$2="Custom",MAX(Labor!$F$56/60*CC13/Inputs!$C$3,Labor!$F$57/Inputs!$C$3),0))*Inputs!$G$9+CC13*Inputs!$C$15*'Pecan budget'!$D$26+CC13/Inputs!$C$3*(1-Inputs!$C$17)*Inputs!$C$19*Inputs!$C$16*'Pecan budget'!$D$27+SUM('Pecan budget'!$F$35:$F$36,'Pecan budget'!$F$25,'Pecan budget'!$F$24)*IF(Investment!$D$49=Investment!$L$5,Investment!$D$50,Investment!$E$50)*IF('Long-term Model Summary'!CC13&gt;1,1,0)+(SUM(Labor!$F$48/60,IF(Investment!$L$2="In-house",Labor!$C$6/60*CC13/Inputs!$C$3,0),IF(Investment!$L$2="Custom",MAX(Labor!$F$56/60*CC13/Inputs!$C$3,Labor!$F$57/Inputs!$C$3),0))*Inputs!$G$9+CC13*Inputs!$C$15*'Pecan budget'!$D$26+CC13/Inputs!$C$3*(1-Inputs!$C$17)*Inputs!$C$19*Inputs!$C$16*'Pecan budget'!$D$27+SUM('Pecan budget'!$F$25,'Pecan budget'!$F$24)*IF(Investment!$D$49=Investment!$L$5,Investment!$D$50,Investment!$E$50)*IF('Long-term Model Summary'!CC13&gt;1,1,0))*Inputs!$K$8/2)*Inputs!$C$3)</f>
        <v>17510.996026187928</v>
      </c>
      <c r="CD23" s="180">
        <f>((SUM(Labor!$F$48/60,IF(Investment!$L$2="In-house",Labor!$C$6/60*CD13/Inputs!$C$3,0),IF(Investment!$L$2="Custom",MAX(Labor!$F$56/60*CD13/Inputs!$C$3,Labor!$F$57/Inputs!$C$3),0))*Inputs!$G$9+CD13*Inputs!$C$15*'Pecan budget'!$D$26+CD13/Inputs!$C$3*(1-Inputs!$C$17)*Inputs!$C$19*Inputs!$C$16*'Pecan budget'!$D$27+SUM('Pecan budget'!$F$35:$F$36,'Pecan budget'!$F$25,'Pecan budget'!$F$24)*IF(Investment!$D$49=Investment!$L$5,Investment!$D$50,Investment!$E$50)*IF('Long-term Model Summary'!CD13&gt;1,1,0)+(SUM(Labor!$F$48/60,IF(Investment!$L$2="In-house",Labor!$C$6/60*CD13/Inputs!$C$3,0),IF(Investment!$L$2="Custom",MAX(Labor!$F$56/60*CD13/Inputs!$C$3,Labor!$F$57/Inputs!$C$3),0))*Inputs!$G$9+CD13*Inputs!$C$15*'Pecan budget'!$D$26+CD13/Inputs!$C$3*(1-Inputs!$C$17)*Inputs!$C$19*Inputs!$C$16*'Pecan budget'!$D$27+SUM('Pecan budget'!$F$25,'Pecan budget'!$F$24)*IF(Investment!$D$49=Investment!$L$5,Investment!$D$50,Investment!$E$50)*IF('Long-term Model Summary'!CD13&gt;1,1,0))*Inputs!$K$8/2)*Inputs!$C$3)</f>
        <v>17510.996026187928</v>
      </c>
      <c r="CE23" s="180">
        <f>((SUM(Labor!$F$48/60,IF(Investment!$L$2="In-house",Labor!$C$6/60*CE13/Inputs!$C$3,0),IF(Investment!$L$2="Custom",MAX(Labor!$F$56/60*CE13/Inputs!$C$3,Labor!$F$57/Inputs!$C$3),0))*Inputs!$G$9+CE13*Inputs!$C$15*'Pecan budget'!$D$26+CE13/Inputs!$C$3*(1-Inputs!$C$17)*Inputs!$C$19*Inputs!$C$16*'Pecan budget'!$D$27+SUM('Pecan budget'!$F$35:$F$36,'Pecan budget'!$F$25,'Pecan budget'!$F$24)*IF(Investment!$D$49=Investment!$L$5,Investment!$D$50,Investment!$E$50)*IF('Long-term Model Summary'!CE13&gt;1,1,0)+(SUM(Labor!$F$48/60,IF(Investment!$L$2="In-house",Labor!$C$6/60*CE13/Inputs!$C$3,0),IF(Investment!$L$2="Custom",MAX(Labor!$F$56/60*CE13/Inputs!$C$3,Labor!$F$57/Inputs!$C$3),0))*Inputs!$G$9+CE13*Inputs!$C$15*'Pecan budget'!$D$26+CE13/Inputs!$C$3*(1-Inputs!$C$17)*Inputs!$C$19*Inputs!$C$16*'Pecan budget'!$D$27+SUM('Pecan budget'!$F$25,'Pecan budget'!$F$24)*IF(Investment!$D$49=Investment!$L$5,Investment!$D$50,Investment!$E$50)*IF('Long-term Model Summary'!CE13&gt;1,1,0))*Inputs!$K$8/2)*Inputs!$C$3)</f>
        <v>17510.996026187928</v>
      </c>
      <c r="CF23" s="180">
        <f>((SUM(Labor!$F$48/60,IF(Investment!$L$2="In-house",Labor!$C$6/60*CF13/Inputs!$C$3,0),IF(Investment!$L$2="Custom",MAX(Labor!$F$56/60*CF13/Inputs!$C$3,Labor!$F$57/Inputs!$C$3),0))*Inputs!$G$9+CF13*Inputs!$C$15*'Pecan budget'!$D$26+CF13/Inputs!$C$3*(1-Inputs!$C$17)*Inputs!$C$19*Inputs!$C$16*'Pecan budget'!$D$27+SUM('Pecan budget'!$F$35:$F$36,'Pecan budget'!$F$25,'Pecan budget'!$F$24)*IF(Investment!$D$49=Investment!$L$5,Investment!$D$50,Investment!$E$50)*IF('Long-term Model Summary'!CF13&gt;1,1,0)+(SUM(Labor!$F$48/60,IF(Investment!$L$2="In-house",Labor!$C$6/60*CF13/Inputs!$C$3,0),IF(Investment!$L$2="Custom",MAX(Labor!$F$56/60*CF13/Inputs!$C$3,Labor!$F$57/Inputs!$C$3),0))*Inputs!$G$9+CF13*Inputs!$C$15*'Pecan budget'!$D$26+CF13/Inputs!$C$3*(1-Inputs!$C$17)*Inputs!$C$19*Inputs!$C$16*'Pecan budget'!$D$27+SUM('Pecan budget'!$F$25,'Pecan budget'!$F$24)*IF(Investment!$D$49=Investment!$L$5,Investment!$D$50,Investment!$E$50)*IF('Long-term Model Summary'!CF13&gt;1,1,0))*Inputs!$K$8/2)*Inputs!$C$3)</f>
        <v>17510.996026187928</v>
      </c>
      <c r="CG23" s="180">
        <f>((SUM(Labor!$F$48/60,IF(Investment!$L$2="In-house",Labor!$C$6/60*CG13/Inputs!$C$3,0),IF(Investment!$L$2="Custom",MAX(Labor!$F$56/60*CG13/Inputs!$C$3,Labor!$F$57/Inputs!$C$3),0))*Inputs!$G$9+CG13*Inputs!$C$15*'Pecan budget'!$D$26+CG13/Inputs!$C$3*(1-Inputs!$C$17)*Inputs!$C$19*Inputs!$C$16*'Pecan budget'!$D$27+SUM('Pecan budget'!$F$35:$F$36,'Pecan budget'!$F$25,'Pecan budget'!$F$24)*IF(Investment!$D$49=Investment!$L$5,Investment!$D$50,Investment!$E$50)*IF('Long-term Model Summary'!CG13&gt;1,1,0)+(SUM(Labor!$F$48/60,IF(Investment!$L$2="In-house",Labor!$C$6/60*CG13/Inputs!$C$3,0),IF(Investment!$L$2="Custom",MAX(Labor!$F$56/60*CG13/Inputs!$C$3,Labor!$F$57/Inputs!$C$3),0))*Inputs!$G$9+CG13*Inputs!$C$15*'Pecan budget'!$D$26+CG13/Inputs!$C$3*(1-Inputs!$C$17)*Inputs!$C$19*Inputs!$C$16*'Pecan budget'!$D$27+SUM('Pecan budget'!$F$25,'Pecan budget'!$F$24)*IF(Investment!$D$49=Investment!$L$5,Investment!$D$50,Investment!$E$50)*IF('Long-term Model Summary'!CG13&gt;1,1,0))*Inputs!$K$8/2)*Inputs!$C$3)</f>
        <v>17510.996026187928</v>
      </c>
      <c r="CH23" s="299">
        <f>((SUM(Labor!$F$48/60,IF(Investment!$L$2="In-house",Labor!$C$6/60*CH13/Inputs!$C$3,0),IF(Investment!$L$2="Custom",MAX(Labor!$F$56/60*CH13/Inputs!$C$3,Labor!$F$57/Inputs!$C$3),0))*Inputs!$G$9+CH13*Inputs!$C$15*'Pecan budget'!$D$26+CH13/Inputs!$C$3*(1-Inputs!$C$17)*Inputs!$C$19*Inputs!$C$16*'Pecan budget'!$D$27+SUM('Pecan budget'!$F$35:$F$36,'Pecan budget'!$F$25,'Pecan budget'!$F$24)*IF(Investment!$D$49=Investment!$L$5,Investment!$D$50,Investment!$E$50)*IF('Long-term Model Summary'!CH13&gt;1,1,0)+(SUM(Labor!$F$48/60,IF(Investment!$L$2="In-house",Labor!$C$6/60*CH13/Inputs!$C$3,0),IF(Investment!$L$2="Custom",MAX(Labor!$F$56/60*CH13/Inputs!$C$3,Labor!$F$57/Inputs!$C$3),0))*Inputs!$G$9+CH13*Inputs!$C$15*'Pecan budget'!$D$26+CH13/Inputs!$C$3*(1-Inputs!$C$17)*Inputs!$C$19*Inputs!$C$16*'Pecan budget'!$D$27+SUM('Pecan budget'!$F$25,'Pecan budget'!$F$24)*IF(Investment!$D$49=Investment!$L$5,Investment!$D$50,Investment!$E$50)*IF('Long-term Model Summary'!CH13&gt;1,1,0))*Inputs!$K$8/2)*Inputs!$C$3)</f>
        <v>17510.996026187928</v>
      </c>
    </row>
    <row r="24" spans="10:86" x14ac:dyDescent="0.3">
      <c r="J24" s="297" t="s">
        <v>560</v>
      </c>
      <c r="K24" s="180">
        <f>((SUM(Labor!B23,Labor!B25,Labor!B27)+K20*Inputs!$C$15*'Pecan budget'!$D$26+K20/Inputs!$C$3*(1-Inputs!$C$17)*Inputs!$C$19*Inputs!$C$16*'Pecan budget'!$D$27+SUM('Pecan budget'!$F$35:$F$36,'Pecan budget'!$F$25,'Pecan budget'!$F$24)*IF(Investment!$D$49=Investment!$L$5,Investment!$D$50,Investment!$E$50)*IF('Long-term Model Summary'!K20&gt;1,1,0)+(SUM(Labor!B23,Labor!B25,Labor!B27)+K20*Inputs!$C$15*'Pecan budget'!$D$26+K20/Inputs!$C$3*(1-Inputs!$C$17)*Inputs!$C$19*Inputs!$C$16*'Pecan budget'!$D$27+SUM('Pecan budget'!$F$25,'Pecan budget'!$F$24)*IF(Investment!$D$49=Investment!$L$5,Investment!$D$50,Investment!$E$50)*IF('Long-term Model Summary'!K20&gt;1,1,0))*Inputs!$K$8/2)*Inputs!$C$3)</f>
        <v>0</v>
      </c>
      <c r="L24" s="180">
        <f>((SUM(Labor!C23,Labor!C25,Labor!C27)+L20*Inputs!$C$15*'Pecan budget'!$D$26+L20/Inputs!$C$3*(1-Inputs!$C$17)*Inputs!$C$19*Inputs!$C$16*'Pecan budget'!$D$27+SUM('Pecan budget'!$F$35:$F$36,'Pecan budget'!$F$25,'Pecan budget'!$F$24)*IF(Investment!$D$49=Investment!$L$5,Investment!$D$50,Investment!$E$50)*IF('Long-term Model Summary'!L20&gt;1,1,0)+(SUM(Labor!C23,Labor!C25,Labor!C27)+L20*Inputs!$C$15*'Pecan budget'!$D$26+L20/Inputs!$C$3*(1-Inputs!$C$17)*Inputs!$C$19*Inputs!$C$16*'Pecan budget'!$D$27+SUM('Pecan budget'!$F$25,'Pecan budget'!$F$24)*IF(Investment!$D$49=Investment!$L$5,Investment!$D$50,Investment!$E$50)*IF('Long-term Model Summary'!L20&gt;1,1,0))*Inputs!$K$8/2)*Inputs!$C$3)</f>
        <v>0</v>
      </c>
      <c r="M24" s="180">
        <f>((SUM(Labor!D23,Labor!D25,Labor!D27)+M20*Inputs!$C$15*'Pecan budget'!$D$26+M20/Inputs!$C$3*(1-Inputs!$C$17)*Inputs!$C$19*Inputs!$C$16*'Pecan budget'!$D$27+SUM('Pecan budget'!$F$35:$F$36,'Pecan budget'!$F$25,'Pecan budget'!$F$24)*IF(Investment!$D$49=Investment!$L$5,Investment!$D$50,Investment!$E$50)*IF('Long-term Model Summary'!M20&gt;1,1,0)+(SUM(Labor!D23,Labor!D25,Labor!D27)+M20*Inputs!$C$15*'Pecan budget'!$D$26+M20/Inputs!$C$3*(1-Inputs!$C$17)*Inputs!$C$19*Inputs!$C$16*'Pecan budget'!$D$27+SUM('Pecan budget'!$F$25,'Pecan budget'!$F$24)*IF(Investment!$D$49=Investment!$L$5,Investment!$D$50,Investment!$E$50)*IF('Long-term Model Summary'!M20&gt;1,1,0))*Inputs!$K$8/2)*Inputs!$C$3)</f>
        <v>0</v>
      </c>
      <c r="N24" s="180">
        <f>((SUM(Labor!E23,Labor!E25,Labor!E27)+N20*Inputs!$C$15*'Pecan budget'!$D$26+N20/Inputs!$C$3*(1-Inputs!$C$17)*Inputs!$C$19*Inputs!$C$16*'Pecan budget'!$D$27+SUM('Pecan budget'!$F$35:$F$36,'Pecan budget'!$F$25,'Pecan budget'!$F$24)*IF(Investment!$D$49=Investment!$L$5,Investment!$D$50,Investment!$E$50)*IF('Long-term Model Summary'!N20&gt;1,1,0)+(SUM(Labor!E23,Labor!E25,Labor!E27)+N20*Inputs!$C$15*'Pecan budget'!$D$26+N20/Inputs!$C$3*(1-Inputs!$C$17)*Inputs!$C$19*Inputs!$C$16*'Pecan budget'!$D$27+SUM('Pecan budget'!$F$25,'Pecan budget'!$F$24)*IF(Investment!$D$49=Investment!$L$5,Investment!$D$50,Investment!$E$50)*IF('Long-term Model Summary'!N20&gt;1,1,0))*Inputs!$K$8/2)*Inputs!$C$3)</f>
        <v>0</v>
      </c>
      <c r="O24" s="180">
        <f>((SUM(Labor!F23,Labor!F25,Labor!F27)+O20*Inputs!$C$15*'Pecan budget'!$D$26+O20/Inputs!$C$3*(1-Inputs!$C$17)*Inputs!$C$19*Inputs!$C$16*'Pecan budget'!$D$27+SUM('Pecan budget'!$F$35:$F$36,'Pecan budget'!$F$25,'Pecan budget'!$F$24)*IF(Investment!$D$49=Investment!$L$5,Investment!$D$50,Investment!$E$50)*IF('Long-term Model Summary'!O20&gt;1,1,0)+(SUM(Labor!F23,Labor!F25,Labor!F27)+O20*Inputs!$C$15*'Pecan budget'!$D$26+O20/Inputs!$C$3*(1-Inputs!$C$17)*Inputs!$C$19*Inputs!$C$16*'Pecan budget'!$D$27+SUM('Pecan budget'!$F$25,'Pecan budget'!$F$24)*IF(Investment!$D$49=Investment!$L$5,Investment!$D$50,Investment!$E$50)*IF('Long-term Model Summary'!O20&gt;1,1,0))*Inputs!$K$8/2)*Inputs!$C$3)</f>
        <v>0</v>
      </c>
      <c r="P24" s="180">
        <f>((SUM(Labor!G23,Labor!G25,Labor!G27)+P20*Inputs!$C$15*'Pecan budget'!$D$26+P20/Inputs!$C$3*(1-Inputs!$C$17)*Inputs!$C$19*Inputs!$C$16*'Pecan budget'!$D$27+SUM('Pecan budget'!$F$35:$F$36,'Pecan budget'!$F$25,'Pecan budget'!$F$24)*IF(Investment!$D$49=Investment!$L$5,Investment!$D$50,Investment!$E$50)*IF('Long-term Model Summary'!P20&gt;1,1,0)+(SUM(Labor!G23,Labor!G25,Labor!G27)+P20*Inputs!$C$15*'Pecan budget'!$D$26+P20/Inputs!$C$3*(1-Inputs!$C$17)*Inputs!$C$19*Inputs!$C$16*'Pecan budget'!$D$27+SUM('Pecan budget'!$F$25,'Pecan budget'!$F$24)*IF(Investment!$D$49=Investment!$L$5,Investment!$D$50,Investment!$E$50)*IF('Long-term Model Summary'!P20&gt;1,1,0))*Inputs!$K$8/2)*Inputs!$C$3)</f>
        <v>0</v>
      </c>
      <c r="Q24" s="180">
        <f>((SUM(Labor!H23,Labor!H25,Labor!H27)+Q20*Inputs!$C$15*'Pecan budget'!$D$26+Q20/Inputs!$C$3*(1-Inputs!$C$17)*Inputs!$C$19*Inputs!$C$16*'Pecan budget'!$D$27+SUM('Pecan budget'!$F$35:$F$36,'Pecan budget'!$F$25,'Pecan budget'!$F$24)*IF(Investment!$D$49=Investment!$L$5,Investment!$D$50,Investment!$E$50)*IF('Long-term Model Summary'!Q20&gt;1,1,0)+(SUM(Labor!H23,Labor!H25,Labor!H27)+Q20*Inputs!$C$15*'Pecan budget'!$D$26+Q20/Inputs!$C$3*(1-Inputs!$C$17)*Inputs!$C$19*Inputs!$C$16*'Pecan budget'!$D$27+SUM('Pecan budget'!$F$25,'Pecan budget'!$F$24)*IF(Investment!$D$49=Investment!$L$5,Investment!$D$50,Investment!$E$50)*IF('Long-term Model Summary'!Q20&gt;1,1,0))*Inputs!$K$8/2)*Inputs!$C$3)</f>
        <v>0</v>
      </c>
      <c r="R24" s="180">
        <f>((SUM(Labor!I23,Labor!I25,Labor!I27)+R20*Inputs!$C$15*'Pecan budget'!$D$26+R20/Inputs!$C$3*(1-Inputs!$C$17)*Inputs!$C$19*Inputs!$C$16*'Pecan budget'!$D$27+SUM('Pecan budget'!$F$35:$F$36,'Pecan budget'!$F$25,'Pecan budget'!$F$24)*IF(Investment!$D$49=Investment!$L$5,Investment!$D$50,Investment!$E$50)*IF('Long-term Model Summary'!R20&gt;1,1,0)+(SUM(Labor!I23,Labor!I25,Labor!I27)+R20*Inputs!$C$15*'Pecan budget'!$D$26+R20/Inputs!$C$3*(1-Inputs!$C$17)*Inputs!$C$19*Inputs!$C$16*'Pecan budget'!$D$27+SUM('Pecan budget'!$F$25,'Pecan budget'!$F$24)*IF(Investment!$D$49=Investment!$L$5,Investment!$D$50,Investment!$E$50)*IF('Long-term Model Summary'!R20&gt;1,1,0))*Inputs!$K$8/2)*Inputs!$C$3)</f>
        <v>0</v>
      </c>
      <c r="S24" s="180">
        <f>((SUM(Labor!J23,Labor!J25,Labor!J27)+S20*Inputs!$C$15*'Pecan budget'!$D$26+S20/Inputs!$C$3*(1-Inputs!$C$17)*Inputs!$C$19*Inputs!$C$16*'Pecan budget'!$D$27+SUM('Pecan budget'!$F$35:$F$36,'Pecan budget'!$F$25,'Pecan budget'!$F$24)*IF(Investment!$D$49=Investment!$L$5,Investment!$D$50,Investment!$E$50)*IF('Long-term Model Summary'!S20&gt;1,1,0)+(SUM(Labor!J23,Labor!J25,Labor!J27)+S20*Inputs!$C$15*'Pecan budget'!$D$26+S20/Inputs!$C$3*(1-Inputs!$C$17)*Inputs!$C$19*Inputs!$C$16*'Pecan budget'!$D$27+SUM('Pecan budget'!$F$25,'Pecan budget'!$F$24)*IF(Investment!$D$49=Investment!$L$5,Investment!$D$50,Investment!$E$50)*IF('Long-term Model Summary'!S20&gt;1,1,0))*Inputs!$K$8/2)*Inputs!$C$3)</f>
        <v>0</v>
      </c>
      <c r="T24" s="235">
        <f>((SUM(Labor!K23,Labor!K25,Labor!K27)+T20*Inputs!$C$15*'Pecan budget'!$D$26+T20/Inputs!$C$3*(1-Inputs!$C$17)*Inputs!$C$19*Inputs!$C$16*'Pecan budget'!$D$27+SUM('Pecan budget'!$F$35:$F$36,'Pecan budget'!$F$25,'Pecan budget'!$F$24)*IF(Investment!$D$49=Investment!$L$5,Investment!$D$50,Investment!$E$50)*IF('Long-term Model Summary'!T20&gt;1,1,0)+(SUM(Labor!K23,Labor!K25,Labor!K27)+T20*Inputs!$C$15*'Pecan budget'!$D$26+T20/Inputs!$C$3*(1-Inputs!$C$17)*Inputs!$C$19*Inputs!$C$16*'Pecan budget'!$D$27+SUM('Pecan budget'!$F$25,'Pecan budget'!$F$24)*IF(Investment!$D$49=Investment!$L$5,Investment!$D$50,Investment!$E$50)*IF('Long-term Model Summary'!T20&gt;1,1,0))*Inputs!$K$8/2)*Inputs!$C$3)</f>
        <v>11289.061360030937</v>
      </c>
      <c r="U24" s="180">
        <f>((SUM(Labor!L23,Labor!L25,Labor!L27)+U20*Inputs!$C$15*'Pecan budget'!$D$26+U20/Inputs!$C$3*(1-Inputs!$C$17)*Inputs!$C$19*Inputs!$C$16*'Pecan budget'!$D$27+SUM('Pecan budget'!$F$35:$F$36,'Pecan budget'!$F$25,'Pecan budget'!$F$24)*IF(Investment!$D$49=Investment!$L$5,Investment!$D$50,Investment!$E$50)*IF('Long-term Model Summary'!U20&gt;1,1,0)+(SUM(Labor!L23,Labor!L25,Labor!L27)+U20*Inputs!$C$15*'Pecan budget'!$D$26+U20/Inputs!$C$3*(1-Inputs!$C$17)*Inputs!$C$19*Inputs!$C$16*'Pecan budget'!$D$27+SUM('Pecan budget'!$F$25,'Pecan budget'!$F$24)*IF(Investment!$D$49=Investment!$L$5,Investment!$D$50,Investment!$E$50)*IF('Long-term Model Summary'!U20&gt;1,1,0))*Inputs!$K$8/2)*Inputs!$C$3)</f>
        <v>11542.467145683317</v>
      </c>
      <c r="V24" s="180">
        <f>((SUM(Labor!M23,Labor!M25,Labor!M27)+V20*Inputs!$C$15*'Pecan budget'!$D$26+V20/Inputs!$C$3*(1-Inputs!$C$17)*Inputs!$C$19*Inputs!$C$16*'Pecan budget'!$D$27+SUM('Pecan budget'!$F$35:$F$36,'Pecan budget'!$F$25,'Pecan budget'!$F$24)*IF(Investment!$D$49=Investment!$L$5,Investment!$D$50,Investment!$E$50)*IF('Long-term Model Summary'!V20&gt;1,1,0)+(SUM(Labor!M23,Labor!M25,Labor!M27)+V20*Inputs!$C$15*'Pecan budget'!$D$26+V20/Inputs!$C$3*(1-Inputs!$C$17)*Inputs!$C$19*Inputs!$C$16*'Pecan budget'!$D$27+SUM('Pecan budget'!$F$25,'Pecan budget'!$F$24)*IF(Investment!$D$49=Investment!$L$5,Investment!$D$50,Investment!$E$50)*IF('Long-term Model Summary'!V20&gt;1,1,0))*Inputs!$K$8/2)*Inputs!$C$3)</f>
        <v>11876.962782744456</v>
      </c>
      <c r="W24" s="180">
        <f>((SUM(Labor!N23,Labor!N25,Labor!N27)+W20*Inputs!$C$15*'Pecan budget'!$D$26+W20/Inputs!$C$3*(1-Inputs!$C$17)*Inputs!$C$19*Inputs!$C$16*'Pecan budget'!$D$27+SUM('Pecan budget'!$F$35:$F$36,'Pecan budget'!$F$25,'Pecan budget'!$F$24)*IF(Investment!$D$49=Investment!$L$5,Investment!$D$50,Investment!$E$50)*IF('Long-term Model Summary'!W20&gt;1,1,0)+(SUM(Labor!N23,Labor!N25,Labor!N27)+W20*Inputs!$C$15*'Pecan budget'!$D$26+W20/Inputs!$C$3*(1-Inputs!$C$17)*Inputs!$C$19*Inputs!$C$16*'Pecan budget'!$D$27+SUM('Pecan budget'!$F$25,'Pecan budget'!$F$24)*IF(Investment!$D$49=Investment!$L$5,Investment!$D$50,Investment!$E$50)*IF('Long-term Model Summary'!W20&gt;1,1,0))*Inputs!$K$8/2)*Inputs!$C$3)</f>
        <v>11895.360042782817</v>
      </c>
      <c r="X24" s="180">
        <f>((SUM(Labor!O23,Labor!O25,Labor!O27)+X20*Inputs!$C$15*'Pecan budget'!$D$26+X20/Inputs!$C$3*(1-Inputs!$C$17)*Inputs!$C$19*Inputs!$C$16*'Pecan budget'!$D$27+SUM('Pecan budget'!$F$35:$F$36,'Pecan budget'!$F$25,'Pecan budget'!$F$24)*IF(Investment!$D$49=Investment!$L$5,Investment!$D$50,Investment!$E$50)*IF('Long-term Model Summary'!X20&gt;1,1,0)+(SUM(Labor!O23,Labor!O25,Labor!O27)+X20*Inputs!$C$15*'Pecan budget'!$D$26+X20/Inputs!$C$3*(1-Inputs!$C$17)*Inputs!$C$19*Inputs!$C$16*'Pecan budget'!$D$27+SUM('Pecan budget'!$F$25,'Pecan budget'!$F$24)*IF(Investment!$D$49=Investment!$L$5,Investment!$D$50,Investment!$E$50)*IF('Long-term Model Summary'!X20&gt;1,1,0))*Inputs!$K$8/2)*Inputs!$C$3)</f>
        <v>12342.781406915799</v>
      </c>
      <c r="Y24" s="180">
        <f>((SUM(Labor!P23,Labor!P25,Labor!P27)+Y20*Inputs!$C$15*'Pecan budget'!$D$26+Y20/Inputs!$C$3*(1-Inputs!$C$17)*Inputs!$C$19*Inputs!$C$16*'Pecan budget'!$D$27+SUM('Pecan budget'!$F$35:$F$36,'Pecan budget'!$F$25,'Pecan budget'!$F$24)*IF(Investment!$D$49=Investment!$L$5,Investment!$D$50,Investment!$E$50)*IF('Long-term Model Summary'!Y20&gt;1,1,0)+(SUM(Labor!P23,Labor!P25,Labor!P27)+Y20*Inputs!$C$15*'Pecan budget'!$D$26+Y20/Inputs!$C$3*(1-Inputs!$C$17)*Inputs!$C$19*Inputs!$C$16*'Pecan budget'!$D$27+SUM('Pecan budget'!$F$25,'Pecan budget'!$F$24)*IF(Investment!$D$49=Investment!$L$5,Investment!$D$50,Investment!$E$50)*IF('Long-term Model Summary'!Y20&gt;1,1,0))*Inputs!$K$8/2)*Inputs!$C$3)</f>
        <v>12933.37760757133</v>
      </c>
      <c r="Z24" s="180">
        <f>((SUM(Labor!Q23,Labor!Q25,Labor!Q27)+Z20*Inputs!$C$15*'Pecan budget'!$D$26+Z20/Inputs!$C$3*(1-Inputs!$C$17)*Inputs!$C$19*Inputs!$C$16*'Pecan budget'!$D$27+SUM('Pecan budget'!$F$35:$F$36,'Pecan budget'!$F$25,'Pecan budget'!$F$24)*IF(Investment!$D$49=Investment!$L$5,Investment!$D$50,Investment!$E$50)*IF('Long-term Model Summary'!Z20&gt;1,1,0)+(SUM(Labor!Q23,Labor!Q25,Labor!Q27)+Z20*Inputs!$C$15*'Pecan budget'!$D$26+Z20/Inputs!$C$3*(1-Inputs!$C$17)*Inputs!$C$19*Inputs!$C$16*'Pecan budget'!$D$27+SUM('Pecan budget'!$F$25,'Pecan budget'!$F$24)*IF(Investment!$D$49=Investment!$L$5,Investment!$D$50,Investment!$E$50)*IF('Long-term Model Summary'!Z20&gt;1,1,0))*Inputs!$K$8/2)*Inputs!$C$3)</f>
        <v>13712.964592436638</v>
      </c>
      <c r="AA24" s="180">
        <f>((SUM(Labor!R23,Labor!R25,Labor!R27)+AA20*Inputs!$C$15*'Pecan budget'!$D$26+AA20/Inputs!$C$3*(1-Inputs!$C$17)*Inputs!$C$19*Inputs!$C$16*'Pecan budget'!$D$27+SUM('Pecan budget'!$F$35:$F$36,'Pecan budget'!$F$25,'Pecan budget'!$F$24)*IF(Investment!$D$49=Investment!$L$5,Investment!$D$50,Investment!$E$50)*IF('Long-term Model Summary'!AA20&gt;1,1,0)+(SUM(Labor!R23,Labor!R25,Labor!R27)+AA20*Inputs!$C$15*'Pecan budget'!$D$26+AA20/Inputs!$C$3*(1-Inputs!$C$17)*Inputs!$C$19*Inputs!$C$16*'Pecan budget'!$D$27+SUM('Pecan budget'!$F$25,'Pecan budget'!$F$24)*IF(Investment!$D$49=Investment!$L$5,Investment!$D$50,Investment!$E$50)*IF('Long-term Model Summary'!AA20&gt;1,1,0))*Inputs!$K$8/2)*Inputs!$C$3)</f>
        <v>13841.596444939412</v>
      </c>
      <c r="AB24" s="180">
        <f>((SUM(Labor!S23,Labor!S25,Labor!S27)+AB20*Inputs!$C$15*'Pecan budget'!$D$26+AB20/Inputs!$C$3*(1-Inputs!$C$17)*Inputs!$C$19*Inputs!$C$16*'Pecan budget'!$D$27+SUM('Pecan budget'!$F$35:$F$36,'Pecan budget'!$F$25,'Pecan budget'!$F$24)*IF(Investment!$D$49=Investment!$L$5,Investment!$D$50,Investment!$E$50)*IF('Long-term Model Summary'!AB20&gt;1,1,0)+(SUM(Labor!S23,Labor!S25,Labor!S27)+AB20*Inputs!$C$15*'Pecan budget'!$D$26+AB20/Inputs!$C$3*(1-Inputs!$C$17)*Inputs!$C$19*Inputs!$C$16*'Pecan budget'!$D$27+SUM('Pecan budget'!$F$25,'Pecan budget'!$F$24)*IF(Investment!$D$49=Investment!$L$5,Investment!$D$50,Investment!$E$50)*IF('Long-term Model Summary'!AB20&gt;1,1,0))*Inputs!$K$8/2)*Inputs!$C$3)</f>
        <v>13975.373571542299</v>
      </c>
      <c r="AC24" s="180">
        <f>((SUM(Labor!T23,Labor!T25,Labor!T27)+AC20*Inputs!$C$15*'Pecan budget'!$D$26+AC20/Inputs!$C$3*(1-Inputs!$C$17)*Inputs!$C$19*Inputs!$C$16*'Pecan budget'!$D$27+SUM('Pecan budget'!$F$35:$F$36,'Pecan budget'!$F$25,'Pecan budget'!$F$24)*IF(Investment!$D$49=Investment!$L$5,Investment!$D$50,Investment!$E$50)*IF('Long-term Model Summary'!AC20&gt;1,1,0)+(SUM(Labor!T23,Labor!T25,Labor!T27)+AC20*Inputs!$C$15*'Pecan budget'!$D$26+AC20/Inputs!$C$3*(1-Inputs!$C$17)*Inputs!$C$19*Inputs!$C$16*'Pecan budget'!$D$27+SUM('Pecan budget'!$F$25,'Pecan budget'!$F$24)*IF(Investment!$D$49=Investment!$L$5,Investment!$D$50,Investment!$E$50)*IF('Long-term Model Summary'!AC20&gt;1,1,0))*Inputs!$K$8/2)*Inputs!$C$3)</f>
        <v>14114.5017832093</v>
      </c>
      <c r="AD24" s="180">
        <f>((SUM(Labor!U23,Labor!U25,Labor!U27)+AD20*Inputs!$C$15*'Pecan budget'!$D$26+AD20/Inputs!$C$3*(1-Inputs!$C$17)*Inputs!$C$19*Inputs!$C$16*'Pecan budget'!$D$27+SUM('Pecan budget'!$F$35:$F$36,'Pecan budget'!$F$25,'Pecan budget'!$F$24)*IF(Investment!$D$49=Investment!$L$5,Investment!$D$50,Investment!$E$50)*IF('Long-term Model Summary'!AD20&gt;1,1,0)+(SUM(Labor!U23,Labor!U25,Labor!U27)+AD20*Inputs!$C$15*'Pecan budget'!$D$26+AD20/Inputs!$C$3*(1-Inputs!$C$17)*Inputs!$C$19*Inputs!$C$16*'Pecan budget'!$D$27+SUM('Pecan budget'!$F$25,'Pecan budget'!$F$24)*IF(Investment!$D$49=Investment!$L$5,Investment!$D$50,Investment!$E$50)*IF('Long-term Model Summary'!AD20&gt;1,1,0))*Inputs!$K$8/2)*Inputs!$C$3)</f>
        <v>14259.195123342983</v>
      </c>
      <c r="AE24" s="180">
        <f>((SUM(Labor!V23,Labor!V25,Labor!V27)+AE20*Inputs!$C$15*'Pecan budget'!$D$26+AE20/Inputs!$C$3*(1-Inputs!$C$17)*Inputs!$C$19*Inputs!$C$16*'Pecan budget'!$D$27+SUM('Pecan budget'!$F$35:$F$36,'Pecan budget'!$F$25,'Pecan budget'!$F$24)*IF(Investment!$D$49=Investment!$L$5,Investment!$D$50,Investment!$E$50)*IF('Long-term Model Summary'!AE20&gt;1,1,0)+(SUM(Labor!V23,Labor!V25,Labor!V27)+AE20*Inputs!$C$15*'Pecan budget'!$D$26+AE20/Inputs!$C$3*(1-Inputs!$C$17)*Inputs!$C$19*Inputs!$C$16*'Pecan budget'!$D$27+SUM('Pecan budget'!$F$25,'Pecan budget'!$F$24)*IF(Investment!$D$49=Investment!$L$5,Investment!$D$50,Investment!$E$50)*IF('Long-term Model Summary'!AE20&gt;1,1,0))*Inputs!$K$8/2)*Inputs!$C$3)</f>
        <v>14409.67619708201</v>
      </c>
      <c r="AF24" s="180">
        <f>((SUM(Labor!W23,Labor!W25,Labor!W27)+AF20*Inputs!$C$15*'Pecan budget'!$D$26+AF20/Inputs!$C$3*(1-Inputs!$C$17)*Inputs!$C$19*Inputs!$C$16*'Pecan budget'!$D$27+SUM('Pecan budget'!$F$35:$F$36,'Pecan budget'!$F$25,'Pecan budget'!$F$24)*IF(Investment!$D$49=Investment!$L$5,Investment!$D$50,Investment!$E$50)*IF('Long-term Model Summary'!AF20&gt;1,1,0)+(SUM(Labor!W23,Labor!W25,Labor!W27)+AF20*Inputs!$C$15*'Pecan budget'!$D$26+AF20/Inputs!$C$3*(1-Inputs!$C$17)*Inputs!$C$19*Inputs!$C$16*'Pecan budget'!$D$27+SUM('Pecan budget'!$F$25,'Pecan budget'!$F$24)*IF(Investment!$D$49=Investment!$L$5,Investment!$D$50,Investment!$E$50)*IF('Long-term Model Summary'!AF20&gt;1,1,0))*Inputs!$K$8/2)*Inputs!$C$3)</f>
        <v>14566.176513770604</v>
      </c>
      <c r="AG24" s="180">
        <f>((SUM(Labor!X23,Labor!X25,Labor!X27)+AG20*Inputs!$C$15*'Pecan budget'!$D$26+AG20/Inputs!$C$3*(1-Inputs!$C$17)*Inputs!$C$19*Inputs!$C$16*'Pecan budget'!$D$27+SUM('Pecan budget'!$F$35:$F$36,'Pecan budget'!$F$25,'Pecan budget'!$F$24)*IF(Investment!$D$49=Investment!$L$5,Investment!$D$50,Investment!$E$50)*IF('Long-term Model Summary'!AG20&gt;1,1,0)+(SUM(Labor!X23,Labor!X25,Labor!X27)+AG20*Inputs!$C$15*'Pecan budget'!$D$26+AG20/Inputs!$C$3*(1-Inputs!$C$17)*Inputs!$C$19*Inputs!$C$16*'Pecan budget'!$D$27+SUM('Pecan budget'!$F$25,'Pecan budget'!$F$24)*IF(Investment!$D$49=Investment!$L$5,Investment!$D$50,Investment!$E$50)*IF('Long-term Model Summary'!AG20&gt;1,1,0))*Inputs!$K$8/2)*Inputs!$C$3)</f>
        <v>14728.936843126738</v>
      </c>
      <c r="AH24" s="180">
        <f>((SUM(Labor!Y23,Labor!Y25,Labor!Y27)+AH20*Inputs!$C$15*'Pecan budget'!$D$26+AH20/Inputs!$C$3*(1-Inputs!$C$17)*Inputs!$C$19*Inputs!$C$16*'Pecan budget'!$D$27+SUM('Pecan budget'!$F$35:$F$36,'Pecan budget'!$F$25,'Pecan budget'!$F$24)*IF(Investment!$D$49=Investment!$L$5,Investment!$D$50,Investment!$E$50)*IF('Long-term Model Summary'!AH20&gt;1,1,0)+(SUM(Labor!Y23,Labor!Y25,Labor!Y27)+AH20*Inputs!$C$15*'Pecan budget'!$D$26+AH20/Inputs!$C$3*(1-Inputs!$C$17)*Inputs!$C$19*Inputs!$C$16*'Pecan budget'!$D$27+SUM('Pecan budget'!$F$25,'Pecan budget'!$F$24)*IF(Investment!$D$49=Investment!$L$5,Investment!$D$50,Investment!$E$50)*IF('Long-term Model Summary'!AH20&gt;1,1,0))*Inputs!$K$8/2)*Inputs!$C$3)</f>
        <v>14898.207585657114</v>
      </c>
      <c r="AI24" s="180">
        <f>((SUM(Labor!Z23,Labor!Z25,Labor!Z27)+AI20*Inputs!$C$15*'Pecan budget'!$D$26+AI20/Inputs!$C$3*(1-Inputs!$C$17)*Inputs!$C$19*Inputs!$C$16*'Pecan budget'!$D$27+SUM('Pecan budget'!$F$35:$F$36,'Pecan budget'!$F$25,'Pecan budget'!$F$24)*IF(Investment!$D$49=Investment!$L$5,Investment!$D$50,Investment!$E$50)*IF('Long-term Model Summary'!AI20&gt;1,1,0)+(SUM(Labor!Z23,Labor!Z25,Labor!Z27)+AI20*Inputs!$C$15*'Pecan budget'!$D$26+AI20/Inputs!$C$3*(1-Inputs!$C$17)*Inputs!$C$19*Inputs!$C$16*'Pecan budget'!$D$27+SUM('Pecan budget'!$F$25,'Pecan budget'!$F$24)*IF(Investment!$D$49=Investment!$L$5,Investment!$D$50,Investment!$E$50)*IF('Long-term Model Summary'!AI20&gt;1,1,0))*Inputs!$K$8/2)*Inputs!$C$3)</f>
        <v>15074.249157888709</v>
      </c>
      <c r="AJ24" s="180">
        <f>((SUM(Labor!AA23,Labor!AA25,Labor!AA27)+AJ20*Inputs!$C$15*'Pecan budget'!$D$26+AJ20/Inputs!$C$3*(1-Inputs!$C$17)*Inputs!$C$19*Inputs!$C$16*'Pecan budget'!$D$27+SUM('Pecan budget'!$F$35:$F$36,'Pecan budget'!$F$25,'Pecan budget'!$F$24)*IF(Investment!$D$49=Investment!$L$5,Investment!$D$50,Investment!$E$50)*IF('Long-term Model Summary'!AJ20&gt;1,1,0)+(SUM(Labor!AA23,Labor!AA25,Labor!AA27)+AJ20*Inputs!$C$15*'Pecan budget'!$D$26+AJ20/Inputs!$C$3*(1-Inputs!$C$17)*Inputs!$C$19*Inputs!$C$16*'Pecan budget'!$D$27+SUM('Pecan budget'!$F$25,'Pecan budget'!$F$24)*IF(Investment!$D$49=Investment!$L$5,Investment!$D$50,Investment!$E$50)*IF('Long-term Model Summary'!AJ20&gt;1,1,0))*Inputs!$K$8/2)*Inputs!$C$3)</f>
        <v>15257.332393009568</v>
      </c>
      <c r="AK24" s="180">
        <f>((SUM(Labor!AB23,Labor!AB25,Labor!AB27)+AK20*Inputs!$C$15*'Pecan budget'!$D$26+AK20/Inputs!$C$3*(1-Inputs!$C$17)*Inputs!$C$19*Inputs!$C$16*'Pecan budget'!$D$27+SUM('Pecan budget'!$F$35:$F$36,'Pecan budget'!$F$25,'Pecan budget'!$F$24)*IF(Investment!$D$49=Investment!$L$5,Investment!$D$50,Investment!$E$50)*IF('Long-term Model Summary'!AK20&gt;1,1,0)+(SUM(Labor!AB23,Labor!AB25,Labor!AB27)+AK20*Inputs!$C$15*'Pecan budget'!$D$26+AK20/Inputs!$C$3*(1-Inputs!$C$17)*Inputs!$C$19*Inputs!$C$16*'Pecan budget'!$D$27+SUM('Pecan budget'!$F$25,'Pecan budget'!$F$24)*IF(Investment!$D$49=Investment!$L$5,Investment!$D$50,Investment!$E$50)*IF('Long-term Model Summary'!AK20&gt;1,1,0))*Inputs!$K$8/2)*Inputs!$C$3)</f>
        <v>15447.738957535261</v>
      </c>
      <c r="AL24" s="180">
        <f>((SUM(Labor!AC23,Labor!AC25,Labor!AC27)+AL20*Inputs!$C$15*'Pecan budget'!$D$26+AL20/Inputs!$C$3*(1-Inputs!$C$17)*Inputs!$C$19*Inputs!$C$16*'Pecan budget'!$D$27+SUM('Pecan budget'!$F$35:$F$36,'Pecan budget'!$F$25,'Pecan budget'!$F$24)*IF(Investment!$D$49=Investment!$L$5,Investment!$D$50,Investment!$E$50)*IF('Long-term Model Summary'!AL20&gt;1,1,0)+(SUM(Labor!AC23,Labor!AC25,Labor!AC27)+AL20*Inputs!$C$15*'Pecan budget'!$D$26+AL20/Inputs!$C$3*(1-Inputs!$C$17)*Inputs!$C$19*Inputs!$C$16*'Pecan budget'!$D$27+SUM('Pecan budget'!$F$25,'Pecan budget'!$F$24)*IF(Investment!$D$49=Investment!$L$5,Investment!$D$50,Investment!$E$50)*IF('Long-term Model Summary'!AL20&gt;1,1,0))*Inputs!$K$8/2)*Inputs!$C$3)</f>
        <v>15645.76178464198</v>
      </c>
      <c r="AM24" s="180">
        <f>((SUM(Labor!AD23,Labor!AD25,Labor!AD27)+AM20*Inputs!$C$15*'Pecan budget'!$D$26+AM20/Inputs!$C$3*(1-Inputs!$C$17)*Inputs!$C$19*Inputs!$C$16*'Pecan budget'!$D$27+SUM('Pecan budget'!$F$35:$F$36,'Pecan budget'!$F$25,'Pecan budget'!$F$24)*IF(Investment!$D$49=Investment!$L$5,Investment!$D$50,Investment!$E$50)*IF('Long-term Model Summary'!AM20&gt;1,1,0)+(SUM(Labor!AD23,Labor!AD25,Labor!AD27)+AM20*Inputs!$C$15*'Pecan budget'!$D$26+AM20/Inputs!$C$3*(1-Inputs!$C$17)*Inputs!$C$19*Inputs!$C$16*'Pecan budget'!$D$27+SUM('Pecan budget'!$F$25,'Pecan budget'!$F$24)*IF(Investment!$D$49=Investment!$L$5,Investment!$D$50,Investment!$E$50)*IF('Long-term Model Summary'!AM20&gt;1,1,0))*Inputs!$K$8/2)*Inputs!$C$3)</f>
        <v>15851.705524832971</v>
      </c>
      <c r="AN24" s="180">
        <f>((SUM(Labor!AE23,Labor!AE25,Labor!AE27)+AN20*Inputs!$C$15*'Pecan budget'!$D$26+AN20/Inputs!$C$3*(1-Inputs!$C$17)*Inputs!$C$19*Inputs!$C$16*'Pecan budget'!$D$27+SUM('Pecan budget'!$F$35:$F$36,'Pecan budget'!$F$25,'Pecan budget'!$F$24)*IF(Investment!$D$49=Investment!$L$5,Investment!$D$50,Investment!$E$50)*IF('Long-term Model Summary'!AN20&gt;1,1,0)+(SUM(Labor!AE23,Labor!AE25,Labor!AE27)+AN20*Inputs!$C$15*'Pecan budget'!$D$26+AN20/Inputs!$C$3*(1-Inputs!$C$17)*Inputs!$C$19*Inputs!$C$16*'Pecan budget'!$D$27+SUM('Pecan budget'!$F$25,'Pecan budget'!$F$24)*IF(Investment!$D$49=Investment!$L$5,Investment!$D$50,Investment!$E$50)*IF('Long-term Model Summary'!AN20&gt;1,1,0))*Inputs!$K$8/2)*Inputs!$C$3)</f>
        <v>16065.887014631599</v>
      </c>
      <c r="AO24" s="180">
        <f>((SUM(Labor!AF23,Labor!AF25,Labor!AF27)+AO20*Inputs!$C$15*'Pecan budget'!$D$26+AO20/Inputs!$C$3*(1-Inputs!$C$17)*Inputs!$C$19*Inputs!$C$16*'Pecan budget'!$D$27+SUM('Pecan budget'!$F$35:$F$36,'Pecan budget'!$F$25,'Pecan budget'!$F$24)*IF(Investment!$D$49=Investment!$L$5,Investment!$D$50,Investment!$E$50)*IF('Long-term Model Summary'!AO20&gt;1,1,0)+(SUM(Labor!AF23,Labor!AF25,Labor!AF27)+AO20*Inputs!$C$15*'Pecan budget'!$D$26+AO20/Inputs!$C$3*(1-Inputs!$C$17)*Inputs!$C$19*Inputs!$C$16*'Pecan budget'!$D$27+SUM('Pecan budget'!$F$25,'Pecan budget'!$F$24)*IF(Investment!$D$49=Investment!$L$5,Investment!$D$50,Investment!$E$50)*IF('Long-term Model Summary'!AO20&gt;1,1,0))*Inputs!$K$8/2)*Inputs!$C$3)</f>
        <v>16288.635764022174</v>
      </c>
      <c r="AP24" s="180">
        <f>((SUM(Labor!AG23,Labor!AG25,Labor!AG27)+AP20*Inputs!$C$15*'Pecan budget'!$D$26+AP20/Inputs!$C$3*(1-Inputs!$C$17)*Inputs!$C$19*Inputs!$C$16*'Pecan budget'!$D$27+SUM('Pecan budget'!$F$35:$F$36,'Pecan budget'!$F$25,'Pecan budget'!$F$24)*IF(Investment!$D$49=Investment!$L$5,Investment!$D$50,Investment!$E$50)*IF('Long-term Model Summary'!AP20&gt;1,1,0)+(SUM(Labor!AG23,Labor!AG25,Labor!AG27)+AP20*Inputs!$C$15*'Pecan budget'!$D$26+AP20/Inputs!$C$3*(1-Inputs!$C$17)*Inputs!$C$19*Inputs!$C$16*'Pecan budget'!$D$27+SUM('Pecan budget'!$F$25,'Pecan budget'!$F$24)*IF(Investment!$D$49=Investment!$L$5,Investment!$D$50,Investment!$E$50)*IF('Long-term Model Summary'!AP20&gt;1,1,0))*Inputs!$K$8/2)*Inputs!$C$3)</f>
        <v>16346.550438863724</v>
      </c>
      <c r="AQ24" s="180">
        <f>((SUM(Labor!AH23,Labor!AH25,Labor!AH27)+AQ20*Inputs!$C$15*'Pecan budget'!$D$26+AQ20/Inputs!$C$3*(1-Inputs!$C$17)*Inputs!$C$19*Inputs!$C$16*'Pecan budget'!$D$27+SUM('Pecan budget'!$F$35:$F$36,'Pecan budget'!$F$25,'Pecan budget'!$F$24)*IF(Investment!$D$49=Investment!$L$5,Investment!$D$50,Investment!$E$50)*IF('Long-term Model Summary'!AQ20&gt;1,1,0)+(SUM(Labor!AH23,Labor!AH25,Labor!AH27)+AQ20*Inputs!$C$15*'Pecan budget'!$D$26+AQ20/Inputs!$C$3*(1-Inputs!$C$17)*Inputs!$C$19*Inputs!$C$16*'Pecan budget'!$D$27+SUM('Pecan budget'!$F$25,'Pecan budget'!$F$24)*IF(Investment!$D$49=Investment!$L$5,Investment!$D$50,Investment!$E$50)*IF('Long-term Model Summary'!AQ20&gt;1,1,0))*Inputs!$K$8/2)*Inputs!$C$3)</f>
        <v>16405.044260453691</v>
      </c>
      <c r="AR24" s="180">
        <f>((SUM(Labor!AI23,Labor!AI25,Labor!AI27)+AR20*Inputs!$C$15*'Pecan budget'!$D$26+AR20/Inputs!$C$3*(1-Inputs!$C$17)*Inputs!$C$19*Inputs!$C$16*'Pecan budget'!$D$27+SUM('Pecan budget'!$F$35:$F$36,'Pecan budget'!$F$25,'Pecan budget'!$F$24)*IF(Investment!$D$49=Investment!$L$5,Investment!$D$50,Investment!$E$50)*IF('Long-term Model Summary'!AR20&gt;1,1,0)+(SUM(Labor!AI23,Labor!AI25,Labor!AI27)+AR20*Inputs!$C$15*'Pecan budget'!$D$26+AR20/Inputs!$C$3*(1-Inputs!$C$17)*Inputs!$C$19*Inputs!$C$16*'Pecan budget'!$D$27+SUM('Pecan budget'!$F$25,'Pecan budget'!$F$24)*IF(Investment!$D$49=Investment!$L$5,Investment!$D$50,Investment!$E$50)*IF('Long-term Model Summary'!AR20&gt;1,1,0))*Inputs!$K$8/2)*Inputs!$C$3)</f>
        <v>16464.123020259551</v>
      </c>
      <c r="AS24" s="180">
        <f>((SUM(Labor!AJ23,Labor!AJ25,Labor!AJ27)+AS20*Inputs!$C$15*'Pecan budget'!$D$26+AS20/Inputs!$C$3*(1-Inputs!$C$17)*Inputs!$C$19*Inputs!$C$16*'Pecan budget'!$D$27+SUM('Pecan budget'!$F$35:$F$36,'Pecan budget'!$F$25,'Pecan budget'!$F$24)*IF(Investment!$D$49=Investment!$L$5,Investment!$D$50,Investment!$E$50)*IF('Long-term Model Summary'!AS20&gt;1,1,0)+(SUM(Labor!AJ23,Labor!AJ25,Labor!AJ27)+AS20*Inputs!$C$15*'Pecan budget'!$D$26+AS20/Inputs!$C$3*(1-Inputs!$C$17)*Inputs!$C$19*Inputs!$C$16*'Pecan budget'!$D$27+SUM('Pecan budget'!$F$25,'Pecan budget'!$F$24)*IF(Investment!$D$49=Investment!$L$5,Investment!$D$50,Investment!$E$50)*IF('Long-term Model Summary'!AS20&gt;1,1,0))*Inputs!$K$8/2)*Inputs!$C$3)</f>
        <v>16523.79256766347</v>
      </c>
      <c r="AT24" s="180">
        <f>((SUM(Labor!AK23,Labor!AK25,Labor!AK27)+AT20*Inputs!$C$15*'Pecan budget'!$D$26+AT20/Inputs!$C$3*(1-Inputs!$C$17)*Inputs!$C$19*Inputs!$C$16*'Pecan budget'!$D$27+SUM('Pecan budget'!$F$35:$F$36,'Pecan budget'!$F$25,'Pecan budget'!$F$24)*IF(Investment!$D$49=Investment!$L$5,Investment!$D$50,Investment!$E$50)*IF('Long-term Model Summary'!AT20&gt;1,1,0)+(SUM(Labor!AK23,Labor!AK25,Labor!AK27)+AT20*Inputs!$C$15*'Pecan budget'!$D$26+AT20/Inputs!$C$3*(1-Inputs!$C$17)*Inputs!$C$19*Inputs!$C$16*'Pecan budget'!$D$27+SUM('Pecan budget'!$F$25,'Pecan budget'!$F$24)*IF(Investment!$D$49=Investment!$L$5,Investment!$D$50,Investment!$E$50)*IF('Long-term Model Summary'!AT20&gt;1,1,0))*Inputs!$K$8/2)*Inputs!$C$3)</f>
        <v>16584.058810541435</v>
      </c>
      <c r="AU24" s="180">
        <f>((SUM(Labor!AL23,Labor!AL25,Labor!AL27)+AU20*Inputs!$C$15*'Pecan budget'!$D$26+AU20/Inputs!$C$3*(1-Inputs!$C$17)*Inputs!$C$19*Inputs!$C$16*'Pecan budget'!$D$27+SUM('Pecan budget'!$F$35:$F$36,'Pecan budget'!$F$25,'Pecan budget'!$F$24)*IF(Investment!$D$49=Investment!$L$5,Investment!$D$50,Investment!$E$50)*IF('Long-term Model Summary'!AU20&gt;1,1,0)+(SUM(Labor!AL23,Labor!AL25,Labor!AL27)+AU20*Inputs!$C$15*'Pecan budget'!$D$26+AU20/Inputs!$C$3*(1-Inputs!$C$17)*Inputs!$C$19*Inputs!$C$16*'Pecan budget'!$D$27+SUM('Pecan budget'!$F$25,'Pecan budget'!$F$24)*IF(Investment!$D$49=Investment!$L$5,Investment!$D$50,Investment!$E$50)*IF('Long-term Model Summary'!AU20&gt;1,1,0))*Inputs!$K$8/2)*Inputs!$C$3)</f>
        <v>16644.927715848178</v>
      </c>
      <c r="AV24" s="180">
        <f>((SUM(Labor!AM23,Labor!AM25,Labor!AM27)+AV20*Inputs!$C$15*'Pecan budget'!$D$26+AV20/Inputs!$C$3*(1-Inputs!$C$17)*Inputs!$C$19*Inputs!$C$16*'Pecan budget'!$D$27+SUM('Pecan budget'!$F$35:$F$36,'Pecan budget'!$F$25,'Pecan budget'!$F$24)*IF(Investment!$D$49=Investment!$L$5,Investment!$D$50,Investment!$E$50)*IF('Long-term Model Summary'!AV20&gt;1,1,0)+(SUM(Labor!AM23,Labor!AM25,Labor!AM27)+AV20*Inputs!$C$15*'Pecan budget'!$D$26+AV20/Inputs!$C$3*(1-Inputs!$C$17)*Inputs!$C$19*Inputs!$C$16*'Pecan budget'!$D$27+SUM('Pecan budget'!$F$25,'Pecan budget'!$F$24)*IF(Investment!$D$49=Investment!$L$5,Investment!$D$50,Investment!$E$50)*IF('Long-term Model Summary'!AV20&gt;1,1,0))*Inputs!$K$8/2)*Inputs!$C$3)</f>
        <v>16706.405310207989</v>
      </c>
      <c r="AW24" s="180">
        <f>((SUM(Labor!AN23,Labor!AN25,Labor!AN27)+AW20*Inputs!$C$15*'Pecan budget'!$D$26+AW20/Inputs!$C$3*(1-Inputs!$C$17)*Inputs!$C$19*Inputs!$C$16*'Pecan budget'!$D$27+SUM('Pecan budget'!$F$35:$F$36,'Pecan budget'!$F$25,'Pecan budget'!$F$24)*IF(Investment!$D$49=Investment!$L$5,Investment!$D$50,Investment!$E$50)*IF('Long-term Model Summary'!AW20&gt;1,1,0)+(SUM(Labor!AN23,Labor!AN25,Labor!AN27)+AW20*Inputs!$C$15*'Pecan budget'!$D$26+AW20/Inputs!$C$3*(1-Inputs!$C$17)*Inputs!$C$19*Inputs!$C$16*'Pecan budget'!$D$27+SUM('Pecan budget'!$F$25,'Pecan budget'!$F$24)*IF(Investment!$D$49=Investment!$L$5,Investment!$D$50,Investment!$E$50)*IF('Long-term Model Summary'!AW20&gt;1,1,0))*Inputs!$K$8/2)*Inputs!$C$3)</f>
        <v>16768.497680511395</v>
      </c>
      <c r="AX24" s="180">
        <f>((SUM(Labor!AO23,Labor!AO25,Labor!AO27)+AX20*Inputs!$C$15*'Pecan budget'!$D$26+AX20/Inputs!$C$3*(1-Inputs!$C$17)*Inputs!$C$19*Inputs!$C$16*'Pecan budget'!$D$27+SUM('Pecan budget'!$F$35:$F$36,'Pecan budget'!$F$25,'Pecan budget'!$F$24)*IF(Investment!$D$49=Investment!$L$5,Investment!$D$50,Investment!$E$50)*IF('Long-term Model Summary'!AX20&gt;1,1,0)+(SUM(Labor!AO23,Labor!AO25,Labor!AO27)+AX20*Inputs!$C$15*'Pecan budget'!$D$26+AX20/Inputs!$C$3*(1-Inputs!$C$17)*Inputs!$C$19*Inputs!$C$16*'Pecan budget'!$D$27+SUM('Pecan budget'!$F$25,'Pecan budget'!$F$24)*IF(Investment!$D$49=Investment!$L$5,Investment!$D$50,Investment!$E$50)*IF('Long-term Model Summary'!AX20&gt;1,1,0))*Inputs!$K$8/2)*Inputs!$C$3)</f>
        <v>16831.210974517839</v>
      </c>
      <c r="AY24" s="180">
        <f>((SUM(Labor!AP23,Labor!AP25,Labor!AP27)+AY20*Inputs!$C$15*'Pecan budget'!$D$26+AY20/Inputs!$C$3*(1-Inputs!$C$17)*Inputs!$C$19*Inputs!$C$16*'Pecan budget'!$D$27+SUM('Pecan budget'!$F$35:$F$36,'Pecan budget'!$F$25,'Pecan budget'!$F$24)*IF(Investment!$D$49=Investment!$L$5,Investment!$D$50,Investment!$E$50)*IF('Long-term Model Summary'!AY20&gt;1,1,0)+(SUM(Labor!AP23,Labor!AP25,Labor!AP27)+AY20*Inputs!$C$15*'Pecan budget'!$D$26+AY20/Inputs!$C$3*(1-Inputs!$C$17)*Inputs!$C$19*Inputs!$C$16*'Pecan budget'!$D$27+SUM('Pecan budget'!$F$25,'Pecan budget'!$F$24)*IF(Investment!$D$49=Investment!$L$5,Investment!$D$50,Investment!$E$50)*IF('Long-term Model Summary'!AY20&gt;1,1,0))*Inputs!$K$8/2)*Inputs!$C$3)</f>
        <v>16894.551401464341</v>
      </c>
      <c r="AZ24" s="180">
        <f>((SUM(Labor!AQ23,Labor!AQ25,Labor!AQ27)+AZ20*Inputs!$C$15*'Pecan budget'!$D$26+AZ20/Inputs!$C$3*(1-Inputs!$C$17)*Inputs!$C$19*Inputs!$C$16*'Pecan budget'!$D$27+SUM('Pecan budget'!$F$35:$F$36,'Pecan budget'!$F$25,'Pecan budget'!$F$24)*IF(Investment!$D$49=Investment!$L$5,Investment!$D$50,Investment!$E$50)*IF('Long-term Model Summary'!AZ20&gt;1,1,0)+(SUM(Labor!AQ23,Labor!AQ25,Labor!AQ27)+AZ20*Inputs!$C$15*'Pecan budget'!$D$26+AZ20/Inputs!$C$3*(1-Inputs!$C$17)*Inputs!$C$19*Inputs!$C$16*'Pecan budget'!$D$27+SUM('Pecan budget'!$F$25,'Pecan budget'!$F$24)*IF(Investment!$D$49=Investment!$L$5,Investment!$D$50,Investment!$E$50)*IF('Long-term Model Summary'!AZ20&gt;1,1,0))*Inputs!$K$8/2)*Inputs!$C$3)</f>
        <v>16302.793462716611</v>
      </c>
      <c r="BA24" s="180">
        <f>((SUM(Labor!AR23,Labor!AR25,Labor!AR27)+BA20*Inputs!$C$15*'Pecan budget'!$D$26+BA20/Inputs!$C$3*(1-Inputs!$C$17)*Inputs!$C$19*Inputs!$C$16*'Pecan budget'!$D$27+SUM('Pecan budget'!$F$35:$F$36,'Pecan budget'!$F$25,'Pecan budget'!$F$24)*IF(Investment!$D$49=Investment!$L$5,Investment!$D$50,Investment!$E$50)*IF('Long-term Model Summary'!BA20&gt;1,1,0)+(SUM(Labor!AR23,Labor!AR25,Labor!AR27)+BA20*Inputs!$C$15*'Pecan budget'!$D$26+BA20/Inputs!$C$3*(1-Inputs!$C$17)*Inputs!$C$19*Inputs!$C$16*'Pecan budget'!$D$27+SUM('Pecan budget'!$F$25,'Pecan budget'!$F$24)*IF(Investment!$D$49=Investment!$L$5,Investment!$D$50,Investment!$E$50)*IF('Long-term Model Summary'!BA20&gt;1,1,0))*Inputs!$K$8/2)*Inputs!$C$3)</f>
        <v>16360.849714545109</v>
      </c>
      <c r="BB24" s="180">
        <f>((SUM(Labor!AS23,Labor!AS25,Labor!AS27)+BB20*Inputs!$C$15*'Pecan budget'!$D$26+BB20/Inputs!$C$3*(1-Inputs!$C$17)*Inputs!$C$19*Inputs!$C$16*'Pecan budget'!$D$27+SUM('Pecan budget'!$F$35:$F$36,'Pecan budget'!$F$25,'Pecan budget'!$F$24)*IF(Investment!$D$49=Investment!$L$5,Investment!$D$50,Investment!$E$50)*IF('Long-term Model Summary'!BB20&gt;1,1,0)+(SUM(Labor!AS23,Labor!AS25,Labor!AS27)+BB20*Inputs!$C$15*'Pecan budget'!$D$26+BB20/Inputs!$C$3*(1-Inputs!$C$17)*Inputs!$C$19*Inputs!$C$16*'Pecan budget'!$D$27+SUM('Pecan budget'!$F$25,'Pecan budget'!$F$24)*IF(Investment!$D$49=Investment!$L$5,Investment!$D$50,Investment!$E$50)*IF('Long-term Model Summary'!BB20&gt;1,1,0))*Inputs!$K$8/2)*Inputs!$C$3)</f>
        <v>16419.486528891885</v>
      </c>
      <c r="BC24" s="180">
        <f>((SUM(Labor!AT23,Labor!AT25,Labor!AT27)+BC20*Inputs!$C$15*'Pecan budget'!$D$26+BC20/Inputs!$C$3*(1-Inputs!$C$17)*Inputs!$C$19*Inputs!$C$16*'Pecan budget'!$D$27+SUM('Pecan budget'!$F$35:$F$36,'Pecan budget'!$F$25,'Pecan budget'!$F$24)*IF(Investment!$D$49=Investment!$L$5,Investment!$D$50,Investment!$E$50)*IF('Long-term Model Summary'!BC20&gt;1,1,0)+(SUM(Labor!AT23,Labor!AT25,Labor!AT27)+BC20*Inputs!$C$15*'Pecan budget'!$D$26+BC20/Inputs!$C$3*(1-Inputs!$C$17)*Inputs!$C$19*Inputs!$C$16*'Pecan budget'!$D$27+SUM('Pecan budget'!$F$25,'Pecan budget'!$F$24)*IF(Investment!$D$49=Investment!$L$5,Investment!$D$50,Investment!$E$50)*IF('Long-term Model Summary'!BC20&gt;1,1,0))*Inputs!$K$8/2)*Inputs!$C$3)</f>
        <v>16478.709711382133</v>
      </c>
      <c r="BD24" s="180">
        <f>((SUM(Labor!AU23,Labor!AU25,Labor!AU27)+BD20*Inputs!$C$15*'Pecan budget'!$D$26+BD20/Inputs!$C$3*(1-Inputs!$C$17)*Inputs!$C$19*Inputs!$C$16*'Pecan budget'!$D$27+SUM('Pecan budget'!$F$35:$F$36,'Pecan budget'!$F$25,'Pecan budget'!$F$24)*IF(Investment!$D$49=Investment!$L$5,Investment!$D$50,Investment!$E$50)*IF('Long-term Model Summary'!BD20&gt;1,1,0)+(SUM(Labor!AU23,Labor!AU25,Labor!AU27)+BD20*Inputs!$C$15*'Pecan budget'!$D$26+BD20/Inputs!$C$3*(1-Inputs!$C$17)*Inputs!$C$19*Inputs!$C$16*'Pecan budget'!$D$27+SUM('Pecan budget'!$F$25,'Pecan budget'!$F$24)*IF(Investment!$D$49=Investment!$L$5,Investment!$D$50,Investment!$E$50)*IF('Long-term Model Summary'!BD20&gt;1,1,0))*Inputs!$K$8/2)*Inputs!$C$3)</f>
        <v>16538.525125697277</v>
      </c>
      <c r="BE24" s="180">
        <f>((SUM(Labor!AV23,Labor!AV25,Labor!AV27)+BE20*Inputs!$C$15*'Pecan budget'!$D$26+BE20/Inputs!$C$3*(1-Inputs!$C$17)*Inputs!$C$19*Inputs!$C$16*'Pecan budget'!$D$27+SUM('Pecan budget'!$F$35:$F$36,'Pecan budget'!$F$25,'Pecan budget'!$F$24)*IF(Investment!$D$49=Investment!$L$5,Investment!$D$50,Investment!$E$50)*IF('Long-term Model Summary'!BE20&gt;1,1,0)+(SUM(Labor!AV23,Labor!AV25,Labor!AV27)+BE20*Inputs!$C$15*'Pecan budget'!$D$26+BE20/Inputs!$C$3*(1-Inputs!$C$17)*Inputs!$C$19*Inputs!$C$16*'Pecan budget'!$D$27+SUM('Pecan budget'!$F$25,'Pecan budget'!$F$24)*IF(Investment!$D$49=Investment!$L$5,Investment!$D$50,Investment!$E$50)*IF('Long-term Model Summary'!BE20&gt;1,1,0))*Inputs!$K$8/2)*Inputs!$C$3)</f>
        <v>16598.938694155579</v>
      </c>
      <c r="BF24" s="180">
        <f>((SUM(Labor!AW23,Labor!AW25,Labor!AW27)+BF20*Inputs!$C$15*'Pecan budget'!$D$26+BF20/Inputs!$C$3*(1-Inputs!$C$17)*Inputs!$C$19*Inputs!$C$16*'Pecan budget'!$D$27+SUM('Pecan budget'!$F$35:$F$36,'Pecan budget'!$F$25,'Pecan budget'!$F$24)*IF(Investment!$D$49=Investment!$L$5,Investment!$D$50,Investment!$E$50)*IF('Long-term Model Summary'!BF20&gt;1,1,0)+(SUM(Labor!AW23,Labor!AW25,Labor!AW27)+BF20*Inputs!$C$15*'Pecan budget'!$D$26+BF20/Inputs!$C$3*(1-Inputs!$C$17)*Inputs!$C$19*Inputs!$C$16*'Pecan budget'!$D$27+SUM('Pecan budget'!$F$25,'Pecan budget'!$F$24)*IF(Investment!$D$49=Investment!$L$5,Investment!$D$50,Investment!$E$50)*IF('Long-term Model Summary'!BF20&gt;1,1,0))*Inputs!$K$8/2)*Inputs!$C$3)</f>
        <v>16659.956398298462</v>
      </c>
      <c r="BG24" s="180">
        <f>((SUM(Labor!AX23,Labor!AX25,Labor!AX27)+BG20*Inputs!$C$15*'Pecan budget'!$D$26+BG20/Inputs!$C$3*(1-Inputs!$C$17)*Inputs!$C$19*Inputs!$C$16*'Pecan budget'!$D$27+SUM('Pecan budget'!$F$35:$F$36,'Pecan budget'!$F$25,'Pecan budget'!$F$24)*IF(Investment!$D$49=Investment!$L$5,Investment!$D$50,Investment!$E$50)*IF('Long-term Model Summary'!BG20&gt;1,1,0)+(SUM(Labor!AX23,Labor!AX25,Labor!AX27)+BG20*Inputs!$C$15*'Pecan budget'!$D$26+BG20/Inputs!$C$3*(1-Inputs!$C$17)*Inputs!$C$19*Inputs!$C$16*'Pecan budget'!$D$27+SUM('Pecan budget'!$F$25,'Pecan budget'!$F$24)*IF(Investment!$D$49=Investment!$L$5,Investment!$D$50,Investment!$E$50)*IF('Long-term Model Summary'!BG20&gt;1,1,0))*Inputs!$K$8/2)*Inputs!$C$3)</f>
        <v>16721.584279482777</v>
      </c>
      <c r="BH24" s="180">
        <f>((SUM(Labor!AY23,Labor!AY25,Labor!AY27)+BH20*Inputs!$C$15*'Pecan budget'!$D$26+BH20/Inputs!$C$3*(1-Inputs!$C$17)*Inputs!$C$19*Inputs!$C$16*'Pecan budget'!$D$27+SUM('Pecan budget'!$F$35:$F$36,'Pecan budget'!$F$25,'Pecan budget'!$F$24)*IF(Investment!$D$49=Investment!$L$5,Investment!$D$50,Investment!$E$50)*IF('Long-term Model Summary'!BH20&gt;1,1,0)+(SUM(Labor!AY23,Labor!AY25,Labor!AY27)+BH20*Inputs!$C$15*'Pecan budget'!$D$26+BH20/Inputs!$C$3*(1-Inputs!$C$17)*Inputs!$C$19*Inputs!$C$16*'Pecan budget'!$D$27+SUM('Pecan budget'!$F$25,'Pecan budget'!$F$24)*IF(Investment!$D$49=Investment!$L$5,Investment!$D$50,Investment!$E$50)*IF('Long-term Model Summary'!BH20&gt;1,1,0))*Inputs!$K$8/2)*Inputs!$C$3)</f>
        <v>16783.828439478933</v>
      </c>
      <c r="BI24" s="180">
        <f>((SUM(Labor!AZ23,Labor!AZ25,Labor!AZ27)+BI20*Inputs!$C$15*'Pecan budget'!$D$26+BI20/Inputs!$C$3*(1-Inputs!$C$17)*Inputs!$C$19*Inputs!$C$16*'Pecan budget'!$D$27+SUM('Pecan budget'!$F$35:$F$36,'Pecan budget'!$F$25,'Pecan budget'!$F$24)*IF(Investment!$D$49=Investment!$L$5,Investment!$D$50,Investment!$E$50)*IF('Long-term Model Summary'!BI20&gt;1,1,0)+(SUM(Labor!AZ23,Labor!AZ25,Labor!AZ27)+BI20*Inputs!$C$15*'Pecan budget'!$D$26+BI20/Inputs!$C$3*(1-Inputs!$C$17)*Inputs!$C$19*Inputs!$C$16*'Pecan budget'!$D$27+SUM('Pecan budget'!$F$25,'Pecan budget'!$F$24)*IF(Investment!$D$49=Investment!$L$5,Investment!$D$50,Investment!$E$50)*IF('Long-term Model Summary'!BI20&gt;1,1,0))*Inputs!$K$8/2)*Inputs!$C$3)</f>
        <v>16846.695041075047</v>
      </c>
      <c r="BJ24" s="180">
        <f>((SUM(Labor!BA23,Labor!BA25,Labor!BA27)+BJ20*Inputs!$C$15*'Pecan budget'!$D$26+BJ20/Inputs!$C$3*(1-Inputs!$C$17)*Inputs!$C$19*Inputs!$C$16*'Pecan budget'!$D$27+SUM('Pecan budget'!$F$35:$F$36,'Pecan budget'!$F$25,'Pecan budget'!$F$24)*IF(Investment!$D$49=Investment!$L$5,Investment!$D$50,Investment!$E$50)*IF('Long-term Model Summary'!BJ20&gt;1,1,0)+(SUM(Labor!BA23,Labor!BA25,Labor!BA27)+BJ20*Inputs!$C$15*'Pecan budget'!$D$26+BJ20/Inputs!$C$3*(1-Inputs!$C$17)*Inputs!$C$19*Inputs!$C$16*'Pecan budget'!$D$27+SUM('Pecan budget'!$F$25,'Pecan budget'!$F$24)*IF(Investment!$D$49=Investment!$L$5,Investment!$D$50,Investment!$E$50)*IF('Long-term Model Summary'!BJ20&gt;1,1,0))*Inputs!$K$8/2)*Inputs!$C$3)</f>
        <v>16910.190308687124</v>
      </c>
      <c r="BK24" s="180">
        <f>((SUM(Labor!BB23,Labor!BB25,Labor!BB27)+BK20*Inputs!$C$15*'Pecan budget'!$D$26+BK20/Inputs!$C$3*(1-Inputs!$C$17)*Inputs!$C$19*Inputs!$C$16*'Pecan budget'!$D$27+SUM('Pecan budget'!$F$35:$F$36,'Pecan budget'!$F$25,'Pecan budget'!$F$24)*IF(Investment!$D$49=Investment!$L$5,Investment!$D$50,Investment!$E$50)*IF('Long-term Model Summary'!BK20&gt;1,1,0)+(SUM(Labor!BB23,Labor!BB25,Labor!BB27)+BK20*Inputs!$C$15*'Pecan budget'!$D$26+BK20/Inputs!$C$3*(1-Inputs!$C$17)*Inputs!$C$19*Inputs!$C$16*'Pecan budget'!$D$27+SUM('Pecan budget'!$F$25,'Pecan budget'!$F$24)*IF(Investment!$D$49=Investment!$L$5,Investment!$D$50,Investment!$E$50)*IF('Long-term Model Summary'!BK20&gt;1,1,0))*Inputs!$K$8/2)*Inputs!$C$3)</f>
        <v>16974.320528975328</v>
      </c>
      <c r="BL24" s="180">
        <f>((SUM(Labor!BC23,Labor!BC25,Labor!BC27)+BL20*Inputs!$C$15*'Pecan budget'!$D$26+BL20/Inputs!$C$3*(1-Inputs!$C$17)*Inputs!$C$19*Inputs!$C$16*'Pecan budget'!$D$27+SUM('Pecan budget'!$F$35:$F$36,'Pecan budget'!$F$25,'Pecan budget'!$F$24)*IF(Investment!$D$49=Investment!$L$5,Investment!$D$50,Investment!$E$50)*IF('Long-term Model Summary'!BL20&gt;1,1,0)+(SUM(Labor!BC23,Labor!BC25,Labor!BC27)+BL20*Inputs!$C$15*'Pecan budget'!$D$26+BL20/Inputs!$C$3*(1-Inputs!$C$17)*Inputs!$C$19*Inputs!$C$16*'Pecan budget'!$D$27+SUM('Pecan budget'!$F$25,'Pecan budget'!$F$24)*IF(Investment!$D$49=Investment!$L$5,Investment!$D$50,Investment!$E$50)*IF('Long-term Model Summary'!BL20&gt;1,1,0))*Inputs!$K$8/2)*Inputs!$C$3)</f>
        <v>17039.092051466407</v>
      </c>
      <c r="BM24" s="180">
        <f>((SUM(Labor!BD23,Labor!BD25,Labor!BD27)+BM20*Inputs!$C$15*'Pecan budget'!$D$26+BM20/Inputs!$C$3*(1-Inputs!$C$17)*Inputs!$C$19*Inputs!$C$16*'Pecan budget'!$D$27+SUM('Pecan budget'!$F$35:$F$36,'Pecan budget'!$F$25,'Pecan budget'!$F$24)*IF(Investment!$D$49=Investment!$L$5,Investment!$D$50,Investment!$E$50)*IF('Long-term Model Summary'!BM20&gt;1,1,0)+(SUM(Labor!BD23,Labor!BD25,Labor!BD27)+BM20*Inputs!$C$15*'Pecan budget'!$D$26+BM20/Inputs!$C$3*(1-Inputs!$C$17)*Inputs!$C$19*Inputs!$C$16*'Pecan budget'!$D$27+SUM('Pecan budget'!$F$25,'Pecan budget'!$F$24)*IF(Investment!$D$49=Investment!$L$5,Investment!$D$50,Investment!$E$50)*IF('Long-term Model Summary'!BM20&gt;1,1,0))*Inputs!$K$8/2)*Inputs!$C$3)</f>
        <v>17104.511289182399</v>
      </c>
      <c r="BN24" s="180">
        <f>((SUM(Labor!BE23,Labor!BE25,Labor!BE27)+BN20*Inputs!$C$15*'Pecan budget'!$D$26+BN20/Inputs!$C$3*(1-Inputs!$C$17)*Inputs!$C$19*Inputs!$C$16*'Pecan budget'!$D$27+SUM('Pecan budget'!$F$35:$F$36,'Pecan budget'!$F$25,'Pecan budget'!$F$24)*IF(Investment!$D$49=Investment!$L$5,Investment!$D$50,Investment!$E$50)*IF('Long-term Model Summary'!BN20&gt;1,1,0)+(SUM(Labor!BE23,Labor!BE25,Labor!BE27)+BN20*Inputs!$C$15*'Pecan budget'!$D$26+BN20/Inputs!$C$3*(1-Inputs!$C$17)*Inputs!$C$19*Inputs!$C$16*'Pecan budget'!$D$27+SUM('Pecan budget'!$F$25,'Pecan budget'!$F$24)*IF(Investment!$D$49=Investment!$L$5,Investment!$D$50,Investment!$E$50)*IF('Long-term Model Summary'!BN20&gt;1,1,0))*Inputs!$K$8/2)*Inputs!$C$3)</f>
        <v>17170.584719275546</v>
      </c>
      <c r="BO24" s="180">
        <f>((SUM(Labor!BF23,Labor!BF25,Labor!BF27)+BO20*Inputs!$C$15*'Pecan budget'!$D$26+BO20/Inputs!$C$3*(1-Inputs!$C$17)*Inputs!$C$19*Inputs!$C$16*'Pecan budget'!$D$27+SUM('Pecan budget'!$F$35:$F$36,'Pecan budget'!$F$25,'Pecan budget'!$F$24)*IF(Investment!$D$49=Investment!$L$5,Investment!$D$50,Investment!$E$50)*IF('Long-term Model Summary'!BO20&gt;1,1,0)+(SUM(Labor!BF23,Labor!BF25,Labor!BF27)+BO20*Inputs!$C$15*'Pecan budget'!$D$26+BO20/Inputs!$C$3*(1-Inputs!$C$17)*Inputs!$C$19*Inputs!$C$16*'Pecan budget'!$D$27+SUM('Pecan budget'!$F$25,'Pecan budget'!$F$24)*IF(Investment!$D$49=Investment!$L$5,Investment!$D$50,Investment!$E$50)*IF('Long-term Model Summary'!BO20&gt;1,1,0))*Inputs!$K$8/2)*Inputs!$C$3)</f>
        <v>17237.318883669632</v>
      </c>
      <c r="BP24" s="180">
        <f>((SUM(Labor!BG23,Labor!BG25,Labor!BG27)+BP20*Inputs!$C$15*'Pecan budget'!$D$26+BP20/Inputs!$C$3*(1-Inputs!$C$17)*Inputs!$C$19*Inputs!$C$16*'Pecan budget'!$D$27+SUM('Pecan budget'!$F$35:$F$36,'Pecan budget'!$F$25,'Pecan budget'!$F$24)*IF(Investment!$D$49=Investment!$L$5,Investment!$D$50,Investment!$E$50)*IF('Long-term Model Summary'!BP20&gt;1,1,0)+(SUM(Labor!BG23,Labor!BG25,Labor!BG27)+BP20*Inputs!$C$15*'Pecan budget'!$D$26+BP20/Inputs!$C$3*(1-Inputs!$C$17)*Inputs!$C$19*Inputs!$C$16*'Pecan budget'!$D$27+SUM('Pecan budget'!$F$25,'Pecan budget'!$F$24)*IF(Investment!$D$49=Investment!$L$5,Investment!$D$50,Investment!$E$50)*IF('Long-term Model Summary'!BP20&gt;1,1,0))*Inputs!$K$8/2)*Inputs!$C$3)</f>
        <v>17304.720389707658</v>
      </c>
      <c r="BQ24" s="180">
        <f>((SUM(Labor!BH23,Labor!BH25,Labor!BH27)+BQ20*Inputs!$C$15*'Pecan budget'!$D$26+BQ20/Inputs!$C$3*(1-Inputs!$C$17)*Inputs!$C$19*Inputs!$C$16*'Pecan budget'!$D$27+SUM('Pecan budget'!$F$35:$F$36,'Pecan budget'!$F$25,'Pecan budget'!$F$24)*IF(Investment!$D$49=Investment!$L$5,Investment!$D$50,Investment!$E$50)*IF('Long-term Model Summary'!BQ20&gt;1,1,0)+(SUM(Labor!BH23,Labor!BH25,Labor!BH27)+BQ20*Inputs!$C$15*'Pecan budget'!$D$26+BQ20/Inputs!$C$3*(1-Inputs!$C$17)*Inputs!$C$19*Inputs!$C$16*'Pecan budget'!$D$27+SUM('Pecan budget'!$F$25,'Pecan budget'!$F$24)*IF(Investment!$D$49=Investment!$L$5,Investment!$D$50,Investment!$E$50)*IF('Long-term Model Summary'!BQ20&gt;1,1,0))*Inputs!$K$8/2)*Inputs!$C$3)</f>
        <v>17372.79591080606</v>
      </c>
      <c r="BR24" s="180">
        <f>((SUM(Labor!BI23,Labor!BI25,Labor!BI27)+BR20*Inputs!$C$15*'Pecan budget'!$D$26+BR20/Inputs!$C$3*(1-Inputs!$C$17)*Inputs!$C$19*Inputs!$C$16*'Pecan budget'!$D$27+SUM('Pecan budget'!$F$35:$F$36,'Pecan budget'!$F$25,'Pecan budget'!$F$24)*IF(Investment!$D$49=Investment!$L$5,Investment!$D$50,Investment!$E$50)*IF('Long-term Model Summary'!BR20&gt;1,1,0)+(SUM(Labor!BI23,Labor!BI25,Labor!BI27)+BR20*Inputs!$C$15*'Pecan budget'!$D$26+BR20/Inputs!$C$3*(1-Inputs!$C$17)*Inputs!$C$19*Inputs!$C$16*'Pecan budget'!$D$27+SUM('Pecan budget'!$F$25,'Pecan budget'!$F$24)*IF(Investment!$D$49=Investment!$L$5,Investment!$D$50,Investment!$E$50)*IF('Long-term Model Summary'!BR20&gt;1,1,0))*Inputs!$K$8/2)*Inputs!$C$3)</f>
        <v>17441.552187115449</v>
      </c>
      <c r="BS24" s="180">
        <f>((SUM(Labor!BJ23,Labor!BJ25,Labor!BJ27)+BS20*Inputs!$C$15*'Pecan budget'!$D$26+BS20/Inputs!$C$3*(1-Inputs!$C$17)*Inputs!$C$19*Inputs!$C$16*'Pecan budget'!$D$27+SUM('Pecan budget'!$F$35:$F$36,'Pecan budget'!$F$25,'Pecan budget'!$F$24)*IF(Investment!$D$49=Investment!$L$5,Investment!$D$50,Investment!$E$50)*IF('Long-term Model Summary'!BS20&gt;1,1,0)+(SUM(Labor!BJ23,Labor!BJ25,Labor!BJ27)+BS20*Inputs!$C$15*'Pecan budget'!$D$26+BS20/Inputs!$C$3*(1-Inputs!$C$17)*Inputs!$C$19*Inputs!$C$16*'Pecan budget'!$D$27+SUM('Pecan budget'!$F$25,'Pecan budget'!$F$24)*IF(Investment!$D$49=Investment!$L$5,Investment!$D$50,Investment!$E$50)*IF('Long-term Model Summary'!BS20&gt;1,1,0))*Inputs!$K$8/2)*Inputs!$C$3)</f>
        <v>17510.996026187928</v>
      </c>
      <c r="BT24" s="180">
        <f>((SUM(Labor!BK23,Labor!BK25,Labor!BK27)+BT20*Inputs!$C$15*'Pecan budget'!$D$26+BT20/Inputs!$C$3*(1-Inputs!$C$17)*Inputs!$C$19*Inputs!$C$16*'Pecan budget'!$D$27+SUM('Pecan budget'!$F$35:$F$36,'Pecan budget'!$F$25,'Pecan budget'!$F$24)*IF(Investment!$D$49=Investment!$L$5,Investment!$D$50,Investment!$E$50)*IF('Long-term Model Summary'!BT20&gt;1,1,0)+(SUM(Labor!BK23,Labor!BK25,Labor!BK27)+BT20*Inputs!$C$15*'Pecan budget'!$D$26+BT20/Inputs!$C$3*(1-Inputs!$C$17)*Inputs!$C$19*Inputs!$C$16*'Pecan budget'!$D$27+SUM('Pecan budget'!$F$25,'Pecan budget'!$F$24)*IF(Investment!$D$49=Investment!$L$5,Investment!$D$50,Investment!$E$50)*IF('Long-term Model Summary'!BT20&gt;1,1,0))*Inputs!$K$8/2)*Inputs!$C$3)</f>
        <v>17510.996026187928</v>
      </c>
      <c r="BU24" s="180">
        <f>((SUM(Labor!BL23,Labor!BL25,Labor!BL27)+BU20*Inputs!$C$15*'Pecan budget'!$D$26+BU20/Inputs!$C$3*(1-Inputs!$C$17)*Inputs!$C$19*Inputs!$C$16*'Pecan budget'!$D$27+SUM('Pecan budget'!$F$35:$F$36,'Pecan budget'!$F$25,'Pecan budget'!$F$24)*IF(Investment!$D$49=Investment!$L$5,Investment!$D$50,Investment!$E$50)*IF('Long-term Model Summary'!BU20&gt;1,1,0)+(SUM(Labor!BL23,Labor!BL25,Labor!BL27)+BU20*Inputs!$C$15*'Pecan budget'!$D$26+BU20/Inputs!$C$3*(1-Inputs!$C$17)*Inputs!$C$19*Inputs!$C$16*'Pecan budget'!$D$27+SUM('Pecan budget'!$F$25,'Pecan budget'!$F$24)*IF(Investment!$D$49=Investment!$L$5,Investment!$D$50,Investment!$E$50)*IF('Long-term Model Summary'!BU20&gt;1,1,0))*Inputs!$K$8/2)*Inputs!$C$3)</f>
        <v>17510.996026187928</v>
      </c>
      <c r="BV24" s="180">
        <f>((SUM(Labor!BM23,Labor!BM25,Labor!BM27)+BV20*Inputs!$C$15*'Pecan budget'!$D$26+BV20/Inputs!$C$3*(1-Inputs!$C$17)*Inputs!$C$19*Inputs!$C$16*'Pecan budget'!$D$27+SUM('Pecan budget'!$F$35:$F$36,'Pecan budget'!$F$25,'Pecan budget'!$F$24)*IF(Investment!$D$49=Investment!$L$5,Investment!$D$50,Investment!$E$50)*IF('Long-term Model Summary'!BV20&gt;1,1,0)+(SUM(Labor!BM23,Labor!BM25,Labor!BM27)+BV20*Inputs!$C$15*'Pecan budget'!$D$26+BV20/Inputs!$C$3*(1-Inputs!$C$17)*Inputs!$C$19*Inputs!$C$16*'Pecan budget'!$D$27+SUM('Pecan budget'!$F$25,'Pecan budget'!$F$24)*IF(Investment!$D$49=Investment!$L$5,Investment!$D$50,Investment!$E$50)*IF('Long-term Model Summary'!BV20&gt;1,1,0))*Inputs!$K$8/2)*Inputs!$C$3)</f>
        <v>17510.996026187928</v>
      </c>
      <c r="BW24" s="180">
        <f>((SUM(Labor!BN23,Labor!BN25,Labor!BN27)+BW20*Inputs!$C$15*'Pecan budget'!$D$26+BW20/Inputs!$C$3*(1-Inputs!$C$17)*Inputs!$C$19*Inputs!$C$16*'Pecan budget'!$D$27+SUM('Pecan budget'!$F$35:$F$36,'Pecan budget'!$F$25,'Pecan budget'!$F$24)*IF(Investment!$D$49=Investment!$L$5,Investment!$D$50,Investment!$E$50)*IF('Long-term Model Summary'!BW20&gt;1,1,0)+(SUM(Labor!BN23,Labor!BN25,Labor!BN27)+BW20*Inputs!$C$15*'Pecan budget'!$D$26+BW20/Inputs!$C$3*(1-Inputs!$C$17)*Inputs!$C$19*Inputs!$C$16*'Pecan budget'!$D$27+SUM('Pecan budget'!$F$25,'Pecan budget'!$F$24)*IF(Investment!$D$49=Investment!$L$5,Investment!$D$50,Investment!$E$50)*IF('Long-term Model Summary'!BW20&gt;1,1,0))*Inputs!$K$8/2)*Inputs!$C$3)</f>
        <v>17510.996026187928</v>
      </c>
      <c r="BX24" s="180">
        <f>((SUM(Labor!BO23,Labor!BO25,Labor!BO27)+BX20*Inputs!$C$15*'Pecan budget'!$D$26+BX20/Inputs!$C$3*(1-Inputs!$C$17)*Inputs!$C$19*Inputs!$C$16*'Pecan budget'!$D$27+SUM('Pecan budget'!$F$35:$F$36,'Pecan budget'!$F$25,'Pecan budget'!$F$24)*IF(Investment!$D$49=Investment!$L$5,Investment!$D$50,Investment!$E$50)*IF('Long-term Model Summary'!BX20&gt;1,1,0)+(SUM(Labor!BO23,Labor!BO25,Labor!BO27)+BX20*Inputs!$C$15*'Pecan budget'!$D$26+BX20/Inputs!$C$3*(1-Inputs!$C$17)*Inputs!$C$19*Inputs!$C$16*'Pecan budget'!$D$27+SUM('Pecan budget'!$F$25,'Pecan budget'!$F$24)*IF(Investment!$D$49=Investment!$L$5,Investment!$D$50,Investment!$E$50)*IF('Long-term Model Summary'!BX20&gt;1,1,0))*Inputs!$K$8/2)*Inputs!$C$3)</f>
        <v>17510.996026187928</v>
      </c>
      <c r="BY24" s="180">
        <f>((SUM(Labor!BP23,Labor!BP25,Labor!BP27)+BY20*Inputs!$C$15*'Pecan budget'!$D$26+BY20/Inputs!$C$3*(1-Inputs!$C$17)*Inputs!$C$19*Inputs!$C$16*'Pecan budget'!$D$27+SUM('Pecan budget'!$F$35:$F$36,'Pecan budget'!$F$25,'Pecan budget'!$F$24)*IF(Investment!$D$49=Investment!$L$5,Investment!$D$50,Investment!$E$50)*IF('Long-term Model Summary'!BY20&gt;1,1,0)+(SUM(Labor!BP23,Labor!BP25,Labor!BP27)+BY20*Inputs!$C$15*'Pecan budget'!$D$26+BY20/Inputs!$C$3*(1-Inputs!$C$17)*Inputs!$C$19*Inputs!$C$16*'Pecan budget'!$D$27+SUM('Pecan budget'!$F$25,'Pecan budget'!$F$24)*IF(Investment!$D$49=Investment!$L$5,Investment!$D$50,Investment!$E$50)*IF('Long-term Model Summary'!BY20&gt;1,1,0))*Inputs!$K$8/2)*Inputs!$C$3)</f>
        <v>17510.996026187928</v>
      </c>
      <c r="BZ24" s="180">
        <f>((SUM(Labor!BQ23,Labor!BQ25,Labor!BQ27)+BZ20*Inputs!$C$15*'Pecan budget'!$D$26+BZ20/Inputs!$C$3*(1-Inputs!$C$17)*Inputs!$C$19*Inputs!$C$16*'Pecan budget'!$D$27+SUM('Pecan budget'!$F$35:$F$36,'Pecan budget'!$F$25,'Pecan budget'!$F$24)*IF(Investment!$D$49=Investment!$L$5,Investment!$D$50,Investment!$E$50)*IF('Long-term Model Summary'!BZ20&gt;1,1,0)+(SUM(Labor!BQ23,Labor!BQ25,Labor!BQ27)+BZ20*Inputs!$C$15*'Pecan budget'!$D$26+BZ20/Inputs!$C$3*(1-Inputs!$C$17)*Inputs!$C$19*Inputs!$C$16*'Pecan budget'!$D$27+SUM('Pecan budget'!$F$25,'Pecan budget'!$F$24)*IF(Investment!$D$49=Investment!$L$5,Investment!$D$50,Investment!$E$50)*IF('Long-term Model Summary'!BZ20&gt;1,1,0))*Inputs!$K$8/2)*Inputs!$C$3)</f>
        <v>17510.996026187928</v>
      </c>
      <c r="CA24" s="180">
        <f>((SUM(Labor!BR23,Labor!BR25,Labor!BR27)+CA20*Inputs!$C$15*'Pecan budget'!$D$26+CA20/Inputs!$C$3*(1-Inputs!$C$17)*Inputs!$C$19*Inputs!$C$16*'Pecan budget'!$D$27+SUM('Pecan budget'!$F$35:$F$36,'Pecan budget'!$F$25,'Pecan budget'!$F$24)*IF(Investment!$D$49=Investment!$L$5,Investment!$D$50,Investment!$E$50)*IF('Long-term Model Summary'!CA20&gt;1,1,0)+(SUM(Labor!BR23,Labor!BR25,Labor!BR27)+CA20*Inputs!$C$15*'Pecan budget'!$D$26+CA20/Inputs!$C$3*(1-Inputs!$C$17)*Inputs!$C$19*Inputs!$C$16*'Pecan budget'!$D$27+SUM('Pecan budget'!$F$25,'Pecan budget'!$F$24)*IF(Investment!$D$49=Investment!$L$5,Investment!$D$50,Investment!$E$50)*IF('Long-term Model Summary'!CA20&gt;1,1,0))*Inputs!$K$8/2)*Inputs!$C$3)</f>
        <v>17510.996026187928</v>
      </c>
      <c r="CB24" s="180">
        <f>((SUM(Labor!BS23,Labor!BS25,Labor!BS27)+CB20*Inputs!$C$15*'Pecan budget'!$D$26+CB20/Inputs!$C$3*(1-Inputs!$C$17)*Inputs!$C$19*Inputs!$C$16*'Pecan budget'!$D$27+SUM('Pecan budget'!$F$35:$F$36,'Pecan budget'!$F$25,'Pecan budget'!$F$24)*IF(Investment!$D$49=Investment!$L$5,Investment!$D$50,Investment!$E$50)*IF('Long-term Model Summary'!CB20&gt;1,1,0)+(SUM(Labor!BS23,Labor!BS25,Labor!BS27)+CB20*Inputs!$C$15*'Pecan budget'!$D$26+CB20/Inputs!$C$3*(1-Inputs!$C$17)*Inputs!$C$19*Inputs!$C$16*'Pecan budget'!$D$27+SUM('Pecan budget'!$F$25,'Pecan budget'!$F$24)*IF(Investment!$D$49=Investment!$L$5,Investment!$D$50,Investment!$E$50)*IF('Long-term Model Summary'!CB20&gt;1,1,0))*Inputs!$K$8/2)*Inputs!$C$3)</f>
        <v>17510.996026187928</v>
      </c>
      <c r="CC24" s="180">
        <f>((SUM(Labor!BT23,Labor!BT25,Labor!BT27)+CC20*Inputs!$C$15*'Pecan budget'!$D$26+CC20/Inputs!$C$3*(1-Inputs!$C$17)*Inputs!$C$19*Inputs!$C$16*'Pecan budget'!$D$27+SUM('Pecan budget'!$F$35:$F$36,'Pecan budget'!$F$25,'Pecan budget'!$F$24)*IF(Investment!$D$49=Investment!$L$5,Investment!$D$50,Investment!$E$50)*IF('Long-term Model Summary'!CC20&gt;1,1,0)+(SUM(Labor!BT23,Labor!BT25,Labor!BT27)+CC20*Inputs!$C$15*'Pecan budget'!$D$26+CC20/Inputs!$C$3*(1-Inputs!$C$17)*Inputs!$C$19*Inputs!$C$16*'Pecan budget'!$D$27+SUM('Pecan budget'!$F$25,'Pecan budget'!$F$24)*IF(Investment!$D$49=Investment!$L$5,Investment!$D$50,Investment!$E$50)*IF('Long-term Model Summary'!CC20&gt;1,1,0))*Inputs!$K$8/2)*Inputs!$C$3)</f>
        <v>17510.996026187928</v>
      </c>
      <c r="CD24" s="180">
        <f>((SUM(Labor!BU23,Labor!BU25,Labor!BU27)+CD20*Inputs!$C$15*'Pecan budget'!$D$26+CD20/Inputs!$C$3*(1-Inputs!$C$17)*Inputs!$C$19*Inputs!$C$16*'Pecan budget'!$D$27+SUM('Pecan budget'!$F$35:$F$36,'Pecan budget'!$F$25,'Pecan budget'!$F$24)*IF(Investment!$D$49=Investment!$L$5,Investment!$D$50,Investment!$E$50)*IF('Long-term Model Summary'!CD20&gt;1,1,0)+(SUM(Labor!BU23,Labor!BU25,Labor!BU27)+CD20*Inputs!$C$15*'Pecan budget'!$D$26+CD20/Inputs!$C$3*(1-Inputs!$C$17)*Inputs!$C$19*Inputs!$C$16*'Pecan budget'!$D$27+SUM('Pecan budget'!$F$25,'Pecan budget'!$F$24)*IF(Investment!$D$49=Investment!$L$5,Investment!$D$50,Investment!$E$50)*IF('Long-term Model Summary'!CD20&gt;1,1,0))*Inputs!$K$8/2)*Inputs!$C$3)</f>
        <v>17510.996026187928</v>
      </c>
      <c r="CE24" s="180">
        <f>((SUM(Labor!BV23,Labor!BV25,Labor!BV27)+CE20*Inputs!$C$15*'Pecan budget'!$D$26+CE20/Inputs!$C$3*(1-Inputs!$C$17)*Inputs!$C$19*Inputs!$C$16*'Pecan budget'!$D$27+SUM('Pecan budget'!$F$35:$F$36,'Pecan budget'!$F$25,'Pecan budget'!$F$24)*IF(Investment!$D$49=Investment!$L$5,Investment!$D$50,Investment!$E$50)*IF('Long-term Model Summary'!CE20&gt;1,1,0)+(SUM(Labor!BV23,Labor!BV25,Labor!BV27)+CE20*Inputs!$C$15*'Pecan budget'!$D$26+CE20/Inputs!$C$3*(1-Inputs!$C$17)*Inputs!$C$19*Inputs!$C$16*'Pecan budget'!$D$27+SUM('Pecan budget'!$F$25,'Pecan budget'!$F$24)*IF(Investment!$D$49=Investment!$L$5,Investment!$D$50,Investment!$E$50)*IF('Long-term Model Summary'!CE20&gt;1,1,0))*Inputs!$K$8/2)*Inputs!$C$3)</f>
        <v>17510.996026187928</v>
      </c>
      <c r="CF24" s="180">
        <f>((SUM(Labor!BW23,Labor!BW25,Labor!BW27)+CF20*Inputs!$C$15*'Pecan budget'!$D$26+CF20/Inputs!$C$3*(1-Inputs!$C$17)*Inputs!$C$19*Inputs!$C$16*'Pecan budget'!$D$27+SUM('Pecan budget'!$F$35:$F$36,'Pecan budget'!$F$25,'Pecan budget'!$F$24)*IF(Investment!$D$49=Investment!$L$5,Investment!$D$50,Investment!$E$50)*IF('Long-term Model Summary'!CF20&gt;1,1,0)+(SUM(Labor!BW23,Labor!BW25,Labor!BW27)+CF20*Inputs!$C$15*'Pecan budget'!$D$26+CF20/Inputs!$C$3*(1-Inputs!$C$17)*Inputs!$C$19*Inputs!$C$16*'Pecan budget'!$D$27+SUM('Pecan budget'!$F$25,'Pecan budget'!$F$24)*IF(Investment!$D$49=Investment!$L$5,Investment!$D$50,Investment!$E$50)*IF('Long-term Model Summary'!CF20&gt;1,1,0))*Inputs!$K$8/2)*Inputs!$C$3)</f>
        <v>17510.996026187928</v>
      </c>
      <c r="CG24" s="180">
        <f>((SUM(Labor!BX23,Labor!BX25,Labor!BX27)+CG20*Inputs!$C$15*'Pecan budget'!$D$26+CG20/Inputs!$C$3*(1-Inputs!$C$17)*Inputs!$C$19*Inputs!$C$16*'Pecan budget'!$D$27+SUM('Pecan budget'!$F$35:$F$36,'Pecan budget'!$F$25,'Pecan budget'!$F$24)*IF(Investment!$D$49=Investment!$L$5,Investment!$D$50,Investment!$E$50)*IF('Long-term Model Summary'!CG20&gt;1,1,0)+(SUM(Labor!BX23,Labor!BX25,Labor!BX27)+CG20*Inputs!$C$15*'Pecan budget'!$D$26+CG20/Inputs!$C$3*(1-Inputs!$C$17)*Inputs!$C$19*Inputs!$C$16*'Pecan budget'!$D$27+SUM('Pecan budget'!$F$25,'Pecan budget'!$F$24)*IF(Investment!$D$49=Investment!$L$5,Investment!$D$50,Investment!$E$50)*IF('Long-term Model Summary'!CG20&gt;1,1,0))*Inputs!$K$8/2)*Inputs!$C$3)</f>
        <v>17510.996026187928</v>
      </c>
      <c r="CH24" s="299">
        <f>((SUM(Labor!BY23,Labor!BY25,Labor!BY27)+CH20*Inputs!$C$15*'Pecan budget'!$D$26+CH20/Inputs!$C$3*(1-Inputs!$C$17)*Inputs!$C$19*Inputs!$C$16*'Pecan budget'!$D$27+SUM('Pecan budget'!$F$35:$F$36,'Pecan budget'!$F$25,'Pecan budget'!$F$24)*IF(Investment!$D$49=Investment!$L$5,Investment!$D$50,Investment!$E$50)*IF('Long-term Model Summary'!CH20&gt;1,1,0)+(SUM(Labor!BY23,Labor!BY25,Labor!BY27)+CH20*Inputs!$C$15*'Pecan budget'!$D$26+CH20/Inputs!$C$3*(1-Inputs!$C$17)*Inputs!$C$19*Inputs!$C$16*'Pecan budget'!$D$27+SUM('Pecan budget'!$F$25,'Pecan budget'!$F$24)*IF(Investment!$D$49=Investment!$L$5,Investment!$D$50,Investment!$E$50)*IF('Long-term Model Summary'!CH20&gt;1,1,0))*Inputs!$K$8/2)*Inputs!$C$3)</f>
        <v>17510.996026187928</v>
      </c>
    </row>
    <row r="25" spans="10:86" x14ac:dyDescent="0.3">
      <c r="J25" s="297" t="s">
        <v>589</v>
      </c>
      <c r="K25" s="180">
        <f>Establishment!F36*Inputs!$C$3</f>
        <v>52600.265250000004</v>
      </c>
      <c r="L25" s="235">
        <f>IF(L19&lt;$L$3,Establishment!$I$36*Inputs!$C$3-IF(K28&lt;0,K28*Inputs!$K$10,0),(SUM('Pecan budget'!$F$10,'Pecan budget'!$F$17,'Pecan budget'!$F$22:$F$23,'Pecan budget'!$F$29:$F$30,'Pecan budget'!$F$37:$F$38)+SUM('Pecan budget'!$F$24:$F$25,'Pecan budget'!$F$35:$F$36)*IF(Investment!$D$49=Investment!$L$5,Investment!$D$51,Investment!$E$51)+SUM(Labor!C21,Labor!C29,Labor!C31))*Inputs!$C$3+(SUM('Pecan budget'!$F$10,'Pecan budget'!$F$17,'Pecan budget'!$F$22:$F$23,'Pecan budget'!$F$29:$F$30,Labor!C21,Labor!C29,Labor!C31,SUM('Pecan budget'!$F$24:$F$25)*IF(Investment!$D$49=Investment!$L$5,Investment!$D$51,Investment!$E$51))*Inputs!$C$3*Inputs!$K$8/2)-IF(K28&gt;0,0,K28*Inputs!$K$10))</f>
        <v>19504.96125</v>
      </c>
      <c r="M25" s="235">
        <f>IF(M19&lt;$L$3,Establishment!$I$36*Inputs!$C$3-IF(L28&lt;0,L28*Inputs!$K$10,0),(SUM('Pecan budget'!$F$10,'Pecan budget'!$F$17,'Pecan budget'!$F$22:$F$23,'Pecan budget'!$F$29:$F$30,'Pecan budget'!$F$37:$F$38)+SUM('Pecan budget'!$F$24:$F$25,'Pecan budget'!$F$35:$F$36)*IF(Investment!$D$49=Investment!$L$5,Investment!$D$51,Investment!$E$51)+SUM(Labor!D21,Labor!D29,Labor!D31))*Inputs!$C$3+(SUM('Pecan budget'!$F$10,'Pecan budget'!$F$17,'Pecan budget'!$F$22:$F$23,'Pecan budget'!$F$29:$F$30,Labor!D21,Labor!D29,Labor!D31,SUM('Pecan budget'!$F$24:$F$25)*IF(Investment!$D$49=Investment!$L$5,Investment!$D$51,Investment!$E$51))*Inputs!$C$3*Inputs!$K$8/2)-IF(L28&gt;0,0,L28*Inputs!$K$10))</f>
        <v>19504.96125</v>
      </c>
      <c r="N25" s="235">
        <f>IF(N19&lt;$L$3,Establishment!$I$36*Inputs!$C$3-IF(M28&lt;0,M28*Inputs!$K$10,0),(SUM('Pecan budget'!$F$10,'Pecan budget'!$F$17,'Pecan budget'!$F$22:$F$23,'Pecan budget'!$F$29:$F$30,'Pecan budget'!$F$37:$F$38)+SUM('Pecan budget'!$F$24:$F$25,'Pecan budget'!$F$35:$F$36)*IF(Investment!$D$49=Investment!$L$5,Investment!$D$51,Investment!$E$51)+SUM(Labor!E21,Labor!E29,Labor!E31))*Inputs!$C$3+(SUM('Pecan budget'!$F$10,'Pecan budget'!$F$17,'Pecan budget'!$F$22:$F$23,'Pecan budget'!$F$29:$F$30,Labor!E21,Labor!E29,Labor!E31,SUM('Pecan budget'!$F$24:$F$25)*IF(Investment!$D$49=Investment!$L$5,Investment!$D$51,Investment!$E$51))*Inputs!$C$3*Inputs!$K$8/2)-IF(M28&gt;0,0,M28*Inputs!$K$10))</f>
        <v>19504.96125</v>
      </c>
      <c r="O25" s="235">
        <f>IF(O19&lt;$L$3,Establishment!$I$36*Inputs!$C$3-IF(N28&lt;0,N28*Inputs!$K$10,0),(SUM('Pecan budget'!$F$10,'Pecan budget'!$F$17,'Pecan budget'!$F$22:$F$23,'Pecan budget'!$F$29:$F$30,'Pecan budget'!$F$37:$F$38)+SUM('Pecan budget'!$F$24:$F$25,'Pecan budget'!$F$35:$F$36)*IF(Investment!$D$49=Investment!$L$5,Investment!$D$51,Investment!$E$51)+SUM(Labor!F21,Labor!F29,Labor!F31))*Inputs!$C$3+(SUM('Pecan budget'!$F$10,'Pecan budget'!$F$17,'Pecan budget'!$F$22:$F$23,'Pecan budget'!$F$29:$F$30,Labor!F21,Labor!F29,Labor!F31,SUM('Pecan budget'!$F$24:$F$25)*IF(Investment!$D$49=Investment!$L$5,Investment!$D$51,Investment!$E$51))*Inputs!$C$3*Inputs!$K$8/2)-IF(N28&gt;0,0,N28*Inputs!$K$10))</f>
        <v>19504.96125</v>
      </c>
      <c r="P25" s="235">
        <f>IF(P19&lt;$L$3,Establishment!$I$36*Inputs!$C$3-IF(O28&lt;0,O28*Inputs!$K$10,0),(SUM('Pecan budget'!$F$10,'Pecan budget'!$F$17,'Pecan budget'!$F$22:$F$23,'Pecan budget'!$F$29:$F$30,'Pecan budget'!$F$37:$F$38)+SUM('Pecan budget'!$F$24:$F$25,'Pecan budget'!$F$35:$F$36)*IF(Investment!$D$49=Investment!$L$5,Investment!$D$51,Investment!$E$51)+SUM(Labor!G21,Labor!G29,Labor!G31))*Inputs!$C$3+(SUM('Pecan budget'!$F$10,'Pecan budget'!$F$17,'Pecan budget'!$F$22:$F$23,'Pecan budget'!$F$29:$F$30,Labor!G21,Labor!G29,Labor!G31,SUM('Pecan budget'!$F$24:$F$25)*IF(Investment!$D$49=Investment!$L$5,Investment!$D$51,Investment!$E$51))*Inputs!$C$3*Inputs!$K$8/2)-IF(O28&gt;0,0,O28*Inputs!$K$10))</f>
        <v>19504.96125</v>
      </c>
      <c r="Q25" s="235">
        <f>IF(Q19&lt;$L$3,Establishment!$I$36*Inputs!$C$3-IF(P28&lt;0,P28*Inputs!$K$10,0),(SUM('Pecan budget'!$F$10,'Pecan budget'!$F$17,'Pecan budget'!$F$22:$F$23,'Pecan budget'!$F$29:$F$30,'Pecan budget'!$F$37:$F$38)+SUM('Pecan budget'!$F$24:$F$25,'Pecan budget'!$F$35:$F$36)*IF(Investment!$D$49=Investment!$L$5,Investment!$D$51,Investment!$E$51)+SUM(Labor!H21,Labor!H29,Labor!H31))*Inputs!$C$3+(SUM('Pecan budget'!$F$10,'Pecan budget'!$F$17,'Pecan budget'!$F$22:$F$23,'Pecan budget'!$F$29:$F$30,Labor!H21,Labor!H29,Labor!H31,SUM('Pecan budget'!$F$24:$F$25)*IF(Investment!$D$49=Investment!$L$5,Investment!$D$51,Investment!$E$51))*Inputs!$C$3*Inputs!$K$8/2)-IF(P28&gt;0,0,P28*Inputs!$K$10))</f>
        <v>19504.96125</v>
      </c>
      <c r="R25" s="235">
        <f>IF(R19&lt;$L$3,Establishment!$I$36*Inputs!$C$3-IF(Q28&lt;0,Q28*Inputs!$K$10,0),(SUM('Pecan budget'!$F$10,'Pecan budget'!$F$17,'Pecan budget'!$F$22:$F$23,'Pecan budget'!$F$29:$F$30,'Pecan budget'!$F$37:$F$38)+SUM('Pecan budget'!$F$24:$F$25,'Pecan budget'!$F$35:$F$36)*IF(Investment!$D$49=Investment!$L$5,Investment!$D$51,Investment!$E$51)+SUM(Labor!I21,Labor!I29,Labor!I31))*Inputs!$C$3+(SUM('Pecan budget'!$F$10,'Pecan budget'!$F$17,'Pecan budget'!$F$22:$F$23,'Pecan budget'!$F$29:$F$30,Labor!I21,Labor!I29,Labor!I31,SUM('Pecan budget'!$F$24:$F$25)*IF(Investment!$D$49=Investment!$L$5,Investment!$D$51,Investment!$E$51))*Inputs!$C$3*Inputs!$K$8/2)-IF(Q28&gt;0,0,Q28*Inputs!$K$10))</f>
        <v>19504.96125</v>
      </c>
      <c r="S25" s="235">
        <f>IF(S19&lt;$L$3,Establishment!$I$36*Inputs!$C$3-IF(R28&lt;0,R28*Inputs!$K$10,0),(SUM('Pecan budget'!$F$10,'Pecan budget'!$F$17,'Pecan budget'!$F$22:$F$23,'Pecan budget'!$F$29:$F$30,'Pecan budget'!$F$37:$F$38)+SUM('Pecan budget'!$F$24:$F$25,'Pecan budget'!$F$35:$F$36)*IF(Investment!$D$49=Investment!$L$5,Investment!$D$51,Investment!$E$51)+SUM(Labor!J21,Labor!J29,Labor!J31))*Inputs!$C$3+(SUM('Pecan budget'!$F$10,'Pecan budget'!$F$17,'Pecan budget'!$F$22:$F$23,'Pecan budget'!$F$29:$F$30,Labor!J21,Labor!J29,Labor!J31,SUM('Pecan budget'!$F$24:$F$25)*IF(Investment!$D$49=Investment!$L$5,Investment!$D$51,Investment!$E$51))*Inputs!$C$3*Inputs!$K$8/2)-IF(R28&gt;0,0,R28*Inputs!$K$10))</f>
        <v>19504.96125</v>
      </c>
      <c r="T25" s="235">
        <f>IF(T19&lt;$L$3,Establishment!$I$36*Inputs!$C$3-IF(S28&lt;0,S28*Inputs!$K$10,0),(SUM('Pecan budget'!$F$10,'Pecan budget'!$F$17,'Pecan budget'!$F$22:$F$23,'Pecan budget'!$F$29:$F$30,'Pecan budget'!$F$37:$F$38)+SUM('Pecan budget'!$F$24:$F$25,'Pecan budget'!$F$35:$F$36)*IF(Investment!$D$49=Investment!$L$5,Investment!$D$51,Investment!$E$51)+SUM(Labor!K21,Labor!K29,Labor!K31))*Inputs!$C$3+(SUM('Pecan budget'!$F$10,'Pecan budget'!$F$17,'Pecan budget'!$F$22:$F$23,'Pecan budget'!$F$29:$F$30,Labor!K21,Labor!K29,Labor!K31,SUM('Pecan budget'!$F$24:$F$25)*IF(Investment!$D$49=Investment!$L$5,Investment!$D$51,Investment!$E$51))*Inputs!$C$3*Inputs!$K$8/2)-IF(S28&gt;0,0,S28*Inputs!$K$10))</f>
        <v>20628.540053466073</v>
      </c>
      <c r="U25" s="235">
        <f>IF(U19&lt;$L$3,Establishment!$I$36*Inputs!$C$3-IF(T28&lt;0,T28*Inputs!$K$10,0),(SUM('Pecan budget'!$F$10,'Pecan budget'!$F$17,'Pecan budget'!$F$22:$F$23,'Pecan budget'!$F$29:$F$30,'Pecan budget'!$F$37:$F$38)+SUM('Pecan budget'!$F$24:$F$25,'Pecan budget'!$F$35:$F$36)*IF(Investment!$D$49=Investment!$L$5,Investment!$D$51,Investment!$E$51)+SUM(Labor!L21,Labor!L29,Labor!L31))*Inputs!$C$3+(SUM('Pecan budget'!$F$10,'Pecan budget'!$F$17,'Pecan budget'!$F$22:$F$23,'Pecan budget'!$F$29:$F$30,Labor!L21,Labor!L29,Labor!L31,SUM('Pecan budget'!$F$24:$F$25)*IF(Investment!$D$49=Investment!$L$5,Investment!$D$51,Investment!$E$51))*Inputs!$C$3*Inputs!$K$8/2)-IF(T28&gt;0,0,T28*Inputs!$K$10))</f>
        <v>20628.540053466073</v>
      </c>
      <c r="V25" s="235">
        <f>IF(V19&lt;$L$3,Establishment!$I$36*Inputs!$C$3-IF(U28&lt;0,U28*Inputs!$K$10,0),(SUM('Pecan budget'!$F$10,'Pecan budget'!$F$17,'Pecan budget'!$F$22:$F$23,'Pecan budget'!$F$29:$F$30,'Pecan budget'!$F$37:$F$38)+SUM('Pecan budget'!$F$24:$F$25,'Pecan budget'!$F$35:$F$36)*IF(Investment!$D$49=Investment!$L$5,Investment!$D$51,Investment!$E$51)+SUM(Labor!M21,Labor!M29,Labor!M31))*Inputs!$C$3+(SUM('Pecan budget'!$F$10,'Pecan budget'!$F$17,'Pecan budget'!$F$22:$F$23,'Pecan budget'!$F$29:$F$30,Labor!M21,Labor!M29,Labor!M31,SUM('Pecan budget'!$F$24:$F$25)*IF(Investment!$D$49=Investment!$L$5,Investment!$D$51,Investment!$E$51))*Inputs!$C$3*Inputs!$K$8/2)-IF(U28&gt;0,0,U28*Inputs!$K$10))</f>
        <v>20628.540053466073</v>
      </c>
      <c r="W25" s="235">
        <f>IF(W19&lt;$L$3,Establishment!$I$36*Inputs!$C$3-IF(V28&lt;0,V28*Inputs!$K$10,0),(SUM('Pecan budget'!$F$10,'Pecan budget'!$F$17,'Pecan budget'!$F$22:$F$23,'Pecan budget'!$F$29:$F$30,'Pecan budget'!$F$37:$F$38)+SUM('Pecan budget'!$F$24:$F$25,'Pecan budget'!$F$35:$F$36)*IF(Investment!$D$49=Investment!$L$5,Investment!$D$51,Investment!$E$51)+SUM(Labor!N21,Labor!N29,Labor!N31))*Inputs!$C$3+(SUM('Pecan budget'!$F$10,'Pecan budget'!$F$17,'Pecan budget'!$F$22:$F$23,'Pecan budget'!$F$29:$F$30,Labor!N21,Labor!N29,Labor!N31,SUM('Pecan budget'!$F$24:$F$25)*IF(Investment!$D$49=Investment!$L$5,Investment!$D$51,Investment!$E$51))*Inputs!$C$3*Inputs!$K$8/2)-IF(V28&gt;0,0,V28*Inputs!$K$10))</f>
        <v>20974.860053466073</v>
      </c>
      <c r="X25" s="235">
        <f>IF(X19&lt;$L$3,Establishment!$I$36*Inputs!$C$3-IF(W28&lt;0,W28*Inputs!$K$10,0),(SUM('Pecan budget'!$F$10,'Pecan budget'!$F$17,'Pecan budget'!$F$22:$F$23,'Pecan budget'!$F$29:$F$30,'Pecan budget'!$F$37:$F$38)+SUM('Pecan budget'!$F$24:$F$25,'Pecan budget'!$F$35:$F$36)*IF(Investment!$D$49=Investment!$L$5,Investment!$D$51,Investment!$E$51)+SUM(Labor!O21,Labor!O29,Labor!O31))*Inputs!$C$3+(SUM('Pecan budget'!$F$10,'Pecan budget'!$F$17,'Pecan budget'!$F$22:$F$23,'Pecan budget'!$F$29:$F$30,Labor!O21,Labor!O29,Labor!O31,SUM('Pecan budget'!$F$24:$F$25)*IF(Investment!$D$49=Investment!$L$5,Investment!$D$51,Investment!$E$51))*Inputs!$C$3*Inputs!$K$8/2)-IF(W28&gt;0,0,W28*Inputs!$K$10))</f>
        <v>20974.860053466073</v>
      </c>
      <c r="Y25" s="235">
        <f>IF(Y19&lt;$L$3,Establishment!$I$36*Inputs!$C$3-IF(X28&lt;0,X28*Inputs!$K$10,0),(SUM('Pecan budget'!$F$10,'Pecan budget'!$F$17,'Pecan budget'!$F$22:$F$23,'Pecan budget'!$F$29:$F$30,'Pecan budget'!$F$37:$F$38)+SUM('Pecan budget'!$F$24:$F$25,'Pecan budget'!$F$35:$F$36)*IF(Investment!$D$49=Investment!$L$5,Investment!$D$51,Investment!$E$51)+SUM(Labor!P21,Labor!P29,Labor!P31))*Inputs!$C$3+(SUM('Pecan budget'!$F$10,'Pecan budget'!$F$17,'Pecan budget'!$F$22:$F$23,'Pecan budget'!$F$29:$F$30,Labor!P21,Labor!P29,Labor!P31,SUM('Pecan budget'!$F$24:$F$25)*IF(Investment!$D$49=Investment!$L$5,Investment!$D$51,Investment!$E$51))*Inputs!$C$3*Inputs!$K$8/2)-IF(X28&gt;0,0,X28*Inputs!$K$10))</f>
        <v>20974.860053466073</v>
      </c>
      <c r="Z25" s="235">
        <f>IF(Z19&lt;$L$3,Establishment!$I$36*Inputs!$C$3-IF(Y28&lt;0,Y28*Inputs!$K$10,0),(SUM('Pecan budget'!$F$10,'Pecan budget'!$F$17,'Pecan budget'!$F$22:$F$23,'Pecan budget'!$F$29:$F$30,'Pecan budget'!$F$37:$F$38)+SUM('Pecan budget'!$F$24:$F$25,'Pecan budget'!$F$35:$F$36)*IF(Investment!$D$49=Investment!$L$5,Investment!$D$51,Investment!$E$51)+SUM(Labor!Q21,Labor!Q29,Labor!Q31))*Inputs!$C$3+(SUM('Pecan budget'!$F$10,'Pecan budget'!$F$17,'Pecan budget'!$F$22:$F$23,'Pecan budget'!$F$29:$F$30,Labor!Q21,Labor!Q29,Labor!Q31,SUM('Pecan budget'!$F$24:$F$25)*IF(Investment!$D$49=Investment!$L$5,Investment!$D$51,Investment!$E$51))*Inputs!$C$3*Inputs!$K$8/2)-IF(Y28&gt;0,0,Y28*Inputs!$K$10))</f>
        <v>20974.860053466073</v>
      </c>
      <c r="AA25" s="235">
        <f>IF(AA19&lt;$L$3,Establishment!$I$36*Inputs!$C$3-IF(Z28&lt;0,Z28*Inputs!$K$10,0),(SUM('Pecan budget'!$F$10,'Pecan budget'!$F$17,'Pecan budget'!$F$22:$F$23,'Pecan budget'!$F$29:$F$30,'Pecan budget'!$F$37:$F$38)+SUM('Pecan budget'!$F$24:$F$25,'Pecan budget'!$F$35:$F$36)*IF(Investment!$D$49=Investment!$L$5,Investment!$D$51,Investment!$E$51)+SUM(Labor!R21,Labor!R29,Labor!R31))*Inputs!$C$3+(SUM('Pecan budget'!$F$10,'Pecan budget'!$F$17,'Pecan budget'!$F$22:$F$23,'Pecan budget'!$F$29:$F$30,Labor!R21,Labor!R29,Labor!R31,SUM('Pecan budget'!$F$24:$F$25)*IF(Investment!$D$49=Investment!$L$5,Investment!$D$51,Investment!$E$51))*Inputs!$C$3*Inputs!$K$8/2)-IF(Z28&gt;0,0,Z28*Inputs!$K$10))</f>
        <v>20974.860053466073</v>
      </c>
      <c r="AB25" s="235">
        <f>IF(AB19&lt;$L$3,Establishment!$I$36*Inputs!$C$3-IF(AA28&lt;0,AA28*Inputs!$K$10,0),(SUM('Pecan budget'!$F$10,'Pecan budget'!$F$17,'Pecan budget'!$F$22:$F$23,'Pecan budget'!$F$29:$F$30,'Pecan budget'!$F$37:$F$38)+SUM('Pecan budget'!$F$24:$F$25,'Pecan budget'!$F$35:$F$36)*IF(Investment!$D$49=Investment!$L$5,Investment!$D$51,Investment!$E$51)+SUM(Labor!S21,Labor!S29,Labor!S31))*Inputs!$C$3+(SUM('Pecan budget'!$F$10,'Pecan budget'!$F$17,'Pecan budget'!$F$22:$F$23,'Pecan budget'!$F$29:$F$30,Labor!S21,Labor!S29,Labor!S31,SUM('Pecan budget'!$F$24:$F$25)*IF(Investment!$D$49=Investment!$L$5,Investment!$D$51,Investment!$E$51))*Inputs!$C$3*Inputs!$K$8/2)-IF(AA28&gt;0,0,AA28*Inputs!$K$10))</f>
        <v>20974.860053466073</v>
      </c>
      <c r="AC25" s="235">
        <f>IF(AC19&lt;$L$3,Establishment!$I$36*Inputs!$C$3-IF(AB28&lt;0,AB28*Inputs!$K$10,0),(SUM('Pecan budget'!$F$10,'Pecan budget'!$F$17,'Pecan budget'!$F$22:$F$23,'Pecan budget'!$F$29:$F$30,'Pecan budget'!$F$37:$F$38)+SUM('Pecan budget'!$F$24:$F$25,'Pecan budget'!$F$35:$F$36)*IF(Investment!$D$49=Investment!$L$5,Investment!$D$51,Investment!$E$51)+SUM(Labor!T21,Labor!T29,Labor!T31))*Inputs!$C$3+(SUM('Pecan budget'!$F$10,'Pecan budget'!$F$17,'Pecan budget'!$F$22:$F$23,'Pecan budget'!$F$29:$F$30,Labor!T21,Labor!T29,Labor!T31,SUM('Pecan budget'!$F$24:$F$25)*IF(Investment!$D$49=Investment!$L$5,Investment!$D$51,Investment!$E$51))*Inputs!$C$3*Inputs!$K$8/2)-IF(AB28&gt;0,0,AB28*Inputs!$K$10))</f>
        <v>20974.860053466073</v>
      </c>
      <c r="AD25" s="235">
        <f>IF(AD19&lt;$L$3,Establishment!$I$36*Inputs!$C$3-IF(AC28&lt;0,AC28*Inputs!$K$10,0),(SUM('Pecan budget'!$F$10,'Pecan budget'!$F$17,'Pecan budget'!$F$22:$F$23,'Pecan budget'!$F$29:$F$30,'Pecan budget'!$F$37:$F$38)+SUM('Pecan budget'!$F$24:$F$25,'Pecan budget'!$F$35:$F$36)*IF(Investment!$D$49=Investment!$L$5,Investment!$D$51,Investment!$E$51)+SUM(Labor!U21,Labor!U29,Labor!U31))*Inputs!$C$3+(SUM('Pecan budget'!$F$10,'Pecan budget'!$F$17,'Pecan budget'!$F$22:$F$23,'Pecan budget'!$F$29:$F$30,Labor!U21,Labor!U29,Labor!U31,SUM('Pecan budget'!$F$24:$F$25)*IF(Investment!$D$49=Investment!$L$5,Investment!$D$51,Investment!$E$51))*Inputs!$C$3*Inputs!$K$8/2)-IF(AC28&gt;0,0,AC28*Inputs!$K$10))</f>
        <v>20974.860053466073</v>
      </c>
      <c r="AE25" s="235">
        <f>IF(AE19&lt;$L$3,Establishment!$I$36*Inputs!$C$3-IF(AD28&lt;0,AD28*Inputs!$K$10,0),(SUM('Pecan budget'!$F$10,'Pecan budget'!$F$17,'Pecan budget'!$F$22:$F$23,'Pecan budget'!$F$29:$F$30,'Pecan budget'!$F$37:$F$38)+SUM('Pecan budget'!$F$24:$F$25,'Pecan budget'!$F$35:$F$36)*IF(Investment!$D$49=Investment!$L$5,Investment!$D$51,Investment!$E$51)+SUM(Labor!V21,Labor!V29,Labor!V31))*Inputs!$C$3+(SUM('Pecan budget'!$F$10,'Pecan budget'!$F$17,'Pecan budget'!$F$22:$F$23,'Pecan budget'!$F$29:$F$30,Labor!V21,Labor!V29,Labor!V31,SUM('Pecan budget'!$F$24:$F$25)*IF(Investment!$D$49=Investment!$L$5,Investment!$D$51,Investment!$E$51))*Inputs!$C$3*Inputs!$K$8/2)-IF(AD28&gt;0,0,AD28*Inputs!$K$10))</f>
        <v>20974.860053466073</v>
      </c>
      <c r="AF25" s="235">
        <f>IF(AF19&lt;$L$3,Establishment!$I$36*Inputs!$C$3-IF(AE28&lt;0,AE28*Inputs!$K$10,0),(SUM('Pecan budget'!$F$10,'Pecan budget'!$F$17,'Pecan budget'!$F$22:$F$23,'Pecan budget'!$F$29:$F$30,'Pecan budget'!$F$37:$F$38)+SUM('Pecan budget'!$F$24:$F$25,'Pecan budget'!$F$35:$F$36)*IF(Investment!$D$49=Investment!$L$5,Investment!$D$51,Investment!$E$51)+SUM(Labor!W21,Labor!W29,Labor!W31))*Inputs!$C$3+(SUM('Pecan budget'!$F$10,'Pecan budget'!$F$17,'Pecan budget'!$F$22:$F$23,'Pecan budget'!$F$29:$F$30,Labor!W21,Labor!W29,Labor!W31,SUM('Pecan budget'!$F$24:$F$25)*IF(Investment!$D$49=Investment!$L$5,Investment!$D$51,Investment!$E$51))*Inputs!$C$3*Inputs!$K$8/2)-IF(AE28&gt;0,0,AE28*Inputs!$K$10))</f>
        <v>20974.860053466073</v>
      </c>
      <c r="AG25" s="235">
        <f>IF(AG19&lt;$L$3,Establishment!$I$36*Inputs!$C$3-IF(AF28&lt;0,AF28*Inputs!$K$10,0),(SUM('Pecan budget'!$F$10,'Pecan budget'!$F$17,'Pecan budget'!$F$22:$F$23,'Pecan budget'!$F$29:$F$30,'Pecan budget'!$F$37:$F$38)+SUM('Pecan budget'!$F$24:$F$25,'Pecan budget'!$F$35:$F$36)*IF(Investment!$D$49=Investment!$L$5,Investment!$D$51,Investment!$E$51)+SUM(Labor!X21,Labor!X29,Labor!X31))*Inputs!$C$3+(SUM('Pecan budget'!$F$10,'Pecan budget'!$F$17,'Pecan budget'!$F$22:$F$23,'Pecan budget'!$F$29:$F$30,Labor!X21,Labor!X29,Labor!X31,SUM('Pecan budget'!$F$24:$F$25)*IF(Investment!$D$49=Investment!$L$5,Investment!$D$51,Investment!$E$51))*Inputs!$C$3*Inputs!$K$8/2)-IF(AF28&gt;0,0,AF28*Inputs!$K$10))</f>
        <v>20974.860053466073</v>
      </c>
      <c r="AH25" s="235">
        <f>IF(AH19&lt;$L$3,Establishment!$I$36*Inputs!$C$3-IF(AG28&lt;0,AG28*Inputs!$K$10,0),(SUM('Pecan budget'!$F$10,'Pecan budget'!$F$17,'Pecan budget'!$F$22:$F$23,'Pecan budget'!$F$29:$F$30,'Pecan budget'!$F$37:$F$38)+SUM('Pecan budget'!$F$24:$F$25,'Pecan budget'!$F$35:$F$36)*IF(Investment!$D$49=Investment!$L$5,Investment!$D$51,Investment!$E$51)+SUM(Labor!Y21,Labor!Y29,Labor!Y31))*Inputs!$C$3+(SUM('Pecan budget'!$F$10,'Pecan budget'!$F$17,'Pecan budget'!$F$22:$F$23,'Pecan budget'!$F$29:$F$30,Labor!Y21,Labor!Y29,Labor!Y31,SUM('Pecan budget'!$F$24:$F$25)*IF(Investment!$D$49=Investment!$L$5,Investment!$D$51,Investment!$E$51))*Inputs!$C$3*Inputs!$K$8/2)-IF(AG28&gt;0,0,AG28*Inputs!$K$10))</f>
        <v>20974.860053466073</v>
      </c>
      <c r="AI25" s="235">
        <f>IF(AI19&lt;$L$3,Establishment!$I$36*Inputs!$C$3-IF(AH28&lt;0,AH28*Inputs!$K$10,0),(SUM('Pecan budget'!$F$10,'Pecan budget'!$F$17,'Pecan budget'!$F$22:$F$23,'Pecan budget'!$F$29:$F$30,'Pecan budget'!$F$37:$F$38)+SUM('Pecan budget'!$F$24:$F$25,'Pecan budget'!$F$35:$F$36)*IF(Investment!$D$49=Investment!$L$5,Investment!$D$51,Investment!$E$51)+SUM(Labor!Z21,Labor!Z29,Labor!Z31))*Inputs!$C$3+(SUM('Pecan budget'!$F$10,'Pecan budget'!$F$17,'Pecan budget'!$F$22:$F$23,'Pecan budget'!$F$29:$F$30,Labor!Z21,Labor!Z29,Labor!Z31,SUM('Pecan budget'!$F$24:$F$25)*IF(Investment!$D$49=Investment!$L$5,Investment!$D$51,Investment!$E$51))*Inputs!$C$3*Inputs!$K$8/2)-IF(AH28&gt;0,0,AH28*Inputs!$K$10))</f>
        <v>20974.860053466073</v>
      </c>
      <c r="AJ25" s="235">
        <f>IF(AJ19&lt;$L$3,Establishment!$I$36*Inputs!$C$3-IF(AI28&lt;0,AI28*Inputs!$K$10,0),(SUM('Pecan budget'!$F$10,'Pecan budget'!$F$17,'Pecan budget'!$F$22:$F$23,'Pecan budget'!$F$29:$F$30,'Pecan budget'!$F$37:$F$38)+SUM('Pecan budget'!$F$24:$F$25,'Pecan budget'!$F$35:$F$36)*IF(Investment!$D$49=Investment!$L$5,Investment!$D$51,Investment!$E$51)+SUM(Labor!AA21,Labor!AA29,Labor!AA31))*Inputs!$C$3+(SUM('Pecan budget'!$F$10,'Pecan budget'!$F$17,'Pecan budget'!$F$22:$F$23,'Pecan budget'!$F$29:$F$30,Labor!AA21,Labor!AA29,Labor!AA31,SUM('Pecan budget'!$F$24:$F$25)*IF(Investment!$D$49=Investment!$L$5,Investment!$D$51,Investment!$E$51))*Inputs!$C$3*Inputs!$K$8/2)-IF(AI28&gt;0,0,AI28*Inputs!$K$10))</f>
        <v>20974.860053466073</v>
      </c>
      <c r="AK25" s="235">
        <f>IF(AK19&lt;$L$3,Establishment!$I$36*Inputs!$C$3-IF(AJ28&lt;0,AJ28*Inputs!$K$10,0),(SUM('Pecan budget'!$F$10,'Pecan budget'!$F$17,'Pecan budget'!$F$22:$F$23,'Pecan budget'!$F$29:$F$30,'Pecan budget'!$F$37:$F$38)+SUM('Pecan budget'!$F$24:$F$25,'Pecan budget'!$F$35:$F$36)*IF(Investment!$D$49=Investment!$L$5,Investment!$D$51,Investment!$E$51)+SUM(Labor!AB21,Labor!AB29,Labor!AB31))*Inputs!$C$3+(SUM('Pecan budget'!$F$10,'Pecan budget'!$F$17,'Pecan budget'!$F$22:$F$23,'Pecan budget'!$F$29:$F$30,Labor!AB21,Labor!AB29,Labor!AB31,SUM('Pecan budget'!$F$24:$F$25)*IF(Investment!$D$49=Investment!$L$5,Investment!$D$51,Investment!$E$51))*Inputs!$C$3*Inputs!$K$8/2)-IF(AJ28&gt;0,0,AJ28*Inputs!$K$10))</f>
        <v>20974.860053466073</v>
      </c>
      <c r="AL25" s="235">
        <f>IF(AL19&lt;$L$3,Establishment!$I$36*Inputs!$C$3-IF(AK28&lt;0,AK28*Inputs!$K$10,0),(SUM('Pecan budget'!$F$10,'Pecan budget'!$F$17,'Pecan budget'!$F$22:$F$23,'Pecan budget'!$F$29:$F$30,'Pecan budget'!$F$37:$F$38)+SUM('Pecan budget'!$F$24:$F$25,'Pecan budget'!$F$35:$F$36)*IF(Investment!$D$49=Investment!$L$5,Investment!$D$51,Investment!$E$51)+SUM(Labor!AC21,Labor!AC29,Labor!AC31))*Inputs!$C$3+(SUM('Pecan budget'!$F$10,'Pecan budget'!$F$17,'Pecan budget'!$F$22:$F$23,'Pecan budget'!$F$29:$F$30,Labor!AC21,Labor!AC29,Labor!AC31,SUM('Pecan budget'!$F$24:$F$25)*IF(Investment!$D$49=Investment!$L$5,Investment!$D$51,Investment!$E$51))*Inputs!$C$3*Inputs!$K$8/2)-IF(AK28&gt;0,0,AK28*Inputs!$K$10))</f>
        <v>20974.860053466073</v>
      </c>
      <c r="AM25" s="235">
        <f>IF(AM19&lt;$L$3,Establishment!$I$36*Inputs!$C$3-IF(AL28&lt;0,AL28*Inputs!$K$10,0),(SUM('Pecan budget'!$F$10,'Pecan budget'!$F$17,'Pecan budget'!$F$22:$F$23,'Pecan budget'!$F$29:$F$30,'Pecan budget'!$F$37:$F$38)+SUM('Pecan budget'!$F$24:$F$25,'Pecan budget'!$F$35:$F$36)*IF(Investment!$D$49=Investment!$L$5,Investment!$D$51,Investment!$E$51)+SUM(Labor!AD21,Labor!AD29,Labor!AD31))*Inputs!$C$3+(SUM('Pecan budget'!$F$10,'Pecan budget'!$F$17,'Pecan budget'!$F$22:$F$23,'Pecan budget'!$F$29:$F$30,Labor!AD21,Labor!AD29,Labor!AD31,SUM('Pecan budget'!$F$24:$F$25)*IF(Investment!$D$49=Investment!$L$5,Investment!$D$51,Investment!$E$51))*Inputs!$C$3*Inputs!$K$8/2)-IF(AL28&gt;0,0,AL28*Inputs!$K$10))</f>
        <v>20974.860053466073</v>
      </c>
      <c r="AN25" s="235">
        <f>IF(AN19&lt;$L$3,Establishment!$I$36*Inputs!$C$3-IF(AM28&lt;0,AM28*Inputs!$K$10,0),(SUM('Pecan budget'!$F$10,'Pecan budget'!$F$17,'Pecan budget'!$F$22:$F$23,'Pecan budget'!$F$29:$F$30,'Pecan budget'!$F$37:$F$38)+SUM('Pecan budget'!$F$24:$F$25,'Pecan budget'!$F$35:$F$36)*IF(Investment!$D$49=Investment!$L$5,Investment!$D$51,Investment!$E$51)+SUM(Labor!AE21,Labor!AE29,Labor!AE31))*Inputs!$C$3+(SUM('Pecan budget'!$F$10,'Pecan budget'!$F$17,'Pecan budget'!$F$22:$F$23,'Pecan budget'!$F$29:$F$30,Labor!AE21,Labor!AE29,Labor!AE31,SUM('Pecan budget'!$F$24:$F$25)*IF(Investment!$D$49=Investment!$L$5,Investment!$D$51,Investment!$E$51))*Inputs!$C$3*Inputs!$K$8/2)-IF(AM28&gt;0,0,AM28*Inputs!$K$10))</f>
        <v>20974.860053466073</v>
      </c>
      <c r="AO25" s="235">
        <f>IF(AO19&lt;$L$3,Establishment!$I$36*Inputs!$C$3-IF(AN28&lt;0,AN28*Inputs!$K$10,0),(SUM('Pecan budget'!$F$10,'Pecan budget'!$F$17,'Pecan budget'!$F$22:$F$23,'Pecan budget'!$F$29:$F$30,'Pecan budget'!$F$37:$F$38)+SUM('Pecan budget'!$F$24:$F$25,'Pecan budget'!$F$35:$F$36)*IF(Investment!$D$49=Investment!$L$5,Investment!$D$51,Investment!$E$51)+SUM(Labor!AF21,Labor!AF29,Labor!AF31))*Inputs!$C$3+(SUM('Pecan budget'!$F$10,'Pecan budget'!$F$17,'Pecan budget'!$F$22:$F$23,'Pecan budget'!$F$29:$F$30,Labor!AF21,Labor!AF29,Labor!AF31,SUM('Pecan budget'!$F$24:$F$25)*IF(Investment!$D$49=Investment!$L$5,Investment!$D$51,Investment!$E$51))*Inputs!$C$3*Inputs!$K$8/2)-IF(AN28&gt;0,0,AN28*Inputs!$K$10))</f>
        <v>20974.860053466073</v>
      </c>
      <c r="AP25" s="235">
        <f>IF(AP19&lt;$L$3,Establishment!$I$36*Inputs!$C$3-IF(AO28&lt;0,AO28*Inputs!$K$10,0),(SUM('Pecan budget'!$F$10,'Pecan budget'!$F$17,'Pecan budget'!$F$22:$F$23,'Pecan budget'!$F$29:$F$30,'Pecan budget'!$F$37:$F$38)+SUM('Pecan budget'!$F$24:$F$25,'Pecan budget'!$F$35:$F$36)*IF(Investment!$D$49=Investment!$L$5,Investment!$D$51,Investment!$E$51)+SUM(Labor!AG21,Labor!AG29,Labor!AG31))*Inputs!$C$3+(SUM('Pecan budget'!$F$10,'Pecan budget'!$F$17,'Pecan budget'!$F$22:$F$23,'Pecan budget'!$F$29:$F$30,Labor!AG21,Labor!AG29,Labor!AG31,SUM('Pecan budget'!$F$24:$F$25)*IF(Investment!$D$49=Investment!$L$5,Investment!$D$51,Investment!$E$51))*Inputs!$C$3*Inputs!$K$8/2)-IF(AO28&gt;0,0,AO28*Inputs!$K$10))</f>
        <v>20974.860053466073</v>
      </c>
      <c r="AQ25" s="235">
        <f>IF(AQ19&lt;$L$3,Establishment!$I$36*Inputs!$C$3-IF(AP28&lt;0,AP28*Inputs!$K$10,0),(SUM('Pecan budget'!$F$10,'Pecan budget'!$F$17,'Pecan budget'!$F$22:$F$23,'Pecan budget'!$F$29:$F$30,'Pecan budget'!$F$37:$F$38)+SUM('Pecan budget'!$F$24:$F$25,'Pecan budget'!$F$35:$F$36)*IF(Investment!$D$49=Investment!$L$5,Investment!$D$51,Investment!$E$51)+SUM(Labor!AH21,Labor!AH29,Labor!AH31))*Inputs!$C$3+(SUM('Pecan budget'!$F$10,'Pecan budget'!$F$17,'Pecan budget'!$F$22:$F$23,'Pecan budget'!$F$29:$F$30,Labor!AH21,Labor!AH29,Labor!AH31,SUM('Pecan budget'!$F$24:$F$25)*IF(Investment!$D$49=Investment!$L$5,Investment!$D$51,Investment!$E$51))*Inputs!$C$3*Inputs!$K$8/2)-IF(AP28&gt;0,0,AP28*Inputs!$K$10))</f>
        <v>20974.860053466073</v>
      </c>
      <c r="AR25" s="235">
        <f>IF(AR19&lt;$L$3,Establishment!$I$36*Inputs!$C$3-IF(AQ28&lt;0,AQ28*Inputs!$K$10,0),(SUM('Pecan budget'!$F$10,'Pecan budget'!$F$17,'Pecan budget'!$F$22:$F$23,'Pecan budget'!$F$29:$F$30,'Pecan budget'!$F$37:$F$38)+SUM('Pecan budget'!$F$24:$F$25,'Pecan budget'!$F$35:$F$36)*IF(Investment!$D$49=Investment!$L$5,Investment!$D$51,Investment!$E$51)+SUM(Labor!AI21,Labor!AI29,Labor!AI31))*Inputs!$C$3+(SUM('Pecan budget'!$F$10,'Pecan budget'!$F$17,'Pecan budget'!$F$22:$F$23,'Pecan budget'!$F$29:$F$30,Labor!AI21,Labor!AI29,Labor!AI31,SUM('Pecan budget'!$F$24:$F$25)*IF(Investment!$D$49=Investment!$L$5,Investment!$D$51,Investment!$E$51))*Inputs!$C$3*Inputs!$K$8/2)-IF(AQ28&gt;0,0,AQ28*Inputs!$K$10))</f>
        <v>20974.860053466073</v>
      </c>
      <c r="AS25" s="235">
        <f>IF(AS19&lt;$L$3,Establishment!$I$36*Inputs!$C$3-IF(AR28&lt;0,AR28*Inputs!$K$10,0),(SUM('Pecan budget'!$F$10,'Pecan budget'!$F$17,'Pecan budget'!$F$22:$F$23,'Pecan budget'!$F$29:$F$30,'Pecan budget'!$F$37:$F$38)+SUM('Pecan budget'!$F$24:$F$25,'Pecan budget'!$F$35:$F$36)*IF(Investment!$D$49=Investment!$L$5,Investment!$D$51,Investment!$E$51)+SUM(Labor!AJ21,Labor!AJ29,Labor!AJ31))*Inputs!$C$3+(SUM('Pecan budget'!$F$10,'Pecan budget'!$F$17,'Pecan budget'!$F$22:$F$23,'Pecan budget'!$F$29:$F$30,Labor!AJ21,Labor!AJ29,Labor!AJ31,SUM('Pecan budget'!$F$24:$F$25)*IF(Investment!$D$49=Investment!$L$5,Investment!$D$51,Investment!$E$51))*Inputs!$C$3*Inputs!$K$8/2)-IF(AR28&gt;0,0,AR28*Inputs!$K$10))</f>
        <v>20974.860053466073</v>
      </c>
      <c r="AT25" s="235">
        <f>IF(AT19&lt;$L$3,Establishment!$I$36*Inputs!$C$3-IF(AS28&lt;0,AS28*Inputs!$K$10,0),(SUM('Pecan budget'!$F$10,'Pecan budget'!$F$17,'Pecan budget'!$F$22:$F$23,'Pecan budget'!$F$29:$F$30,'Pecan budget'!$F$37:$F$38)+SUM('Pecan budget'!$F$24:$F$25,'Pecan budget'!$F$35:$F$36)*IF(Investment!$D$49=Investment!$L$5,Investment!$D$51,Investment!$E$51)+SUM(Labor!AK21,Labor!AK29,Labor!AK31))*Inputs!$C$3+(SUM('Pecan budget'!$F$10,'Pecan budget'!$F$17,'Pecan budget'!$F$22:$F$23,'Pecan budget'!$F$29:$F$30,Labor!AK21,Labor!AK29,Labor!AK31,SUM('Pecan budget'!$F$24:$F$25)*IF(Investment!$D$49=Investment!$L$5,Investment!$D$51,Investment!$E$51))*Inputs!$C$3*Inputs!$K$8/2)-IF(AS28&gt;0,0,AS28*Inputs!$K$10))</f>
        <v>20974.860053466073</v>
      </c>
      <c r="AU25" s="235">
        <f>IF(AU19&lt;$L$3,Establishment!$I$36*Inputs!$C$3-IF(AT28&lt;0,AT28*Inputs!$K$10,0),(SUM('Pecan budget'!$F$10,'Pecan budget'!$F$17,'Pecan budget'!$F$22:$F$23,'Pecan budget'!$F$29:$F$30,'Pecan budget'!$F$37:$F$38)+SUM('Pecan budget'!$F$24:$F$25,'Pecan budget'!$F$35:$F$36)*IF(Investment!$D$49=Investment!$L$5,Investment!$D$51,Investment!$E$51)+SUM(Labor!AL21,Labor!AL29,Labor!AL31))*Inputs!$C$3+(SUM('Pecan budget'!$F$10,'Pecan budget'!$F$17,'Pecan budget'!$F$22:$F$23,'Pecan budget'!$F$29:$F$30,Labor!AL21,Labor!AL29,Labor!AL31,SUM('Pecan budget'!$F$24:$F$25)*IF(Investment!$D$49=Investment!$L$5,Investment!$D$51,Investment!$E$51))*Inputs!$C$3*Inputs!$K$8/2)-IF(AT28&gt;0,0,AT28*Inputs!$K$10))</f>
        <v>20974.860053466073</v>
      </c>
      <c r="AV25" s="235">
        <f>IF(AV19&lt;$L$3,Establishment!$I$36*Inputs!$C$3-IF(AU28&lt;0,AU28*Inputs!$K$10,0),(SUM('Pecan budget'!$F$10,'Pecan budget'!$F$17,'Pecan budget'!$F$22:$F$23,'Pecan budget'!$F$29:$F$30,'Pecan budget'!$F$37:$F$38)+SUM('Pecan budget'!$F$24:$F$25,'Pecan budget'!$F$35:$F$36)*IF(Investment!$D$49=Investment!$L$5,Investment!$D$51,Investment!$E$51)+SUM(Labor!AM21,Labor!AM29,Labor!AM31))*Inputs!$C$3+(SUM('Pecan budget'!$F$10,'Pecan budget'!$F$17,'Pecan budget'!$F$22:$F$23,'Pecan budget'!$F$29:$F$30,Labor!AM21,Labor!AM29,Labor!AM31,SUM('Pecan budget'!$F$24:$F$25)*IF(Investment!$D$49=Investment!$L$5,Investment!$D$51,Investment!$E$51))*Inputs!$C$3*Inputs!$K$8/2)-IF(AU28&gt;0,0,AU28*Inputs!$K$10))</f>
        <v>20974.860053466073</v>
      </c>
      <c r="AW25" s="235">
        <f>IF(AW19&lt;$L$3,Establishment!$I$36*Inputs!$C$3-IF(AV28&lt;0,AV28*Inputs!$K$10,0),(SUM('Pecan budget'!$F$10,'Pecan budget'!$F$17,'Pecan budget'!$F$22:$F$23,'Pecan budget'!$F$29:$F$30,'Pecan budget'!$F$37:$F$38)+SUM('Pecan budget'!$F$24:$F$25,'Pecan budget'!$F$35:$F$36)*IF(Investment!$D$49=Investment!$L$5,Investment!$D$51,Investment!$E$51)+SUM(Labor!AN21,Labor!AN29,Labor!AN31))*Inputs!$C$3+(SUM('Pecan budget'!$F$10,'Pecan budget'!$F$17,'Pecan budget'!$F$22:$F$23,'Pecan budget'!$F$29:$F$30,Labor!AN21,Labor!AN29,Labor!AN31,SUM('Pecan budget'!$F$24:$F$25)*IF(Investment!$D$49=Investment!$L$5,Investment!$D$51,Investment!$E$51))*Inputs!$C$3*Inputs!$K$8/2)-IF(AV28&gt;0,0,AV28*Inputs!$K$10))</f>
        <v>20974.860053466073</v>
      </c>
      <c r="AX25" s="235">
        <f>IF(AX19&lt;$L$3,Establishment!$I$36*Inputs!$C$3-IF(AW28&lt;0,AW28*Inputs!$K$10,0),(SUM('Pecan budget'!$F$10,'Pecan budget'!$F$17,'Pecan budget'!$F$22:$F$23,'Pecan budget'!$F$29:$F$30,'Pecan budget'!$F$37:$F$38)+SUM('Pecan budget'!$F$24:$F$25,'Pecan budget'!$F$35:$F$36)*IF(Investment!$D$49=Investment!$L$5,Investment!$D$51,Investment!$E$51)+SUM(Labor!AO21,Labor!AO29,Labor!AO31))*Inputs!$C$3+(SUM('Pecan budget'!$F$10,'Pecan budget'!$F$17,'Pecan budget'!$F$22:$F$23,'Pecan budget'!$F$29:$F$30,Labor!AO21,Labor!AO29,Labor!AO31,SUM('Pecan budget'!$F$24:$F$25)*IF(Investment!$D$49=Investment!$L$5,Investment!$D$51,Investment!$E$51))*Inputs!$C$3*Inputs!$K$8/2)-IF(AW28&gt;0,0,AW28*Inputs!$K$10))</f>
        <v>20974.860053466073</v>
      </c>
      <c r="AY25" s="235">
        <f>IF(AY19&lt;$L$3,Establishment!$I$36*Inputs!$C$3-IF(AX28&lt;0,AX28*Inputs!$K$10,0),(SUM('Pecan budget'!$F$10,'Pecan budget'!$F$17,'Pecan budget'!$F$22:$F$23,'Pecan budget'!$F$29:$F$30,'Pecan budget'!$F$37:$F$38)+SUM('Pecan budget'!$F$24:$F$25,'Pecan budget'!$F$35:$F$36)*IF(Investment!$D$49=Investment!$L$5,Investment!$D$51,Investment!$E$51)+SUM(Labor!AP21,Labor!AP29,Labor!AP31))*Inputs!$C$3+(SUM('Pecan budget'!$F$10,'Pecan budget'!$F$17,'Pecan budget'!$F$22:$F$23,'Pecan budget'!$F$29:$F$30,Labor!AP21,Labor!AP29,Labor!AP31,SUM('Pecan budget'!$F$24:$F$25)*IF(Investment!$D$49=Investment!$L$5,Investment!$D$51,Investment!$E$51))*Inputs!$C$3*Inputs!$K$8/2)-IF(AX28&gt;0,0,AX28*Inputs!$K$10))</f>
        <v>20974.860053466073</v>
      </c>
      <c r="AZ25" s="235">
        <f>IF(AZ19&lt;$L$3,Establishment!$I$36*Inputs!$C$3-IF(AY28&lt;0,AY28*Inputs!$K$10,0),(SUM('Pecan budget'!$F$10,'Pecan budget'!$F$17,'Pecan budget'!$F$22:$F$23,'Pecan budget'!$F$29:$F$30,'Pecan budget'!$F$37:$F$38)+SUM('Pecan budget'!$F$24:$F$25,'Pecan budget'!$F$35:$F$36)*IF(Investment!$D$49=Investment!$L$5,Investment!$D$51,Investment!$E$51)+SUM(Labor!AQ21,Labor!AQ29,Labor!AQ31))*Inputs!$C$3+(SUM('Pecan budget'!$F$10,'Pecan budget'!$F$17,'Pecan budget'!$F$22:$F$23,'Pecan budget'!$F$29:$F$30,Labor!AQ21,Labor!AQ29,Labor!AQ31,SUM('Pecan budget'!$F$24:$F$25)*IF(Investment!$D$49=Investment!$L$5,Investment!$D$51,Investment!$E$51))*Inputs!$C$3*Inputs!$K$8/2)-IF(AY28&gt;0,0,AY28*Inputs!$K$10))</f>
        <v>20541.960053466075</v>
      </c>
      <c r="BA25" s="235">
        <f>IF(BA19&lt;$L$3,Establishment!$I$36*Inputs!$C$3-IF(AZ28&lt;0,AZ28*Inputs!$K$10,0),(SUM('Pecan budget'!$F$10,'Pecan budget'!$F$17,'Pecan budget'!$F$22:$F$23,'Pecan budget'!$F$29:$F$30,'Pecan budget'!$F$37:$F$38)+SUM('Pecan budget'!$F$24:$F$25,'Pecan budget'!$F$35:$F$36)*IF(Investment!$D$49=Investment!$L$5,Investment!$D$51,Investment!$E$51)+SUM(Labor!AR21,Labor!AR29,Labor!AR31))*Inputs!$C$3+(SUM('Pecan budget'!$F$10,'Pecan budget'!$F$17,'Pecan budget'!$F$22:$F$23,'Pecan budget'!$F$29:$F$30,Labor!AR21,Labor!AR29,Labor!AR31,SUM('Pecan budget'!$F$24:$F$25)*IF(Investment!$D$49=Investment!$L$5,Investment!$D$51,Investment!$E$51))*Inputs!$C$3*Inputs!$K$8/2)-IF(AZ28&gt;0,0,AZ28*Inputs!$K$10))</f>
        <v>20541.960053466075</v>
      </c>
      <c r="BB25" s="235">
        <f>IF(BB19&lt;$L$3,Establishment!$I$36*Inputs!$C$3-IF(BA28&lt;0,BA28*Inputs!$K$10,0),(SUM('Pecan budget'!$F$10,'Pecan budget'!$F$17,'Pecan budget'!$F$22:$F$23,'Pecan budget'!$F$29:$F$30,'Pecan budget'!$F$37:$F$38)+SUM('Pecan budget'!$F$24:$F$25,'Pecan budget'!$F$35:$F$36)*IF(Investment!$D$49=Investment!$L$5,Investment!$D$51,Investment!$E$51)+SUM(Labor!AS21,Labor!AS29,Labor!AS31))*Inputs!$C$3+(SUM('Pecan budget'!$F$10,'Pecan budget'!$F$17,'Pecan budget'!$F$22:$F$23,'Pecan budget'!$F$29:$F$30,Labor!AS21,Labor!AS29,Labor!AS31,SUM('Pecan budget'!$F$24:$F$25)*IF(Investment!$D$49=Investment!$L$5,Investment!$D$51,Investment!$E$51))*Inputs!$C$3*Inputs!$K$8/2)-IF(BA28&gt;0,0,BA28*Inputs!$K$10))</f>
        <v>20541.960053466075</v>
      </c>
      <c r="BC25" s="235">
        <f>IF(BC19&lt;$L$3,Establishment!$I$36*Inputs!$C$3-IF(BB28&lt;0,BB28*Inputs!$K$10,0),(SUM('Pecan budget'!$F$10,'Pecan budget'!$F$17,'Pecan budget'!$F$22:$F$23,'Pecan budget'!$F$29:$F$30,'Pecan budget'!$F$37:$F$38)+SUM('Pecan budget'!$F$24:$F$25,'Pecan budget'!$F$35:$F$36)*IF(Investment!$D$49=Investment!$L$5,Investment!$D$51,Investment!$E$51)+SUM(Labor!AT21,Labor!AT29,Labor!AT31))*Inputs!$C$3+(SUM('Pecan budget'!$F$10,'Pecan budget'!$F$17,'Pecan budget'!$F$22:$F$23,'Pecan budget'!$F$29:$F$30,Labor!AT21,Labor!AT29,Labor!AT31,SUM('Pecan budget'!$F$24:$F$25)*IF(Investment!$D$49=Investment!$L$5,Investment!$D$51,Investment!$E$51))*Inputs!$C$3*Inputs!$K$8/2)-IF(BB28&gt;0,0,BB28*Inputs!$K$10))</f>
        <v>20541.960053466075</v>
      </c>
      <c r="BD25" s="235">
        <f>IF(BD19&lt;$L$3,Establishment!$I$36*Inputs!$C$3-IF(BC28&lt;0,BC28*Inputs!$K$10,0),(SUM('Pecan budget'!$F$10,'Pecan budget'!$F$17,'Pecan budget'!$F$22:$F$23,'Pecan budget'!$F$29:$F$30,'Pecan budget'!$F$37:$F$38)+SUM('Pecan budget'!$F$24:$F$25,'Pecan budget'!$F$35:$F$36)*IF(Investment!$D$49=Investment!$L$5,Investment!$D$51,Investment!$E$51)+SUM(Labor!AU21,Labor!AU29,Labor!AU31))*Inputs!$C$3+(SUM('Pecan budget'!$F$10,'Pecan budget'!$F$17,'Pecan budget'!$F$22:$F$23,'Pecan budget'!$F$29:$F$30,Labor!AU21,Labor!AU29,Labor!AU31,SUM('Pecan budget'!$F$24:$F$25)*IF(Investment!$D$49=Investment!$L$5,Investment!$D$51,Investment!$E$51))*Inputs!$C$3*Inputs!$K$8/2)-IF(BC28&gt;0,0,BC28*Inputs!$K$10))</f>
        <v>20541.960053466075</v>
      </c>
      <c r="BE25" s="235">
        <f>IF(BE19&lt;$L$3,Establishment!$I$36*Inputs!$C$3-IF(BD28&lt;0,BD28*Inputs!$K$10,0),(SUM('Pecan budget'!$F$10,'Pecan budget'!$F$17,'Pecan budget'!$F$22:$F$23,'Pecan budget'!$F$29:$F$30,'Pecan budget'!$F$37:$F$38)+SUM('Pecan budget'!$F$24:$F$25,'Pecan budget'!$F$35:$F$36)*IF(Investment!$D$49=Investment!$L$5,Investment!$D$51,Investment!$E$51)+SUM(Labor!AV21,Labor!AV29,Labor!AV31))*Inputs!$C$3+(SUM('Pecan budget'!$F$10,'Pecan budget'!$F$17,'Pecan budget'!$F$22:$F$23,'Pecan budget'!$F$29:$F$30,Labor!AV21,Labor!AV29,Labor!AV31,SUM('Pecan budget'!$F$24:$F$25)*IF(Investment!$D$49=Investment!$L$5,Investment!$D$51,Investment!$E$51))*Inputs!$C$3*Inputs!$K$8/2)-IF(BD28&gt;0,0,BD28*Inputs!$K$10))</f>
        <v>20541.960053466075</v>
      </c>
      <c r="BF25" s="235">
        <f>IF(BF19&lt;$L$3,Establishment!$I$36*Inputs!$C$3-IF(BE28&lt;0,BE28*Inputs!$K$10,0),(SUM('Pecan budget'!$F$10,'Pecan budget'!$F$17,'Pecan budget'!$F$22:$F$23,'Pecan budget'!$F$29:$F$30,'Pecan budget'!$F$37:$F$38)+SUM('Pecan budget'!$F$24:$F$25,'Pecan budget'!$F$35:$F$36)*IF(Investment!$D$49=Investment!$L$5,Investment!$D$51,Investment!$E$51)+SUM(Labor!AW21,Labor!AW29,Labor!AW31))*Inputs!$C$3+(SUM('Pecan budget'!$F$10,'Pecan budget'!$F$17,'Pecan budget'!$F$22:$F$23,'Pecan budget'!$F$29:$F$30,Labor!AW21,Labor!AW29,Labor!AW31,SUM('Pecan budget'!$F$24:$F$25)*IF(Investment!$D$49=Investment!$L$5,Investment!$D$51,Investment!$E$51))*Inputs!$C$3*Inputs!$K$8/2)-IF(BE28&gt;0,0,BE28*Inputs!$K$10))</f>
        <v>20541.960053466075</v>
      </c>
      <c r="BG25" s="235">
        <f>IF(BG19&lt;$L$3,Establishment!$I$36*Inputs!$C$3-IF(BF28&lt;0,BF28*Inputs!$K$10,0),(SUM('Pecan budget'!$F$10,'Pecan budget'!$F$17,'Pecan budget'!$F$22:$F$23,'Pecan budget'!$F$29:$F$30,'Pecan budget'!$F$37:$F$38)+SUM('Pecan budget'!$F$24:$F$25,'Pecan budget'!$F$35:$F$36)*IF(Investment!$D$49=Investment!$L$5,Investment!$D$51,Investment!$E$51)+SUM(Labor!AX21,Labor!AX29,Labor!AX31))*Inputs!$C$3+(SUM('Pecan budget'!$F$10,'Pecan budget'!$F$17,'Pecan budget'!$F$22:$F$23,'Pecan budget'!$F$29:$F$30,Labor!AX21,Labor!AX29,Labor!AX31,SUM('Pecan budget'!$F$24:$F$25)*IF(Investment!$D$49=Investment!$L$5,Investment!$D$51,Investment!$E$51))*Inputs!$C$3*Inputs!$K$8/2)-IF(BF28&gt;0,0,BF28*Inputs!$K$10))</f>
        <v>20541.960053466075</v>
      </c>
      <c r="BH25" s="235">
        <f>IF(BH19&lt;$L$3,Establishment!$I$36*Inputs!$C$3-IF(BG28&lt;0,BG28*Inputs!$K$10,0),(SUM('Pecan budget'!$F$10,'Pecan budget'!$F$17,'Pecan budget'!$F$22:$F$23,'Pecan budget'!$F$29:$F$30,'Pecan budget'!$F$37:$F$38)+SUM('Pecan budget'!$F$24:$F$25,'Pecan budget'!$F$35:$F$36)*IF(Investment!$D$49=Investment!$L$5,Investment!$D$51,Investment!$E$51)+SUM(Labor!AY21,Labor!AY29,Labor!AY31))*Inputs!$C$3+(SUM('Pecan budget'!$F$10,'Pecan budget'!$F$17,'Pecan budget'!$F$22:$F$23,'Pecan budget'!$F$29:$F$30,Labor!AY21,Labor!AY29,Labor!AY31,SUM('Pecan budget'!$F$24:$F$25)*IF(Investment!$D$49=Investment!$L$5,Investment!$D$51,Investment!$E$51))*Inputs!$C$3*Inputs!$K$8/2)-IF(BG28&gt;0,0,BG28*Inputs!$K$10))</f>
        <v>20541.960053466075</v>
      </c>
      <c r="BI25" s="235">
        <f>IF(BI19&lt;$L$3,Establishment!$I$36*Inputs!$C$3-IF(BH28&lt;0,BH28*Inputs!$K$10,0),(SUM('Pecan budget'!$F$10,'Pecan budget'!$F$17,'Pecan budget'!$F$22:$F$23,'Pecan budget'!$F$29:$F$30,'Pecan budget'!$F$37:$F$38)+SUM('Pecan budget'!$F$24:$F$25,'Pecan budget'!$F$35:$F$36)*IF(Investment!$D$49=Investment!$L$5,Investment!$D$51,Investment!$E$51)+SUM(Labor!AZ21,Labor!AZ29,Labor!AZ31))*Inputs!$C$3+(SUM('Pecan budget'!$F$10,'Pecan budget'!$F$17,'Pecan budget'!$F$22:$F$23,'Pecan budget'!$F$29:$F$30,Labor!AZ21,Labor!AZ29,Labor!AZ31,SUM('Pecan budget'!$F$24:$F$25)*IF(Investment!$D$49=Investment!$L$5,Investment!$D$51,Investment!$E$51))*Inputs!$C$3*Inputs!$K$8/2)-IF(BH28&gt;0,0,BH28*Inputs!$K$10))</f>
        <v>20541.960053466075</v>
      </c>
      <c r="BJ25" s="235">
        <f>IF(BJ19&lt;$L$3,Establishment!$I$36*Inputs!$C$3-IF(BI28&lt;0,BI28*Inputs!$K$10,0),(SUM('Pecan budget'!$F$10,'Pecan budget'!$F$17,'Pecan budget'!$F$22:$F$23,'Pecan budget'!$F$29:$F$30,'Pecan budget'!$F$37:$F$38)+SUM('Pecan budget'!$F$24:$F$25,'Pecan budget'!$F$35:$F$36)*IF(Investment!$D$49=Investment!$L$5,Investment!$D$51,Investment!$E$51)+SUM(Labor!BA21,Labor!BA29,Labor!BA31))*Inputs!$C$3+(SUM('Pecan budget'!$F$10,'Pecan budget'!$F$17,'Pecan budget'!$F$22:$F$23,'Pecan budget'!$F$29:$F$30,Labor!BA21,Labor!BA29,Labor!BA31,SUM('Pecan budget'!$F$24:$F$25)*IF(Investment!$D$49=Investment!$L$5,Investment!$D$51,Investment!$E$51))*Inputs!$C$3*Inputs!$K$8/2)-IF(BI28&gt;0,0,BI28*Inputs!$K$10))</f>
        <v>20541.960053466075</v>
      </c>
      <c r="BK25" s="235">
        <f>IF(BK19&lt;$L$3,Establishment!$I$36*Inputs!$C$3-IF(BJ28&lt;0,BJ28*Inputs!$K$10,0),(SUM('Pecan budget'!$F$10,'Pecan budget'!$F$17,'Pecan budget'!$F$22:$F$23,'Pecan budget'!$F$29:$F$30,'Pecan budget'!$F$37:$F$38)+SUM('Pecan budget'!$F$24:$F$25,'Pecan budget'!$F$35:$F$36)*IF(Investment!$D$49=Investment!$L$5,Investment!$D$51,Investment!$E$51)+SUM(Labor!BB21,Labor!BB29,Labor!BB31))*Inputs!$C$3+(SUM('Pecan budget'!$F$10,'Pecan budget'!$F$17,'Pecan budget'!$F$22:$F$23,'Pecan budget'!$F$29:$F$30,Labor!BB21,Labor!BB29,Labor!BB31,SUM('Pecan budget'!$F$24:$F$25)*IF(Investment!$D$49=Investment!$L$5,Investment!$D$51,Investment!$E$51))*Inputs!$C$3*Inputs!$K$8/2)-IF(BJ28&gt;0,0,BJ28*Inputs!$K$10))</f>
        <v>20541.960053466075</v>
      </c>
      <c r="BL25" s="235">
        <f>IF(BL19&lt;$L$3,Establishment!$I$36*Inputs!$C$3-IF(BK28&lt;0,BK28*Inputs!$K$10,0),(SUM('Pecan budget'!$F$10,'Pecan budget'!$F$17,'Pecan budget'!$F$22:$F$23,'Pecan budget'!$F$29:$F$30,'Pecan budget'!$F$37:$F$38)+SUM('Pecan budget'!$F$24:$F$25,'Pecan budget'!$F$35:$F$36)*IF(Investment!$D$49=Investment!$L$5,Investment!$D$51,Investment!$E$51)+SUM(Labor!BC21,Labor!BC29,Labor!BC31))*Inputs!$C$3+(SUM('Pecan budget'!$F$10,'Pecan budget'!$F$17,'Pecan budget'!$F$22:$F$23,'Pecan budget'!$F$29:$F$30,Labor!BC21,Labor!BC29,Labor!BC31,SUM('Pecan budget'!$F$24:$F$25)*IF(Investment!$D$49=Investment!$L$5,Investment!$D$51,Investment!$E$51))*Inputs!$C$3*Inputs!$K$8/2)-IF(BK28&gt;0,0,BK28*Inputs!$K$10))</f>
        <v>20541.960053466075</v>
      </c>
      <c r="BM25" s="235">
        <f>IF(BM19&lt;$L$3,Establishment!$I$36*Inputs!$C$3-IF(BL28&lt;0,BL28*Inputs!$K$10,0),(SUM('Pecan budget'!$F$10,'Pecan budget'!$F$17,'Pecan budget'!$F$22:$F$23,'Pecan budget'!$F$29:$F$30,'Pecan budget'!$F$37:$F$38)+SUM('Pecan budget'!$F$24:$F$25,'Pecan budget'!$F$35:$F$36)*IF(Investment!$D$49=Investment!$L$5,Investment!$D$51,Investment!$E$51)+SUM(Labor!BD21,Labor!BD29,Labor!BD31))*Inputs!$C$3+(SUM('Pecan budget'!$F$10,'Pecan budget'!$F$17,'Pecan budget'!$F$22:$F$23,'Pecan budget'!$F$29:$F$30,Labor!BD21,Labor!BD29,Labor!BD31,SUM('Pecan budget'!$F$24:$F$25)*IF(Investment!$D$49=Investment!$L$5,Investment!$D$51,Investment!$E$51))*Inputs!$C$3*Inputs!$K$8/2)-IF(BL28&gt;0,0,BL28*Inputs!$K$10))</f>
        <v>20541.960053466075</v>
      </c>
      <c r="BN25" s="235">
        <f>IF(BN19&lt;$L$3,Establishment!$I$36*Inputs!$C$3-IF(BM28&lt;0,BM28*Inputs!$K$10,0),(SUM('Pecan budget'!$F$10,'Pecan budget'!$F$17,'Pecan budget'!$F$22:$F$23,'Pecan budget'!$F$29:$F$30,'Pecan budget'!$F$37:$F$38)+SUM('Pecan budget'!$F$24:$F$25,'Pecan budget'!$F$35:$F$36)*IF(Investment!$D$49=Investment!$L$5,Investment!$D$51,Investment!$E$51)+SUM(Labor!BE21,Labor!BE29,Labor!BE31))*Inputs!$C$3+(SUM('Pecan budget'!$F$10,'Pecan budget'!$F$17,'Pecan budget'!$F$22:$F$23,'Pecan budget'!$F$29:$F$30,Labor!BE21,Labor!BE29,Labor!BE31,SUM('Pecan budget'!$F$24:$F$25)*IF(Investment!$D$49=Investment!$L$5,Investment!$D$51,Investment!$E$51))*Inputs!$C$3*Inputs!$K$8/2)-IF(BM28&gt;0,0,BM28*Inputs!$K$10))</f>
        <v>20541.960053466075</v>
      </c>
      <c r="BO25" s="235">
        <f>IF(BO19&lt;$L$3,Establishment!$I$36*Inputs!$C$3-IF(BN28&lt;0,BN28*Inputs!$K$10,0),(SUM('Pecan budget'!$F$10,'Pecan budget'!$F$17,'Pecan budget'!$F$22:$F$23,'Pecan budget'!$F$29:$F$30,'Pecan budget'!$F$37:$F$38)+SUM('Pecan budget'!$F$24:$F$25,'Pecan budget'!$F$35:$F$36)*IF(Investment!$D$49=Investment!$L$5,Investment!$D$51,Investment!$E$51)+SUM(Labor!BF21,Labor!BF29,Labor!BF31))*Inputs!$C$3+(SUM('Pecan budget'!$F$10,'Pecan budget'!$F$17,'Pecan budget'!$F$22:$F$23,'Pecan budget'!$F$29:$F$30,Labor!BF21,Labor!BF29,Labor!BF31,SUM('Pecan budget'!$F$24:$F$25)*IF(Investment!$D$49=Investment!$L$5,Investment!$D$51,Investment!$E$51))*Inputs!$C$3*Inputs!$K$8/2)-IF(BN28&gt;0,0,BN28*Inputs!$K$10))</f>
        <v>20541.960053466075</v>
      </c>
      <c r="BP25" s="235">
        <f>IF(BP19&lt;$L$3,Establishment!$I$36*Inputs!$C$3-IF(BO28&lt;0,BO28*Inputs!$K$10,0),(SUM('Pecan budget'!$F$10,'Pecan budget'!$F$17,'Pecan budget'!$F$22:$F$23,'Pecan budget'!$F$29:$F$30,'Pecan budget'!$F$37:$F$38)+SUM('Pecan budget'!$F$24:$F$25,'Pecan budget'!$F$35:$F$36)*IF(Investment!$D$49=Investment!$L$5,Investment!$D$51,Investment!$E$51)+SUM(Labor!BG21,Labor!BG29,Labor!BG31))*Inputs!$C$3+(SUM('Pecan budget'!$F$10,'Pecan budget'!$F$17,'Pecan budget'!$F$22:$F$23,'Pecan budget'!$F$29:$F$30,Labor!BG21,Labor!BG29,Labor!BG31,SUM('Pecan budget'!$F$24:$F$25)*IF(Investment!$D$49=Investment!$L$5,Investment!$D$51,Investment!$E$51))*Inputs!$C$3*Inputs!$K$8/2)-IF(BO28&gt;0,0,BO28*Inputs!$K$10))</f>
        <v>20541.960053466075</v>
      </c>
      <c r="BQ25" s="235">
        <f>IF(BQ19&lt;$L$3,Establishment!$I$36*Inputs!$C$3-IF(BP28&lt;0,BP28*Inputs!$K$10,0),(SUM('Pecan budget'!$F$10,'Pecan budget'!$F$17,'Pecan budget'!$F$22:$F$23,'Pecan budget'!$F$29:$F$30,'Pecan budget'!$F$37:$F$38)+SUM('Pecan budget'!$F$24:$F$25,'Pecan budget'!$F$35:$F$36)*IF(Investment!$D$49=Investment!$L$5,Investment!$D$51,Investment!$E$51)+SUM(Labor!BH21,Labor!BH29,Labor!BH31))*Inputs!$C$3+(SUM('Pecan budget'!$F$10,'Pecan budget'!$F$17,'Pecan budget'!$F$22:$F$23,'Pecan budget'!$F$29:$F$30,Labor!BH21,Labor!BH29,Labor!BH31,SUM('Pecan budget'!$F$24:$F$25)*IF(Investment!$D$49=Investment!$L$5,Investment!$D$51,Investment!$E$51))*Inputs!$C$3*Inputs!$K$8/2)-IF(BP28&gt;0,0,BP28*Inputs!$K$10))</f>
        <v>20541.960053466075</v>
      </c>
      <c r="BR25" s="235">
        <f>IF(BR19&lt;$L$3,Establishment!$I$36*Inputs!$C$3-IF(BQ28&lt;0,BQ28*Inputs!$K$10,0),(SUM('Pecan budget'!$F$10,'Pecan budget'!$F$17,'Pecan budget'!$F$22:$F$23,'Pecan budget'!$F$29:$F$30,'Pecan budget'!$F$37:$F$38)+SUM('Pecan budget'!$F$24:$F$25,'Pecan budget'!$F$35:$F$36)*IF(Investment!$D$49=Investment!$L$5,Investment!$D$51,Investment!$E$51)+SUM(Labor!BI21,Labor!BI29,Labor!BI31))*Inputs!$C$3+(SUM('Pecan budget'!$F$10,'Pecan budget'!$F$17,'Pecan budget'!$F$22:$F$23,'Pecan budget'!$F$29:$F$30,Labor!BI21,Labor!BI29,Labor!BI31,SUM('Pecan budget'!$F$24:$F$25)*IF(Investment!$D$49=Investment!$L$5,Investment!$D$51,Investment!$E$51))*Inputs!$C$3*Inputs!$K$8/2)-IF(BQ28&gt;0,0,BQ28*Inputs!$K$10))</f>
        <v>20541.960053466075</v>
      </c>
      <c r="BS25" s="235">
        <f>IF(BS19&lt;$L$3,Establishment!$I$36*Inputs!$C$3-IF(BR28&lt;0,BR28*Inputs!$K$10,0),(SUM('Pecan budget'!$F$10,'Pecan budget'!$F$17,'Pecan budget'!$F$22:$F$23,'Pecan budget'!$F$29:$F$30,'Pecan budget'!$F$37:$F$38)+SUM('Pecan budget'!$F$24:$F$25,'Pecan budget'!$F$35:$F$36)*IF(Investment!$D$49=Investment!$L$5,Investment!$D$51,Investment!$E$51)+SUM(Labor!BJ21,Labor!BJ29,Labor!BJ31))*Inputs!$C$3+(SUM('Pecan budget'!$F$10,'Pecan budget'!$F$17,'Pecan budget'!$F$22:$F$23,'Pecan budget'!$F$29:$F$30,Labor!BJ21,Labor!BJ29,Labor!BJ31,SUM('Pecan budget'!$F$24:$F$25)*IF(Investment!$D$49=Investment!$L$5,Investment!$D$51,Investment!$E$51))*Inputs!$C$3*Inputs!$K$8/2)-IF(BR28&gt;0,0,BR28*Inputs!$K$10))</f>
        <v>20541.960053466075</v>
      </c>
      <c r="BT25" s="235">
        <f>IF(BT19&lt;$L$3,Establishment!$I$36*Inputs!$C$3-IF(BS28&lt;0,BS28*Inputs!$K$10,0),(SUM('Pecan budget'!$F$10,'Pecan budget'!$F$17,'Pecan budget'!$F$22:$F$23,'Pecan budget'!$F$29:$F$30,'Pecan budget'!$F$37:$F$38)+SUM('Pecan budget'!$F$24:$F$25,'Pecan budget'!$F$35:$F$36)*IF(Investment!$D$49=Investment!$L$5,Investment!$D$51,Investment!$E$51)+SUM(Labor!BK21,Labor!BK29,Labor!BK31))*Inputs!$C$3+(SUM('Pecan budget'!$F$10,'Pecan budget'!$F$17,'Pecan budget'!$F$22:$F$23,'Pecan budget'!$F$29:$F$30,Labor!BK21,Labor!BK29,Labor!BK31,SUM('Pecan budget'!$F$24:$F$25)*IF(Investment!$D$49=Investment!$L$5,Investment!$D$51,Investment!$E$51))*Inputs!$C$3*Inputs!$K$8/2)-IF(BS28&gt;0,0,BS28*Inputs!$K$10))</f>
        <v>20541.960053466075</v>
      </c>
      <c r="BU25" s="235">
        <f>IF(BU19&lt;$L$3,Establishment!$I$36*Inputs!$C$3-IF(BT28&lt;0,BT28*Inputs!$K$10,0),(SUM('Pecan budget'!$F$10,'Pecan budget'!$F$17,'Pecan budget'!$F$22:$F$23,'Pecan budget'!$F$29:$F$30,'Pecan budget'!$F$37:$F$38)+SUM('Pecan budget'!$F$24:$F$25,'Pecan budget'!$F$35:$F$36)*IF(Investment!$D$49=Investment!$L$5,Investment!$D$51,Investment!$E$51)+SUM(Labor!BL21,Labor!BL29,Labor!BL31))*Inputs!$C$3+(SUM('Pecan budget'!$F$10,'Pecan budget'!$F$17,'Pecan budget'!$F$22:$F$23,'Pecan budget'!$F$29:$F$30,Labor!BL21,Labor!BL29,Labor!BL31,SUM('Pecan budget'!$F$24:$F$25)*IF(Investment!$D$49=Investment!$L$5,Investment!$D$51,Investment!$E$51))*Inputs!$C$3*Inputs!$K$8/2)-IF(BT28&gt;0,0,BT28*Inputs!$K$10))</f>
        <v>20541.960053466075</v>
      </c>
      <c r="BV25" s="235">
        <f>IF(BV19&lt;$L$3,Establishment!$I$36*Inputs!$C$3-IF(BU28&lt;0,BU28*Inputs!$K$10,0),(SUM('Pecan budget'!$F$10,'Pecan budget'!$F$17,'Pecan budget'!$F$22:$F$23,'Pecan budget'!$F$29:$F$30,'Pecan budget'!$F$37:$F$38)+SUM('Pecan budget'!$F$24:$F$25,'Pecan budget'!$F$35:$F$36)*IF(Investment!$D$49=Investment!$L$5,Investment!$D$51,Investment!$E$51)+SUM(Labor!BM21,Labor!BM29,Labor!BM31))*Inputs!$C$3+(SUM('Pecan budget'!$F$10,'Pecan budget'!$F$17,'Pecan budget'!$F$22:$F$23,'Pecan budget'!$F$29:$F$30,Labor!BM21,Labor!BM29,Labor!BM31,SUM('Pecan budget'!$F$24:$F$25)*IF(Investment!$D$49=Investment!$L$5,Investment!$D$51,Investment!$E$51))*Inputs!$C$3*Inputs!$K$8/2)-IF(BU28&gt;0,0,BU28*Inputs!$K$10))</f>
        <v>20541.960053466075</v>
      </c>
      <c r="BW25" s="235">
        <f>IF(BW19&lt;$L$3,Establishment!$I$36*Inputs!$C$3-IF(BV28&lt;0,BV28*Inputs!$K$10,0),(SUM('Pecan budget'!$F$10,'Pecan budget'!$F$17,'Pecan budget'!$F$22:$F$23,'Pecan budget'!$F$29:$F$30,'Pecan budget'!$F$37:$F$38)+SUM('Pecan budget'!$F$24:$F$25,'Pecan budget'!$F$35:$F$36)*IF(Investment!$D$49=Investment!$L$5,Investment!$D$51,Investment!$E$51)+SUM(Labor!BN21,Labor!BN29,Labor!BN31))*Inputs!$C$3+(SUM('Pecan budget'!$F$10,'Pecan budget'!$F$17,'Pecan budget'!$F$22:$F$23,'Pecan budget'!$F$29:$F$30,Labor!BN21,Labor!BN29,Labor!BN31,SUM('Pecan budget'!$F$24:$F$25)*IF(Investment!$D$49=Investment!$L$5,Investment!$D$51,Investment!$E$51))*Inputs!$C$3*Inputs!$K$8/2)-IF(BV28&gt;0,0,BV28*Inputs!$K$10))</f>
        <v>20541.960053466075</v>
      </c>
      <c r="BX25" s="235">
        <f>IF(BX19&lt;$L$3,Establishment!$I$36*Inputs!$C$3-IF(BW28&lt;0,BW28*Inputs!$K$10,0),(SUM('Pecan budget'!$F$10,'Pecan budget'!$F$17,'Pecan budget'!$F$22:$F$23,'Pecan budget'!$F$29:$F$30,'Pecan budget'!$F$37:$F$38)+SUM('Pecan budget'!$F$24:$F$25,'Pecan budget'!$F$35:$F$36)*IF(Investment!$D$49=Investment!$L$5,Investment!$D$51,Investment!$E$51)+SUM(Labor!BO21,Labor!BO29,Labor!BO31))*Inputs!$C$3+(SUM('Pecan budget'!$F$10,'Pecan budget'!$F$17,'Pecan budget'!$F$22:$F$23,'Pecan budget'!$F$29:$F$30,Labor!BO21,Labor!BO29,Labor!BO31,SUM('Pecan budget'!$F$24:$F$25)*IF(Investment!$D$49=Investment!$L$5,Investment!$D$51,Investment!$E$51))*Inputs!$C$3*Inputs!$K$8/2)-IF(BW28&gt;0,0,BW28*Inputs!$K$10))</f>
        <v>20541.960053466075</v>
      </c>
      <c r="BY25" s="235">
        <f>IF(BY19&lt;$L$3,Establishment!$I$36*Inputs!$C$3-IF(BX28&lt;0,BX28*Inputs!$K$10,0),(SUM('Pecan budget'!$F$10,'Pecan budget'!$F$17,'Pecan budget'!$F$22:$F$23,'Pecan budget'!$F$29:$F$30,'Pecan budget'!$F$37:$F$38)+SUM('Pecan budget'!$F$24:$F$25,'Pecan budget'!$F$35:$F$36)*IF(Investment!$D$49=Investment!$L$5,Investment!$D$51,Investment!$E$51)+SUM(Labor!BP21,Labor!BP29,Labor!BP31))*Inputs!$C$3+(SUM('Pecan budget'!$F$10,'Pecan budget'!$F$17,'Pecan budget'!$F$22:$F$23,'Pecan budget'!$F$29:$F$30,Labor!BP21,Labor!BP29,Labor!BP31,SUM('Pecan budget'!$F$24:$F$25)*IF(Investment!$D$49=Investment!$L$5,Investment!$D$51,Investment!$E$51))*Inputs!$C$3*Inputs!$K$8/2)-IF(BX28&gt;0,0,BX28*Inputs!$K$10))</f>
        <v>20541.960053466075</v>
      </c>
      <c r="BZ25" s="235">
        <f>IF(BZ19&lt;$L$3,Establishment!$I$36*Inputs!$C$3-IF(BY28&lt;0,BY28*Inputs!$K$10,0),(SUM('Pecan budget'!$F$10,'Pecan budget'!$F$17,'Pecan budget'!$F$22:$F$23,'Pecan budget'!$F$29:$F$30,'Pecan budget'!$F$37:$F$38)+SUM('Pecan budget'!$F$24:$F$25,'Pecan budget'!$F$35:$F$36)*IF(Investment!$D$49=Investment!$L$5,Investment!$D$51,Investment!$E$51)+SUM(Labor!BQ21,Labor!BQ29,Labor!BQ31))*Inputs!$C$3+(SUM('Pecan budget'!$F$10,'Pecan budget'!$F$17,'Pecan budget'!$F$22:$F$23,'Pecan budget'!$F$29:$F$30,Labor!BQ21,Labor!BQ29,Labor!BQ31,SUM('Pecan budget'!$F$24:$F$25)*IF(Investment!$D$49=Investment!$L$5,Investment!$D$51,Investment!$E$51))*Inputs!$C$3*Inputs!$K$8/2)-IF(BY28&gt;0,0,BY28*Inputs!$K$10))</f>
        <v>20541.960053466075</v>
      </c>
      <c r="CA25" s="235">
        <f>IF(CA19&lt;$L$3,Establishment!$I$36*Inputs!$C$3-IF(BZ28&lt;0,BZ28*Inputs!$K$10,0),(SUM('Pecan budget'!$F$10,'Pecan budget'!$F$17,'Pecan budget'!$F$22:$F$23,'Pecan budget'!$F$29:$F$30,'Pecan budget'!$F$37:$F$38)+SUM('Pecan budget'!$F$24:$F$25,'Pecan budget'!$F$35:$F$36)*IF(Investment!$D$49=Investment!$L$5,Investment!$D$51,Investment!$E$51)+SUM(Labor!BR21,Labor!BR29,Labor!BR31))*Inputs!$C$3+(SUM('Pecan budget'!$F$10,'Pecan budget'!$F$17,'Pecan budget'!$F$22:$F$23,'Pecan budget'!$F$29:$F$30,Labor!BR21,Labor!BR29,Labor!BR31,SUM('Pecan budget'!$F$24:$F$25)*IF(Investment!$D$49=Investment!$L$5,Investment!$D$51,Investment!$E$51))*Inputs!$C$3*Inputs!$K$8/2)-IF(BZ28&gt;0,0,BZ28*Inputs!$K$10))</f>
        <v>20541.960053466075</v>
      </c>
      <c r="CB25" s="235">
        <f>IF(CB19&lt;$L$3,Establishment!$I$36*Inputs!$C$3-IF(CA28&lt;0,CA28*Inputs!$K$10,0),(SUM('Pecan budget'!$F$10,'Pecan budget'!$F$17,'Pecan budget'!$F$22:$F$23,'Pecan budget'!$F$29:$F$30,'Pecan budget'!$F$37:$F$38)+SUM('Pecan budget'!$F$24:$F$25,'Pecan budget'!$F$35:$F$36)*IF(Investment!$D$49=Investment!$L$5,Investment!$D$51,Investment!$E$51)+SUM(Labor!BS21,Labor!BS29,Labor!BS31))*Inputs!$C$3+(SUM('Pecan budget'!$F$10,'Pecan budget'!$F$17,'Pecan budget'!$F$22:$F$23,'Pecan budget'!$F$29:$F$30,Labor!BS21,Labor!BS29,Labor!BS31,SUM('Pecan budget'!$F$24:$F$25)*IF(Investment!$D$49=Investment!$L$5,Investment!$D$51,Investment!$E$51))*Inputs!$C$3*Inputs!$K$8/2)-IF(CA28&gt;0,0,CA28*Inputs!$K$10))</f>
        <v>20541.960053466075</v>
      </c>
      <c r="CC25" s="235">
        <f>IF(CC19&lt;$L$3,Establishment!$I$36*Inputs!$C$3-IF(CB28&lt;0,CB28*Inputs!$K$10,0),(SUM('Pecan budget'!$F$10,'Pecan budget'!$F$17,'Pecan budget'!$F$22:$F$23,'Pecan budget'!$F$29:$F$30,'Pecan budget'!$F$37:$F$38)+SUM('Pecan budget'!$F$24:$F$25,'Pecan budget'!$F$35:$F$36)*IF(Investment!$D$49=Investment!$L$5,Investment!$D$51,Investment!$E$51)+SUM(Labor!BT21,Labor!BT29,Labor!BT31))*Inputs!$C$3+(SUM('Pecan budget'!$F$10,'Pecan budget'!$F$17,'Pecan budget'!$F$22:$F$23,'Pecan budget'!$F$29:$F$30,Labor!BT21,Labor!BT29,Labor!BT31,SUM('Pecan budget'!$F$24:$F$25)*IF(Investment!$D$49=Investment!$L$5,Investment!$D$51,Investment!$E$51))*Inputs!$C$3*Inputs!$K$8/2)-IF(CB28&gt;0,0,CB28*Inputs!$K$10))</f>
        <v>20541.960053466075</v>
      </c>
      <c r="CD25" s="235">
        <f>IF(CD19&lt;$L$3,Establishment!$I$36*Inputs!$C$3-IF(CC28&lt;0,CC28*Inputs!$K$10,0),(SUM('Pecan budget'!$F$10,'Pecan budget'!$F$17,'Pecan budget'!$F$22:$F$23,'Pecan budget'!$F$29:$F$30,'Pecan budget'!$F$37:$F$38)+SUM('Pecan budget'!$F$24:$F$25,'Pecan budget'!$F$35:$F$36)*IF(Investment!$D$49=Investment!$L$5,Investment!$D$51,Investment!$E$51)+SUM(Labor!BU21,Labor!BU29,Labor!BU31))*Inputs!$C$3+(SUM('Pecan budget'!$F$10,'Pecan budget'!$F$17,'Pecan budget'!$F$22:$F$23,'Pecan budget'!$F$29:$F$30,Labor!BU21,Labor!BU29,Labor!BU31,SUM('Pecan budget'!$F$24:$F$25)*IF(Investment!$D$49=Investment!$L$5,Investment!$D$51,Investment!$E$51))*Inputs!$C$3*Inputs!$K$8/2)-IF(CC28&gt;0,0,CC28*Inputs!$K$10))</f>
        <v>20541.960053466075</v>
      </c>
      <c r="CE25" s="235">
        <f>IF(CE19&lt;$L$3,Establishment!$I$36*Inputs!$C$3-IF(CD28&lt;0,CD28*Inputs!$K$10,0),(SUM('Pecan budget'!$F$10,'Pecan budget'!$F$17,'Pecan budget'!$F$22:$F$23,'Pecan budget'!$F$29:$F$30,'Pecan budget'!$F$37:$F$38)+SUM('Pecan budget'!$F$24:$F$25,'Pecan budget'!$F$35:$F$36)*IF(Investment!$D$49=Investment!$L$5,Investment!$D$51,Investment!$E$51)+SUM(Labor!BV21,Labor!BV29,Labor!BV31))*Inputs!$C$3+(SUM('Pecan budget'!$F$10,'Pecan budget'!$F$17,'Pecan budget'!$F$22:$F$23,'Pecan budget'!$F$29:$F$30,Labor!BV21,Labor!BV29,Labor!BV31,SUM('Pecan budget'!$F$24:$F$25)*IF(Investment!$D$49=Investment!$L$5,Investment!$D$51,Investment!$E$51))*Inputs!$C$3*Inputs!$K$8/2)-IF(CD28&gt;0,0,CD28*Inputs!$K$10))</f>
        <v>20541.960053466075</v>
      </c>
      <c r="CF25" s="235">
        <f>IF(CF19&lt;$L$3,Establishment!$I$36*Inputs!$C$3-IF(CE28&lt;0,CE28*Inputs!$K$10,0),(SUM('Pecan budget'!$F$10,'Pecan budget'!$F$17,'Pecan budget'!$F$22:$F$23,'Pecan budget'!$F$29:$F$30,'Pecan budget'!$F$37:$F$38)+SUM('Pecan budget'!$F$24:$F$25,'Pecan budget'!$F$35:$F$36)*IF(Investment!$D$49=Investment!$L$5,Investment!$D$51,Investment!$E$51)+SUM(Labor!BW21,Labor!BW29,Labor!BW31))*Inputs!$C$3+(SUM('Pecan budget'!$F$10,'Pecan budget'!$F$17,'Pecan budget'!$F$22:$F$23,'Pecan budget'!$F$29:$F$30,Labor!BW21,Labor!BW29,Labor!BW31,SUM('Pecan budget'!$F$24:$F$25)*IF(Investment!$D$49=Investment!$L$5,Investment!$D$51,Investment!$E$51))*Inputs!$C$3*Inputs!$K$8/2)-IF(CE28&gt;0,0,CE28*Inputs!$K$10))</f>
        <v>20541.960053466075</v>
      </c>
      <c r="CG25" s="235">
        <f>IF(CG19&lt;$L$3,Establishment!$I$36*Inputs!$C$3-IF(CF28&lt;0,CF28*Inputs!$K$10,0),(SUM('Pecan budget'!$F$10,'Pecan budget'!$F$17,'Pecan budget'!$F$22:$F$23,'Pecan budget'!$F$29:$F$30,'Pecan budget'!$F$37:$F$38)+SUM('Pecan budget'!$F$24:$F$25,'Pecan budget'!$F$35:$F$36)*IF(Investment!$D$49=Investment!$L$5,Investment!$D$51,Investment!$E$51)+SUM(Labor!BX21,Labor!BX29,Labor!BX31))*Inputs!$C$3+(SUM('Pecan budget'!$F$10,'Pecan budget'!$F$17,'Pecan budget'!$F$22:$F$23,'Pecan budget'!$F$29:$F$30,Labor!BX21,Labor!BX29,Labor!BX31,SUM('Pecan budget'!$F$24:$F$25)*IF(Investment!$D$49=Investment!$L$5,Investment!$D$51,Investment!$E$51))*Inputs!$C$3*Inputs!$K$8/2)-IF(CF28&gt;0,0,CF28*Inputs!$K$10))</f>
        <v>20541.960053466075</v>
      </c>
      <c r="CH25" s="300">
        <f>IF(CH19&lt;$L$3,Establishment!$I$36*Inputs!$C$3-IF(CG28&lt;0,CG28*Inputs!$K$10,0),(SUM('Pecan budget'!$F$10,'Pecan budget'!$F$17,'Pecan budget'!$F$22:$F$23,'Pecan budget'!$F$29:$F$30,'Pecan budget'!$F$37:$F$38)+SUM('Pecan budget'!$F$24:$F$25,'Pecan budget'!$F$35:$F$36)*IF(Investment!$D$49=Investment!$L$5,Investment!$D$51,Investment!$E$51)+SUM(Labor!BY21,Labor!BY29,Labor!BY31))*Inputs!$C$3+(SUM('Pecan budget'!$F$10,'Pecan budget'!$F$17,'Pecan budget'!$F$22:$F$23,'Pecan budget'!$F$29:$F$30,Labor!BY21,Labor!BY29,Labor!BY31,SUM('Pecan budget'!$F$24:$F$25)*IF(Investment!$D$49=Investment!$L$5,Investment!$D$51,Investment!$E$51))*Inputs!$C$3*Inputs!$K$8/2)-IF(CG28&gt;0,0,CG28*Inputs!$K$10))</f>
        <v>20541.960053466075</v>
      </c>
    </row>
    <row r="26" spans="10:86" x14ac:dyDescent="0.3">
      <c r="J26" s="297" t="s">
        <v>543</v>
      </c>
      <c r="K26" s="180">
        <f>K24+K25</f>
        <v>52600.265250000004</v>
      </c>
      <c r="L26" s="235">
        <f>L24+L25+IF(L16&lt;K16,(K16-L16)*Inputs!$G$11,0)</f>
        <v>19504.96125</v>
      </c>
      <c r="M26" s="235">
        <f>M24+M25+IF(M16&lt;L16,(L16-M16)*Inputs!$G$11,0)</f>
        <v>19504.96125</v>
      </c>
      <c r="N26" s="235">
        <f>N24+N25+IF(N16&lt;M16,(M16-N16)*Inputs!$G$11,0)</f>
        <v>19504.96125</v>
      </c>
      <c r="O26" s="235">
        <f>O24+O25+IF(O16&lt;N16,(N16-O16)*Inputs!$G$11,0)</f>
        <v>19504.96125</v>
      </c>
      <c r="P26" s="235">
        <f>P24+P25+IF(P16&lt;O16,(O16-P16)*Inputs!$G$11,0)</f>
        <v>19504.96125</v>
      </c>
      <c r="Q26" s="235">
        <f>Q24+Q25+IF(Q16&lt;P16,(P16-Q16)*Inputs!$G$11,0)</f>
        <v>19504.96125</v>
      </c>
      <c r="R26" s="235">
        <f>R24+R25+IF(R16&lt;Q16,(Q16-R16)*Inputs!$G$11,0)</f>
        <v>19504.96125</v>
      </c>
      <c r="S26" s="235">
        <f>S24+S25+IF(S16&lt;R16,(R16-S16)*Inputs!$G$11,0)</f>
        <v>19504.96125</v>
      </c>
      <c r="T26" s="235">
        <f>T24+T25+IF(T16&lt;S16,(S16-T16)*Inputs!$G$11,0)</f>
        <v>31917.60141349701</v>
      </c>
      <c r="U26" s="180">
        <f>U24+U25+IF(U16&lt;T16,(T16-U16)*Inputs!$G$11,0)</f>
        <v>32171.00719914939</v>
      </c>
      <c r="V26" s="180">
        <f>V24+V25+IF(V16&lt;U16,(U16-V16)*Inputs!$G$11,0)</f>
        <v>32505.502836210529</v>
      </c>
      <c r="W26" s="180">
        <f>W24+W25+IF(W16&lt;V16,(V16-W16)*Inputs!$G$11,0)</f>
        <v>50870.220096248886</v>
      </c>
      <c r="X26" s="180">
        <f>X24+X25+IF(X16&lt;W16,(W16-X16)*Inputs!$G$11,0)</f>
        <v>33317.64146038187</v>
      </c>
      <c r="Y26" s="180">
        <f>Y24+Y25+IF(Y16&lt;X16,(X16-Y16)*Inputs!$G$11,0)</f>
        <v>33908.237661037405</v>
      </c>
      <c r="Z26" s="180">
        <f>Z24+Z25+IF(Z16&lt;Y16,(Y16-Z16)*Inputs!$G$11,0)</f>
        <v>34687.824645902714</v>
      </c>
      <c r="AA26" s="180">
        <f>AA24+AA25+IF(AA16&lt;Z16,(Z16-AA16)*Inputs!$G$11,0)</f>
        <v>34816.456498405489</v>
      </c>
      <c r="AB26" s="180">
        <f>AB24+AB25+IF(AB16&lt;AA16,(AA16-AB16)*Inputs!$G$11,0)</f>
        <v>34950.233625008375</v>
      </c>
      <c r="AC26" s="180">
        <f>AC24+AC25+IF(AC16&lt;AB16,(AB16-AC16)*Inputs!$G$11,0)</f>
        <v>35089.361836675373</v>
      </c>
      <c r="AD26" s="180">
        <f>AD24+AD25+IF(AD16&lt;AC16,(AC16-AD16)*Inputs!$G$11,0)</f>
        <v>35234.055176809052</v>
      </c>
      <c r="AE26" s="180">
        <f>AE24+AE25+IF(AE16&lt;AD16,(AD16-AE16)*Inputs!$G$11,0)</f>
        <v>35384.536250548081</v>
      </c>
      <c r="AF26" s="180">
        <f>AF24+AF25+IF(AF16&lt;AE16,(AE16-AF16)*Inputs!$G$11,0)</f>
        <v>35541.036567236675</v>
      </c>
      <c r="AG26" s="180">
        <f>AG24+AG25+IF(AG16&lt;AF16,(AF16-AG16)*Inputs!$G$11,0)</f>
        <v>35703.796896592808</v>
      </c>
      <c r="AH26" s="180">
        <f>AH24+AH25+IF(AH16&lt;AG16,(AG16-AH16)*Inputs!$G$11,0)</f>
        <v>35873.067639123183</v>
      </c>
      <c r="AI26" s="180">
        <f>AI24+AI25+IF(AI16&lt;AH16,(AH16-AI16)*Inputs!$G$11,0)</f>
        <v>36049.109211354778</v>
      </c>
      <c r="AJ26" s="180">
        <f>AJ24+AJ25+IF(AJ16&lt;AI16,(AI16-AJ16)*Inputs!$G$11,0)</f>
        <v>36232.192446475645</v>
      </c>
      <c r="AK26" s="180">
        <f>AK24+AK25+IF(AK16&lt;AJ16,(AJ16-AK16)*Inputs!$G$11,0)</f>
        <v>36422.599011001337</v>
      </c>
      <c r="AL26" s="180">
        <f>AL24+AL25+IF(AL16&lt;AK16,(AK16-AL16)*Inputs!$G$11,0)</f>
        <v>36620.621838108054</v>
      </c>
      <c r="AM26" s="180">
        <f>AM24+AM25+IF(AM16&lt;AL16,(AL16-AM16)*Inputs!$G$11,0)</f>
        <v>36826.565578299043</v>
      </c>
      <c r="AN26" s="180">
        <f>AN24+AN25+IF(AN16&lt;AM16,(AM16-AN16)*Inputs!$G$11,0)</f>
        <v>37040.747068097669</v>
      </c>
      <c r="AO26" s="180">
        <f>AO24+AO25+IF(AO16&lt;AN16,(AN16-AO16)*Inputs!$G$11,0)</f>
        <v>37263.495817488249</v>
      </c>
      <c r="AP26" s="180">
        <f>AP24+AP25+IF(AP16&lt;AO16,(AO16-AP16)*Inputs!$G$11,0)</f>
        <v>37321.4104923298</v>
      </c>
      <c r="AQ26" s="180">
        <f>AQ24+AQ25+IF(AQ16&lt;AP16,(AP16-AQ16)*Inputs!$G$11,0)</f>
        <v>37379.90431391976</v>
      </c>
      <c r="AR26" s="180">
        <f>AR24+AR25+IF(AR16&lt;AQ16,(AQ16-AR16)*Inputs!$G$11,0)</f>
        <v>37438.983073725627</v>
      </c>
      <c r="AS26" s="180">
        <f>AS24+AS25+IF(AS16&lt;AR16,(AR16-AS16)*Inputs!$G$11,0)</f>
        <v>37498.652621129542</v>
      </c>
      <c r="AT26" s="180">
        <f>AT24+AT25+IF(AT16&lt;AS16,(AS16-AT16)*Inputs!$G$11,0)</f>
        <v>37558.918864007508</v>
      </c>
      <c r="AU26" s="180">
        <f>AU24+AU25+IF(AU16&lt;AT16,(AT16-AU16)*Inputs!$G$11,0)</f>
        <v>37619.787769314251</v>
      </c>
      <c r="AV26" s="180">
        <f>AV24+AV25+IF(AV16&lt;AU16,(AU16-AV16)*Inputs!$G$11,0)</f>
        <v>37681.265363674058</v>
      </c>
      <c r="AW26" s="180">
        <f>AW24+AW25+IF(AW16&lt;AV16,(AV16-AW16)*Inputs!$G$11,0)</f>
        <v>37743.357733977464</v>
      </c>
      <c r="AX26" s="180">
        <f>AX24+AX25+IF(AX16&lt;AW16,(AW16-AX16)*Inputs!$G$11,0)</f>
        <v>37806.071027983911</v>
      </c>
      <c r="AY26" s="180">
        <f>AY24+AY25+IF(AY16&lt;AX16,(AX16-AY16)*Inputs!$G$11,0)</f>
        <v>37869.411454930414</v>
      </c>
      <c r="AZ26" s="180">
        <f>AZ24+AZ25+IF(AZ16&lt;AY16,(AY16-AZ16)*Inputs!$G$11,0)</f>
        <v>45844.753516182682</v>
      </c>
      <c r="BA26" s="180">
        <f>BA24+BA25+IF(BA16&lt;AZ16,(AZ16-BA16)*Inputs!$G$11,0)</f>
        <v>36902.809768011182</v>
      </c>
      <c r="BB26" s="180">
        <f>BB24+BB25+IF(BB16&lt;BA16,(BA16-BB16)*Inputs!$G$11,0)</f>
        <v>36961.446582357959</v>
      </c>
      <c r="BC26" s="180">
        <f>BC24+BC25+IF(BC16&lt;BB16,(BB16-BC16)*Inputs!$G$11,0)</f>
        <v>37020.669764848208</v>
      </c>
      <c r="BD26" s="180">
        <f>BD24+BD25+IF(BD16&lt;BC16,(BC16-BD16)*Inputs!$G$11,0)</f>
        <v>37080.485179163355</v>
      </c>
      <c r="BE26" s="180">
        <f>BE24+BE25+IF(BE16&lt;BD16,(BD16-BE16)*Inputs!$G$11,0)</f>
        <v>37140.898747621657</v>
      </c>
      <c r="BF26" s="180">
        <f>BF24+BF25+IF(BF16&lt;BE16,(BE16-BF16)*Inputs!$G$11,0)</f>
        <v>37201.91645176454</v>
      </c>
      <c r="BG26" s="180">
        <f>BG24+BG25+IF(BG16&lt;BF16,(BF16-BG16)*Inputs!$G$11,0)</f>
        <v>37263.544332948848</v>
      </c>
      <c r="BH26" s="180">
        <f>BH24+BH25+IF(BH16&lt;BG16,(BG16-BH16)*Inputs!$G$11,0)</f>
        <v>37325.788492945008</v>
      </c>
      <c r="BI26" s="180">
        <f>BI24+BI25+IF(BI16&lt;BH16,(BH16-BI16)*Inputs!$G$11,0)</f>
        <v>37388.655094541122</v>
      </c>
      <c r="BJ26" s="180">
        <f>BJ24+BJ25+IF(BJ16&lt;BI16,(BI16-BJ16)*Inputs!$G$11,0)</f>
        <v>37452.150362153203</v>
      </c>
      <c r="BK26" s="180">
        <f>BK24+BK25+IF(BK16&lt;BJ16,(BJ16-BK16)*Inputs!$G$11,0)</f>
        <v>37516.280582441403</v>
      </c>
      <c r="BL26" s="180">
        <f>BL24+BL25+IF(BL16&lt;BK16,(BK16-BL16)*Inputs!$G$11,0)</f>
        <v>37581.052104932482</v>
      </c>
      <c r="BM26" s="180">
        <f>BM24+BM25+IF(BM16&lt;BL16,(BL16-BM16)*Inputs!$G$11,0)</f>
        <v>37646.471342648474</v>
      </c>
      <c r="BN26" s="180">
        <f>BN24+BN25+IF(BN16&lt;BM16,(BM16-BN16)*Inputs!$G$11,0)</f>
        <v>37712.544772741618</v>
      </c>
      <c r="BO26" s="180">
        <f>BO24+BO25+IF(BO16&lt;BN16,(BN16-BO16)*Inputs!$G$11,0)</f>
        <v>37779.278937135707</v>
      </c>
      <c r="BP26" s="180">
        <f>BP24+BP25+IF(BP16&lt;BO16,(BO16-BP16)*Inputs!$G$11,0)</f>
        <v>37846.680443173733</v>
      </c>
      <c r="BQ26" s="180">
        <f>BQ24+BQ25+IF(BQ16&lt;BP16,(BP16-BQ16)*Inputs!$G$11,0)</f>
        <v>37914.755964272132</v>
      </c>
      <c r="BR26" s="180">
        <f>BR24+BR25+IF(BR16&lt;BQ16,(BQ16-BR16)*Inputs!$G$11,0)</f>
        <v>37983.51224058152</v>
      </c>
      <c r="BS26" s="180">
        <f>BS24+BS25+IF(BS16&lt;BR16,(BR16-BS16)*Inputs!$G$11,0)</f>
        <v>38052.956079654003</v>
      </c>
      <c r="BT26" s="180">
        <f>BT24+BT25+IF(BT16&lt;BS16,(BS16-BT16)*Inputs!$G$11,0)</f>
        <v>38052.956079654003</v>
      </c>
      <c r="BU26" s="180">
        <f>BU24+BU25+IF(BU16&lt;BT16,(BT16-BU16)*Inputs!$G$11,0)</f>
        <v>38052.956079654003</v>
      </c>
      <c r="BV26" s="180">
        <f>BV24+BV25+IF(BV16&lt;BU16,(BU16-BV16)*Inputs!$G$11,0)</f>
        <v>38052.956079654003</v>
      </c>
      <c r="BW26" s="180">
        <f>BW24+BW25+IF(BW16&lt;BV16,(BV16-BW16)*Inputs!$G$11,0)</f>
        <v>38052.956079654003</v>
      </c>
      <c r="BX26" s="180">
        <f>BX24+BX25+IF(BX16&lt;BW16,(BW16-BX16)*Inputs!$G$11,0)</f>
        <v>38052.956079654003</v>
      </c>
      <c r="BY26" s="180">
        <f>BY24+BY25+IF(BY16&lt;BX16,(BX16-BY16)*Inputs!$G$11,0)</f>
        <v>38052.956079654003</v>
      </c>
      <c r="BZ26" s="180">
        <f>BZ24+BZ25+IF(BZ16&lt;BY16,(BY16-BZ16)*Inputs!$G$11,0)</f>
        <v>38052.956079654003</v>
      </c>
      <c r="CA26" s="180">
        <f>CA24+CA25+IF(CA16&lt;BZ16,(BZ16-CA16)*Inputs!$G$11,0)</f>
        <v>38052.956079654003</v>
      </c>
      <c r="CB26" s="180">
        <f>CB24+CB25+IF(CB16&lt;CA16,(CA16-CB16)*Inputs!$G$11,0)</f>
        <v>38052.956079654003</v>
      </c>
      <c r="CC26" s="180">
        <f>CC24+CC25+IF(CC16&lt;CB16,(CB16-CC16)*Inputs!$G$11,0)</f>
        <v>38052.956079654003</v>
      </c>
      <c r="CD26" s="180">
        <f>CD24+CD25+IF(CD16&lt;CC16,(CC16-CD16)*Inputs!$G$11,0)</f>
        <v>38052.956079654003</v>
      </c>
      <c r="CE26" s="180">
        <f>CE24+CE25+IF(CE16&lt;CD16,(CD16-CE16)*Inputs!$G$11,0)</f>
        <v>38052.956079654003</v>
      </c>
      <c r="CF26" s="180">
        <f>CF24+CF25+IF(CF16&lt;CE16,(CE16-CF16)*Inputs!$G$11,0)</f>
        <v>38052.956079654003</v>
      </c>
      <c r="CG26" s="180">
        <f>CG24+CG25+IF(CG16&lt;CF16,(CF16-CG16)*Inputs!$G$11,0)</f>
        <v>38052.956079654003</v>
      </c>
      <c r="CH26" s="299">
        <f>CH24+CH25+IF(CH16&lt;CG16,(CG16-CH16)*Inputs!$G$11,0)</f>
        <v>38052.956079654003</v>
      </c>
    </row>
    <row r="27" spans="10:86" x14ac:dyDescent="0.3">
      <c r="J27" s="297" t="s">
        <v>544</v>
      </c>
      <c r="K27" s="180">
        <f t="shared" ref="K27:AP27" si="221">K21-K26</f>
        <v>-52600.265250000004</v>
      </c>
      <c r="L27" s="180">
        <f t="shared" si="221"/>
        <v>-19504.96125</v>
      </c>
      <c r="M27" s="180">
        <f t="shared" si="221"/>
        <v>-19504.96125</v>
      </c>
      <c r="N27" s="180">
        <f t="shared" si="221"/>
        <v>-19504.96125</v>
      </c>
      <c r="O27" s="180">
        <f t="shared" si="221"/>
        <v>-19504.96125</v>
      </c>
      <c r="P27" s="180">
        <f t="shared" si="221"/>
        <v>-19504.96125</v>
      </c>
      <c r="Q27" s="180">
        <f t="shared" si="221"/>
        <v>-19504.96125</v>
      </c>
      <c r="R27" s="180">
        <f t="shared" si="221"/>
        <v>-19504.96125</v>
      </c>
      <c r="S27" s="180">
        <f t="shared" si="221"/>
        <v>-19504.96125</v>
      </c>
      <c r="T27" s="180">
        <f t="shared" si="221"/>
        <v>-20210.02933097315</v>
      </c>
      <c r="U27" s="180">
        <f t="shared" si="221"/>
        <v>-16717.012050217894</v>
      </c>
      <c r="V27" s="180">
        <f t="shared" si="221"/>
        <v>-12106.229239620952</v>
      </c>
      <c r="W27" s="180">
        <f t="shared" si="221"/>
        <v>-30198.956185038118</v>
      </c>
      <c r="X27" s="180">
        <f t="shared" si="221"/>
        <v>-6031.5730975836559</v>
      </c>
      <c r="Y27" s="180">
        <f t="shared" si="221"/>
        <v>2109.3725778562439</v>
      </c>
      <c r="Z27" s="180">
        <f t="shared" si="221"/>
        <v>12855.420869436901</v>
      </c>
      <c r="AA27" s="180">
        <f t="shared" si="221"/>
        <v>14628.518837547708</v>
      </c>
      <c r="AB27" s="180">
        <f t="shared" si="221"/>
        <v>16472.540724382947</v>
      </c>
      <c r="AC27" s="180">
        <f t="shared" si="221"/>
        <v>18390.32348669161</v>
      </c>
      <c r="AD27" s="180">
        <f t="shared" si="221"/>
        <v>20384.817559492614</v>
      </c>
      <c r="AE27" s="180">
        <f t="shared" si="221"/>
        <v>22459.091395205651</v>
      </c>
      <c r="AF27" s="180">
        <f t="shared" si="221"/>
        <v>24616.336184347216</v>
      </c>
      <c r="AG27" s="180">
        <f t="shared" si="221"/>
        <v>26859.870765054446</v>
      </c>
      <c r="AH27" s="180">
        <f t="shared" si="221"/>
        <v>29193.146728989967</v>
      </c>
      <c r="AI27" s="180">
        <f t="shared" si="221"/>
        <v>31619.75373148291</v>
      </c>
      <c r="AJ27" s="180">
        <f t="shared" si="221"/>
        <v>34143.425014075532</v>
      </c>
      <c r="AK27" s="180">
        <f t="shared" si="221"/>
        <v>36768.043147971897</v>
      </c>
      <c r="AL27" s="180">
        <f t="shared" si="221"/>
        <v>39497.646007224103</v>
      </c>
      <c r="AM27" s="180">
        <f t="shared" si="221"/>
        <v>42336.432980846403</v>
      </c>
      <c r="AN27" s="180">
        <f t="shared" si="221"/>
        <v>45288.771433413596</v>
      </c>
      <c r="AO27" s="180">
        <f t="shared" si="221"/>
        <v>48359.203424083491</v>
      </c>
      <c r="AP27" s="180">
        <f t="shared" si="221"/>
        <v>49157.51574165764</v>
      </c>
      <c r="AQ27" s="180">
        <f t="shared" ref="AQ27:BV27" si="222">AQ21-AQ26</f>
        <v>49963.81118240756</v>
      </c>
      <c r="AR27" s="180">
        <f t="shared" si="222"/>
        <v>50778.169577564957</v>
      </c>
      <c r="AS27" s="180">
        <f t="shared" si="222"/>
        <v>51600.671556673944</v>
      </c>
      <c r="AT27" s="180">
        <f t="shared" si="222"/>
        <v>52431.398555574015</v>
      </c>
      <c r="AU27" s="180">
        <f t="shared" si="222"/>
        <v>53270.432824463089</v>
      </c>
      <c r="AV27" s="180">
        <f t="shared" si="222"/>
        <v>54117.857436041071</v>
      </c>
      <c r="AW27" s="180">
        <f t="shared" si="222"/>
        <v>54973.756293734798</v>
      </c>
      <c r="AX27" s="180">
        <f t="shared" si="222"/>
        <v>55838.214140005482</v>
      </c>
      <c r="AY27" s="180">
        <f t="shared" si="222"/>
        <v>56711.316564738874</v>
      </c>
      <c r="AZ27" s="180">
        <f t="shared" si="222"/>
        <v>39987.257161667221</v>
      </c>
      <c r="BA27" s="180">
        <f t="shared" si="222"/>
        <v>49787.521016617218</v>
      </c>
      <c r="BB27" s="180">
        <f t="shared" si="222"/>
        <v>50595.787510116723</v>
      </c>
      <c r="BC27" s="180">
        <f t="shared" si="222"/>
        <v>51412.136668551218</v>
      </c>
      <c r="BD27" s="180">
        <f t="shared" si="222"/>
        <v>52236.649318570082</v>
      </c>
      <c r="BE27" s="180">
        <f t="shared" si="222"/>
        <v>53069.407095089104</v>
      </c>
      <c r="BF27" s="180">
        <f t="shared" si="222"/>
        <v>53910.492449373327</v>
      </c>
      <c r="BG27" s="180">
        <f t="shared" si="222"/>
        <v>54759.988657200403</v>
      </c>
      <c r="BH27" s="180">
        <f t="shared" si="222"/>
        <v>55617.979827105752</v>
      </c>
      <c r="BI27" s="180">
        <f t="shared" si="222"/>
        <v>56484.550908710145</v>
      </c>
      <c r="BJ27" s="180">
        <f t="shared" si="222"/>
        <v>57359.787701130568</v>
      </c>
      <c r="BK27" s="180">
        <f t="shared" si="222"/>
        <v>58243.776861475206</v>
      </c>
      <c r="BL27" s="180">
        <f t="shared" si="222"/>
        <v>59136.6059134233</v>
      </c>
      <c r="BM27" s="180">
        <f t="shared" si="222"/>
        <v>60038.363255890865</v>
      </c>
      <c r="BN27" s="180">
        <f t="shared" si="222"/>
        <v>60949.13817178311</v>
      </c>
      <c r="BO27" s="180">
        <f t="shared" si="222"/>
        <v>61869.020836834272</v>
      </c>
      <c r="BP27" s="180">
        <f t="shared" si="222"/>
        <v>62798.102328535948</v>
      </c>
      <c r="BQ27" s="180">
        <f t="shared" si="222"/>
        <v>63736.474635154649</v>
      </c>
      <c r="BR27" s="180">
        <f t="shared" si="222"/>
        <v>64684.230664839532</v>
      </c>
      <c r="BS27" s="180">
        <f t="shared" si="222"/>
        <v>65641.464254821272</v>
      </c>
      <c r="BT27" s="180">
        <f t="shared" si="222"/>
        <v>65641.464254821272</v>
      </c>
      <c r="BU27" s="180">
        <f t="shared" si="222"/>
        <v>65641.464254821272</v>
      </c>
      <c r="BV27" s="180">
        <f t="shared" si="222"/>
        <v>65641.464254821272</v>
      </c>
      <c r="BW27" s="180">
        <f t="shared" ref="BW27:CH27" si="223">BW21-BW26</f>
        <v>65641.464254821272</v>
      </c>
      <c r="BX27" s="180">
        <f t="shared" si="223"/>
        <v>65641.464254821272</v>
      </c>
      <c r="BY27" s="180">
        <f t="shared" si="223"/>
        <v>65641.464254821272</v>
      </c>
      <c r="BZ27" s="180">
        <f t="shared" si="223"/>
        <v>65641.464254821272</v>
      </c>
      <c r="CA27" s="180">
        <f t="shared" si="223"/>
        <v>65641.464254821272</v>
      </c>
      <c r="CB27" s="180">
        <f t="shared" si="223"/>
        <v>65641.464254821272</v>
      </c>
      <c r="CC27" s="180">
        <f t="shared" si="223"/>
        <v>65641.464254821272</v>
      </c>
      <c r="CD27" s="180">
        <f t="shared" si="223"/>
        <v>65641.464254821272</v>
      </c>
      <c r="CE27" s="180">
        <f t="shared" si="223"/>
        <v>65641.464254821272</v>
      </c>
      <c r="CF27" s="180">
        <f t="shared" si="223"/>
        <v>65641.464254821272</v>
      </c>
      <c r="CG27" s="180">
        <f t="shared" si="223"/>
        <v>65641.464254821272</v>
      </c>
      <c r="CH27" s="299">
        <f t="shared" si="223"/>
        <v>65641.464254821272</v>
      </c>
    </row>
    <row r="28" spans="10:86" x14ac:dyDescent="0.3">
      <c r="J28" s="297" t="s">
        <v>545</v>
      </c>
      <c r="K28" s="180">
        <f>SUM($K$27:K27)</f>
        <v>-52600.265250000004</v>
      </c>
      <c r="L28" s="180">
        <f>SUM($K$27:L27)</f>
        <v>-72105.226500000004</v>
      </c>
      <c r="M28" s="180">
        <f>SUM($K$27:M27)</f>
        <v>-91610.187750000012</v>
      </c>
      <c r="N28" s="180">
        <f>SUM($K$27:N27)</f>
        <v>-111115.149</v>
      </c>
      <c r="O28" s="180">
        <f>SUM($K$27:O27)</f>
        <v>-130620.11025</v>
      </c>
      <c r="P28" s="180">
        <f>SUM($K$27:P27)</f>
        <v>-150125.07149999999</v>
      </c>
      <c r="Q28" s="180">
        <f>SUM($K$27:Q27)</f>
        <v>-169630.03274999998</v>
      </c>
      <c r="R28" s="180">
        <f>SUM($K$27:R27)</f>
        <v>-189134.99399999998</v>
      </c>
      <c r="S28" s="180">
        <f>SUM($K$27:S27)</f>
        <v>-208639.95524999997</v>
      </c>
      <c r="T28" s="180">
        <f>SUM($K$27:T27)</f>
        <v>-228849.98458097311</v>
      </c>
      <c r="U28" s="180">
        <f>SUM($K$27:U27)</f>
        <v>-245566.996631191</v>
      </c>
      <c r="V28" s="180">
        <f>SUM($K$27:V27)</f>
        <v>-257673.22587081196</v>
      </c>
      <c r="W28" s="180">
        <f>SUM($K$27:W27)</f>
        <v>-287872.18205585011</v>
      </c>
      <c r="X28" s="180">
        <f>SUM($K$27:X27)</f>
        <v>-293903.75515343377</v>
      </c>
      <c r="Y28" s="180">
        <f>SUM($K$27:Y27)</f>
        <v>-291794.38257557753</v>
      </c>
      <c r="Z28" s="180">
        <f>SUM($K$27:Z27)</f>
        <v>-278938.96170614066</v>
      </c>
      <c r="AA28" s="180">
        <f>SUM($K$27:AA27)</f>
        <v>-264310.44286859297</v>
      </c>
      <c r="AB28" s="180">
        <f>SUM($K$27:AB27)</f>
        <v>-247837.90214421003</v>
      </c>
      <c r="AC28" s="180">
        <f>SUM($K$27:AC27)</f>
        <v>-229447.57865751843</v>
      </c>
      <c r="AD28" s="180">
        <f>SUM($K$27:AD27)</f>
        <v>-209062.76109802583</v>
      </c>
      <c r="AE28" s="180">
        <f>SUM($K$27:AE27)</f>
        <v>-186603.66970282019</v>
      </c>
      <c r="AF28" s="180">
        <f>SUM($K$27:AF27)</f>
        <v>-161987.33351847297</v>
      </c>
      <c r="AG28" s="180">
        <f>SUM($K$27:AG27)</f>
        <v>-135127.46275341851</v>
      </c>
      <c r="AH28" s="180">
        <f>SUM($K$27:AH27)</f>
        <v>-105934.31602442855</v>
      </c>
      <c r="AI28" s="180">
        <f>SUM($K$27:AI27)</f>
        <v>-74314.562292945644</v>
      </c>
      <c r="AJ28" s="180">
        <f>SUM($K$27:AJ27)</f>
        <v>-40171.137278870112</v>
      </c>
      <c r="AK28" s="180">
        <f>SUM($K$27:AK27)</f>
        <v>-3403.0941308982146</v>
      </c>
      <c r="AL28" s="180">
        <f>SUM($K$27:AL27)</f>
        <v>36094.551876325888</v>
      </c>
      <c r="AM28" s="180">
        <f>SUM($K$27:AM27)</f>
        <v>78430.984857172298</v>
      </c>
      <c r="AN28" s="180">
        <f>SUM($K$27:AN27)</f>
        <v>123719.75629058589</v>
      </c>
      <c r="AO28" s="180">
        <f>SUM($K$27:AO27)</f>
        <v>172078.95971466938</v>
      </c>
      <c r="AP28" s="180">
        <f>SUM($K$27:AP27)</f>
        <v>221236.47545632703</v>
      </c>
      <c r="AQ28" s="180">
        <f>SUM($K$27:AQ27)</f>
        <v>271200.28663873457</v>
      </c>
      <c r="AR28" s="180">
        <f>SUM($K$27:AR27)</f>
        <v>321978.45621629956</v>
      </c>
      <c r="AS28" s="180">
        <f>SUM($K$27:AS27)</f>
        <v>373579.1277729735</v>
      </c>
      <c r="AT28" s="180">
        <f>SUM($K$27:AT27)</f>
        <v>426010.52632854751</v>
      </c>
      <c r="AU28" s="180">
        <f>SUM($K$27:AU27)</f>
        <v>479280.95915301063</v>
      </c>
      <c r="AV28" s="180">
        <f>SUM($K$27:AV27)</f>
        <v>533398.81658905174</v>
      </c>
      <c r="AW28" s="180">
        <f>SUM($K$27:AW27)</f>
        <v>588372.57288278651</v>
      </c>
      <c r="AX28" s="180">
        <f>SUM($K$27:AX27)</f>
        <v>644210.78702279204</v>
      </c>
      <c r="AY28" s="180">
        <f>SUM($K$27:AY27)</f>
        <v>700922.1035875309</v>
      </c>
      <c r="AZ28" s="180">
        <f>SUM($K$27:AZ27)</f>
        <v>740909.36074919812</v>
      </c>
      <c r="BA28" s="180">
        <f>SUM($K$27:BA27)</f>
        <v>790696.88176581531</v>
      </c>
      <c r="BB28" s="180">
        <f>SUM($K$27:BB27)</f>
        <v>841292.66927593201</v>
      </c>
      <c r="BC28" s="180">
        <f>SUM($K$27:BC27)</f>
        <v>892704.80594448326</v>
      </c>
      <c r="BD28" s="180">
        <f>SUM($K$27:BD27)</f>
        <v>944941.4552630533</v>
      </c>
      <c r="BE28" s="180">
        <f>SUM($K$27:BE27)</f>
        <v>998010.86235814239</v>
      </c>
      <c r="BF28" s="180">
        <f>SUM($K$27:BF27)</f>
        <v>1051921.3548075156</v>
      </c>
      <c r="BG28" s="180">
        <f>SUM($K$27:BG27)</f>
        <v>1106681.3434647161</v>
      </c>
      <c r="BH28" s="180">
        <f>SUM($K$27:BH27)</f>
        <v>1162299.3232918219</v>
      </c>
      <c r="BI28" s="180">
        <f>SUM($K$27:BI27)</f>
        <v>1218783.874200532</v>
      </c>
      <c r="BJ28" s="180">
        <f>SUM($K$27:BJ27)</f>
        <v>1276143.6619016626</v>
      </c>
      <c r="BK28" s="180">
        <f>SUM($K$27:BK27)</f>
        <v>1334387.4387631379</v>
      </c>
      <c r="BL28" s="180">
        <f>SUM($K$27:BL27)</f>
        <v>1393524.0446765611</v>
      </c>
      <c r="BM28" s="180">
        <f>SUM($K$27:BM27)</f>
        <v>1453562.4079324519</v>
      </c>
      <c r="BN28" s="180">
        <f>SUM($K$27:BN27)</f>
        <v>1514511.5461042351</v>
      </c>
      <c r="BO28" s="180">
        <f>SUM($K$27:BO27)</f>
        <v>1576380.5669410694</v>
      </c>
      <c r="BP28" s="180">
        <f>SUM($K$27:BP27)</f>
        <v>1639178.6692696053</v>
      </c>
      <c r="BQ28" s="180">
        <f>SUM($K$27:BQ27)</f>
        <v>1702915.14390476</v>
      </c>
      <c r="BR28" s="180">
        <f>SUM($K$27:BR27)</f>
        <v>1767599.3745695995</v>
      </c>
      <c r="BS28" s="180">
        <f>SUM($K$27:BS27)</f>
        <v>1833240.8388244207</v>
      </c>
      <c r="BT28" s="180">
        <f>SUM($K$27:BT27)</f>
        <v>1898882.3030792419</v>
      </c>
      <c r="BU28" s="180">
        <f>SUM($K$27:BU27)</f>
        <v>1964523.7673340631</v>
      </c>
      <c r="BV28" s="180">
        <f>SUM($K$27:BV27)</f>
        <v>2030165.2315888843</v>
      </c>
      <c r="BW28" s="180">
        <f>SUM($K$27:BW27)</f>
        <v>2095806.6958437054</v>
      </c>
      <c r="BX28" s="180">
        <f>SUM($K$27:BX27)</f>
        <v>2161448.1600985266</v>
      </c>
      <c r="BY28" s="180">
        <f>SUM($K$27:BY27)</f>
        <v>2227089.6243533478</v>
      </c>
      <c r="BZ28" s="180">
        <f>SUM($K$27:BZ27)</f>
        <v>2292731.088608169</v>
      </c>
      <c r="CA28" s="180">
        <f>SUM($K$27:CA27)</f>
        <v>2358372.5528629902</v>
      </c>
      <c r="CB28" s="180">
        <f>SUM($K$27:CB27)</f>
        <v>2424014.0171178114</v>
      </c>
      <c r="CC28" s="180">
        <f>SUM($K$27:CC27)</f>
        <v>2489655.4813726326</v>
      </c>
      <c r="CD28" s="180">
        <f>SUM($K$27:CD27)</f>
        <v>2555296.9456274537</v>
      </c>
      <c r="CE28" s="180">
        <f>SUM($K$27:CE27)</f>
        <v>2620938.4098822749</v>
      </c>
      <c r="CF28" s="180">
        <f>SUM($K$27:CF27)</f>
        <v>2686579.8741370961</v>
      </c>
      <c r="CG28" s="180">
        <f>SUM($K$27:CG27)</f>
        <v>2752221.3383919173</v>
      </c>
      <c r="CH28" s="299">
        <f>SUM($K$27:CH27)</f>
        <v>2817862.8026467385</v>
      </c>
    </row>
    <row r="29" spans="10:86" x14ac:dyDescent="0.3">
      <c r="J29" s="312" t="s">
        <v>546</v>
      </c>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3"/>
      <c r="AM29" s="313"/>
      <c r="AN29" s="313"/>
      <c r="AO29" s="313"/>
      <c r="AP29" s="313"/>
      <c r="AQ29" s="313"/>
      <c r="AR29" s="313"/>
      <c r="AS29" s="313"/>
      <c r="AT29" s="313"/>
      <c r="AU29" s="313"/>
      <c r="AV29" s="313"/>
      <c r="AW29" s="313"/>
      <c r="AX29" s="313"/>
      <c r="AY29" s="313"/>
      <c r="AZ29" s="313"/>
      <c r="BA29" s="313"/>
      <c r="BB29" s="313"/>
      <c r="BC29" s="313"/>
      <c r="BD29" s="313"/>
      <c r="BE29" s="313"/>
      <c r="BF29" s="313"/>
      <c r="BG29" s="313"/>
      <c r="BH29" s="313"/>
      <c r="BI29" s="313"/>
      <c r="BJ29" s="313"/>
      <c r="BK29" s="313"/>
      <c r="BL29" s="313"/>
      <c r="BM29" s="313"/>
      <c r="BN29" s="313"/>
      <c r="BO29" s="313"/>
      <c r="BP29" s="313"/>
      <c r="BQ29" s="313"/>
      <c r="BR29" s="313"/>
      <c r="BS29" s="313"/>
      <c r="BT29" s="313"/>
      <c r="BU29" s="313"/>
      <c r="BV29" s="313"/>
      <c r="BW29" s="313"/>
      <c r="BX29" s="313"/>
      <c r="BY29" s="313"/>
      <c r="BZ29" s="313"/>
      <c r="CA29" s="313"/>
      <c r="CB29" s="313"/>
      <c r="CC29" s="313"/>
      <c r="CD29" s="313"/>
      <c r="CE29" s="313"/>
      <c r="CF29" s="313"/>
      <c r="CG29" s="313"/>
      <c r="CH29" s="314"/>
    </row>
    <row r="30" spans="10:86" ht="17.25" thickBot="1" x14ac:dyDescent="0.35">
      <c r="J30" s="98" t="s">
        <v>547</v>
      </c>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c r="BM30" s="86"/>
      <c r="BN30" s="86"/>
      <c r="BO30" s="86"/>
      <c r="BP30" s="86"/>
      <c r="BQ30" s="86"/>
      <c r="BR30" s="86"/>
      <c r="BS30" s="86"/>
      <c r="BT30" s="86"/>
      <c r="BU30" s="86"/>
      <c r="BV30" s="86"/>
      <c r="BW30" s="86"/>
      <c r="BX30" s="86"/>
      <c r="BY30" s="86"/>
      <c r="BZ30" s="86"/>
      <c r="CA30" s="86"/>
      <c r="CB30" s="86"/>
      <c r="CC30" s="86"/>
      <c r="CD30" s="86"/>
      <c r="CE30" s="86"/>
      <c r="CF30" s="86"/>
      <c r="CG30" s="86"/>
      <c r="CH30" s="99"/>
    </row>
    <row r="31" spans="10:86" x14ac:dyDescent="0.3"/>
    <row r="32" spans="10:86" x14ac:dyDescent="0.3"/>
    <row r="33" spans="11:86" x14ac:dyDescent="0.3"/>
    <row r="34" spans="11:86" x14ac:dyDescent="0.3"/>
    <row r="35" spans="11:86" x14ac:dyDescent="0.3"/>
    <row r="36" spans="11:86" x14ac:dyDescent="0.3"/>
    <row r="37" spans="11:86" x14ac:dyDescent="0.3"/>
    <row r="38" spans="11:86" x14ac:dyDescent="0.3">
      <c r="K38" s="102" t="str">
        <f>IF(K20&gt;0,K19,"")</f>
        <v/>
      </c>
      <c r="L38" s="102" t="str">
        <f t="shared" ref="L38:BW38" si="224">IF(L20&gt;0,L19,"")</f>
        <v/>
      </c>
      <c r="M38" s="102" t="str">
        <f t="shared" si="224"/>
        <v/>
      </c>
      <c r="N38" s="102" t="str">
        <f t="shared" si="224"/>
        <v/>
      </c>
      <c r="O38" s="102" t="str">
        <f t="shared" si="224"/>
        <v/>
      </c>
      <c r="P38" s="102" t="str">
        <f t="shared" si="224"/>
        <v/>
      </c>
      <c r="Q38" s="102" t="str">
        <f t="shared" si="224"/>
        <v/>
      </c>
      <c r="R38" s="102" t="str">
        <f t="shared" si="224"/>
        <v/>
      </c>
      <c r="S38" s="102" t="str">
        <f t="shared" si="224"/>
        <v/>
      </c>
      <c r="T38" s="102">
        <f t="shared" si="224"/>
        <v>2034</v>
      </c>
      <c r="U38" s="102">
        <f t="shared" si="224"/>
        <v>2035</v>
      </c>
      <c r="V38" s="102">
        <f t="shared" si="224"/>
        <v>2036</v>
      </c>
      <c r="W38" s="102">
        <f t="shared" si="224"/>
        <v>2037</v>
      </c>
      <c r="X38" s="102">
        <f t="shared" si="224"/>
        <v>2038</v>
      </c>
      <c r="Y38" s="102">
        <f t="shared" si="224"/>
        <v>2039</v>
      </c>
      <c r="Z38" s="102">
        <f t="shared" si="224"/>
        <v>2040</v>
      </c>
      <c r="AA38" s="102">
        <f t="shared" si="224"/>
        <v>2041</v>
      </c>
      <c r="AB38" s="102">
        <f t="shared" si="224"/>
        <v>2042</v>
      </c>
      <c r="AC38" s="102">
        <f t="shared" si="224"/>
        <v>2043</v>
      </c>
      <c r="AD38" s="102">
        <f t="shared" si="224"/>
        <v>2044</v>
      </c>
      <c r="AE38" s="102">
        <f t="shared" si="224"/>
        <v>2045</v>
      </c>
      <c r="AF38" s="102">
        <f t="shared" si="224"/>
        <v>2046</v>
      </c>
      <c r="AG38" s="102">
        <f t="shared" si="224"/>
        <v>2047</v>
      </c>
      <c r="AH38" s="102">
        <f t="shared" si="224"/>
        <v>2048</v>
      </c>
      <c r="AI38" s="102">
        <f t="shared" si="224"/>
        <v>2049</v>
      </c>
      <c r="AJ38" s="102">
        <f t="shared" si="224"/>
        <v>2050</v>
      </c>
      <c r="AK38" s="102">
        <f t="shared" si="224"/>
        <v>2051</v>
      </c>
      <c r="AL38" s="102">
        <f t="shared" si="224"/>
        <v>2052</v>
      </c>
      <c r="AM38" s="102">
        <f t="shared" si="224"/>
        <v>2053</v>
      </c>
      <c r="AN38" s="102">
        <f t="shared" si="224"/>
        <v>2054</v>
      </c>
      <c r="AO38" s="102">
        <f t="shared" si="224"/>
        <v>2055</v>
      </c>
      <c r="AP38" s="102">
        <f t="shared" si="224"/>
        <v>2056</v>
      </c>
      <c r="AQ38" s="102">
        <f t="shared" si="224"/>
        <v>2057</v>
      </c>
      <c r="AR38" s="102">
        <f t="shared" si="224"/>
        <v>2058</v>
      </c>
      <c r="AS38" s="102">
        <f t="shared" si="224"/>
        <v>2059</v>
      </c>
      <c r="AT38" s="102">
        <f t="shared" si="224"/>
        <v>2060</v>
      </c>
      <c r="AU38" s="102">
        <f t="shared" si="224"/>
        <v>2061</v>
      </c>
      <c r="AV38" s="102">
        <f t="shared" si="224"/>
        <v>2062</v>
      </c>
      <c r="AW38" s="102">
        <f t="shared" si="224"/>
        <v>2063</v>
      </c>
      <c r="AX38" s="102">
        <f t="shared" si="224"/>
        <v>2064</v>
      </c>
      <c r="AY38" s="102">
        <f t="shared" si="224"/>
        <v>2065</v>
      </c>
      <c r="AZ38" s="102">
        <f t="shared" si="224"/>
        <v>2066</v>
      </c>
      <c r="BA38" s="102">
        <f t="shared" si="224"/>
        <v>2067</v>
      </c>
      <c r="BB38" s="102">
        <f t="shared" si="224"/>
        <v>2068</v>
      </c>
      <c r="BC38" s="102">
        <f t="shared" si="224"/>
        <v>2069</v>
      </c>
      <c r="BD38" s="102">
        <f t="shared" si="224"/>
        <v>2070</v>
      </c>
      <c r="BE38" s="102">
        <f t="shared" si="224"/>
        <v>2071</v>
      </c>
      <c r="BF38" s="102">
        <f t="shared" si="224"/>
        <v>2072</v>
      </c>
      <c r="BG38" s="102">
        <f t="shared" si="224"/>
        <v>2073</v>
      </c>
      <c r="BH38" s="102">
        <f t="shared" si="224"/>
        <v>2074</v>
      </c>
      <c r="BI38" s="102">
        <f t="shared" si="224"/>
        <v>2075</v>
      </c>
      <c r="BJ38" s="102">
        <f t="shared" si="224"/>
        <v>2076</v>
      </c>
      <c r="BK38" s="102">
        <f t="shared" si="224"/>
        <v>2077</v>
      </c>
      <c r="BL38" s="102">
        <f t="shared" si="224"/>
        <v>2078</v>
      </c>
      <c r="BM38" s="102">
        <f t="shared" si="224"/>
        <v>2079</v>
      </c>
      <c r="BN38" s="102">
        <f t="shared" si="224"/>
        <v>2080</v>
      </c>
      <c r="BO38" s="102">
        <f t="shared" si="224"/>
        <v>2081</v>
      </c>
      <c r="BP38" s="102">
        <f t="shared" si="224"/>
        <v>2082</v>
      </c>
      <c r="BQ38" s="102">
        <f t="shared" si="224"/>
        <v>2083</v>
      </c>
      <c r="BR38" s="102">
        <f t="shared" si="224"/>
        <v>2084</v>
      </c>
      <c r="BS38" s="102">
        <f t="shared" si="224"/>
        <v>2085</v>
      </c>
      <c r="BT38" s="102">
        <f t="shared" si="224"/>
        <v>2086</v>
      </c>
      <c r="BU38" s="102">
        <f t="shared" si="224"/>
        <v>2087</v>
      </c>
      <c r="BV38" s="102">
        <f t="shared" si="224"/>
        <v>2088</v>
      </c>
      <c r="BW38" s="102">
        <f t="shared" si="224"/>
        <v>2089</v>
      </c>
      <c r="BX38" s="102">
        <f t="shared" ref="BX38:CH38" si="225">IF(BX20&gt;0,BX19,"")</f>
        <v>2090</v>
      </c>
      <c r="BY38" s="102">
        <f t="shared" si="225"/>
        <v>2091</v>
      </c>
      <c r="BZ38" s="102">
        <f t="shared" si="225"/>
        <v>2092</v>
      </c>
      <c r="CA38" s="102">
        <f t="shared" si="225"/>
        <v>2093</v>
      </c>
      <c r="CB38" s="102">
        <f t="shared" si="225"/>
        <v>2094</v>
      </c>
      <c r="CC38" s="102">
        <f t="shared" si="225"/>
        <v>2095</v>
      </c>
      <c r="CD38" s="102">
        <f t="shared" si="225"/>
        <v>2096</v>
      </c>
      <c r="CE38" s="102">
        <f t="shared" si="225"/>
        <v>2097</v>
      </c>
      <c r="CF38" s="102">
        <f t="shared" si="225"/>
        <v>2098</v>
      </c>
      <c r="CG38" s="102">
        <f t="shared" si="225"/>
        <v>2099</v>
      </c>
      <c r="CH38" s="102">
        <f t="shared" si="225"/>
        <v>2100</v>
      </c>
    </row>
    <row r="39" spans="11:86" x14ac:dyDescent="0.3"/>
    <row r="40" spans="11:86" x14ac:dyDescent="0.3"/>
    <row r="41" spans="11:86" x14ac:dyDescent="0.3"/>
    <row r="42" spans="11:86" x14ac:dyDescent="0.3"/>
    <row r="43" spans="11:86" x14ac:dyDescent="0.3"/>
    <row r="44" spans="11:86" x14ac:dyDescent="0.3"/>
    <row r="45" spans="11:86" x14ac:dyDescent="0.3"/>
    <row r="46" spans="11:86" x14ac:dyDescent="0.3"/>
    <row r="47" spans="11:86" x14ac:dyDescent="0.3"/>
    <row r="48" spans="11:86" x14ac:dyDescent="0.3"/>
    <row r="49" spans="21:28" x14ac:dyDescent="0.3"/>
    <row r="50" spans="21:28" x14ac:dyDescent="0.3"/>
    <row r="51" spans="21:28" x14ac:dyDescent="0.3"/>
    <row r="52" spans="21:28" x14ac:dyDescent="0.3"/>
    <row r="53" spans="21:28" x14ac:dyDescent="0.3"/>
    <row r="54" spans="21:28" x14ac:dyDescent="0.3"/>
    <row r="55" spans="21:28" x14ac:dyDescent="0.3"/>
    <row r="56" spans="21:28" x14ac:dyDescent="0.3"/>
    <row r="57" spans="21:28" x14ac:dyDescent="0.3"/>
    <row r="58" spans="21:28" x14ac:dyDescent="0.3"/>
    <row r="59" spans="21:28" x14ac:dyDescent="0.3"/>
    <row r="60" spans="21:28" x14ac:dyDescent="0.3">
      <c r="U60" s="75" t="s">
        <v>299</v>
      </c>
      <c r="V60" s="75" t="s">
        <v>300</v>
      </c>
      <c r="W60" s="75">
        <v>0.5</v>
      </c>
      <c r="Y60" t="s">
        <v>208</v>
      </c>
      <c r="Z60" s="77">
        <v>10</v>
      </c>
      <c r="AA60" s="77">
        <v>25</v>
      </c>
      <c r="AB60" s="77">
        <v>70</v>
      </c>
    </row>
    <row r="61" spans="21:28" hidden="1" x14ac:dyDescent="0.3">
      <c r="Y61" t="s">
        <v>215</v>
      </c>
      <c r="Z61" s="78">
        <v>0.4</v>
      </c>
      <c r="AA61" s="78">
        <v>0.1</v>
      </c>
      <c r="AB61" s="78">
        <v>0.01</v>
      </c>
    </row>
    <row r="62" spans="21:28" hidden="1" x14ac:dyDescent="0.3">
      <c r="Y62" t="s">
        <v>215</v>
      </c>
      <c r="Z62" s="78">
        <v>0.4</v>
      </c>
      <c r="AA62" s="78">
        <v>0.08</v>
      </c>
      <c r="AB62" s="78">
        <v>0.02</v>
      </c>
    </row>
    <row r="66" spans="11:36" hidden="1" x14ac:dyDescent="0.3">
      <c r="K66" s="75"/>
      <c r="L66" s="75"/>
      <c r="M66" s="75"/>
      <c r="N66" s="75"/>
      <c r="O66" s="75"/>
      <c r="P66" s="75"/>
      <c r="Q66" s="75"/>
      <c r="R66" s="75"/>
      <c r="S66" s="75"/>
      <c r="T66" s="75"/>
      <c r="X66" s="75"/>
      <c r="AC66" s="75"/>
      <c r="AD66" s="75"/>
      <c r="AE66" s="75"/>
      <c r="AF66" s="75"/>
      <c r="AG66" s="75"/>
      <c r="AH66" s="75"/>
      <c r="AI66" s="75"/>
      <c r="AJ66" s="75"/>
    </row>
    <row r="70" spans="11:36" hidden="1" x14ac:dyDescent="0.3">
      <c r="L70">
        <v>0.72</v>
      </c>
      <c r="N70" t="s">
        <v>171</v>
      </c>
    </row>
    <row r="71" spans="11:36" hidden="1" x14ac:dyDescent="0.3">
      <c r="K71" s="74" t="s">
        <v>170</v>
      </c>
    </row>
  </sheetData>
  <protectedRanges>
    <protectedRange sqref="L2:L6 K5:K6 M5:M6 K12" name="Grey cells"/>
  </protectedRanges>
  <mergeCells count="1">
    <mergeCell ref="A1:H1"/>
  </mergeCells>
  <phoneticPr fontId="9" type="noConversion"/>
  <hyperlinks>
    <hyperlink ref="K71" r:id="rId1" xr:uid="{7B2F5C3C-7F95-40DE-B57C-FD0DAE9255A7}"/>
  </hyperlinks>
  <pageMargins left="0.7" right="0.7" top="0.75" bottom="0.75" header="0.3" footer="0.3"/>
  <pageSetup orientation="landscape" r:id="rId2"/>
  <ignoredErrors>
    <ignoredError sqref="U12:CH12 L12:O12 P12:T12 K14:CH14" formula="1"/>
  </ignoredErrors>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feaba0f-363c-487a-9eab-504fb0ae0068">
      <Terms xmlns="http://schemas.microsoft.com/office/infopath/2007/PartnerControls"/>
    </lcf76f155ced4ddcb4097134ff3c332f>
    <TaxCatchAll xmlns="3cf54786-5cbe-4eed-9d82-be7bae57988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E272BA2EC307A4F840456AFB3F4BF30" ma:contentTypeVersion="15" ma:contentTypeDescription="Create a new document." ma:contentTypeScope="" ma:versionID="e7135de11d12d073d7a6ede4b04666d3">
  <xsd:schema xmlns:xsd="http://www.w3.org/2001/XMLSchema" xmlns:xs="http://www.w3.org/2001/XMLSchema" xmlns:p="http://schemas.microsoft.com/office/2006/metadata/properties" xmlns:ns2="afeaba0f-363c-487a-9eab-504fb0ae0068" xmlns:ns3="3cf54786-5cbe-4eed-9d82-be7bae57988e" targetNamespace="http://schemas.microsoft.com/office/2006/metadata/properties" ma:root="true" ma:fieldsID="153500833204045ca796943900e2c449" ns2:_="" ns3:_="">
    <xsd:import namespace="afeaba0f-363c-487a-9eab-504fb0ae0068"/>
    <xsd:import namespace="3cf54786-5cbe-4eed-9d82-be7bae57988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eaba0f-363c-487a-9eab-504fb0ae00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f54786-5cbe-4eed-9d82-be7bae5798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2560828-92f4-433d-b2dd-f0bd0e5db71c}" ma:internalName="TaxCatchAll" ma:showField="CatchAllData" ma:web="3cf54786-5cbe-4eed-9d82-be7bae5798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279A21-D862-4431-9A77-BD74B4A49989}">
  <ds:schemaRefs>
    <ds:schemaRef ds:uri="http://purl.org/dc/terms/"/>
    <ds:schemaRef ds:uri="http://schemas.openxmlformats.org/package/2006/metadata/core-properties"/>
    <ds:schemaRef ds:uri="http://www.w3.org/XML/1998/namespace"/>
    <ds:schemaRef ds:uri="afeaba0f-363c-487a-9eab-504fb0ae0068"/>
    <ds:schemaRef ds:uri="http://schemas.microsoft.com/office/2006/metadata/properties"/>
    <ds:schemaRef ds:uri="http://purl.org/dc/dcmitype/"/>
    <ds:schemaRef ds:uri="http://schemas.microsoft.com/office/infopath/2007/PartnerControls"/>
    <ds:schemaRef ds:uri="http://schemas.microsoft.com/office/2006/documentManagement/types"/>
    <ds:schemaRef ds:uri="3cf54786-5cbe-4eed-9d82-be7bae57988e"/>
    <ds:schemaRef ds:uri="http://purl.org/dc/elements/1.1/"/>
  </ds:schemaRefs>
</ds:datastoreItem>
</file>

<file path=customXml/itemProps2.xml><?xml version="1.0" encoding="utf-8"?>
<ds:datastoreItem xmlns:ds="http://schemas.openxmlformats.org/officeDocument/2006/customXml" ds:itemID="{774FA72B-E21C-4FDF-9624-082C6CF4F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eaba0f-363c-487a-9eab-504fb0ae0068"/>
    <ds:schemaRef ds:uri="3cf54786-5cbe-4eed-9d82-be7bae579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AE0E97-4499-475D-92F5-C7B8BB1EC2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Introduction</vt:lpstr>
      <vt:lpstr>Inputs</vt:lpstr>
      <vt:lpstr>Investment</vt:lpstr>
      <vt:lpstr>Labor</vt:lpstr>
      <vt:lpstr>Establishment</vt:lpstr>
      <vt:lpstr>Pecan budget</vt:lpstr>
      <vt:lpstr>Long-term Model Summary</vt:lpstr>
      <vt:lpstr>Establishment!BudgetActivities</vt:lpstr>
      <vt:lpstr>'Pecan budget'!BudgetActivities</vt:lpstr>
    </vt:vector>
  </TitlesOfParts>
  <Company>University of Missouri Extension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Milhollin</dc:creator>
  <cp:lastModifiedBy>Kientzy, Andrew</cp:lastModifiedBy>
  <cp:lastPrinted>2025-01-29T22:42:03Z</cp:lastPrinted>
  <dcterms:created xsi:type="dcterms:W3CDTF">2017-09-15T18:27:18Z</dcterms:created>
  <dcterms:modified xsi:type="dcterms:W3CDTF">2025-07-23T12:52:27Z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0x010100CE272BA2EC307A4F840456AFB3F4BF30</vt:lpwstr>
  </property>
  <property fmtid="{D5CDD505-2E9C-101B-9397-08002B2CF9AE}" pid="3" name="MediaServiceImageTags">
    <vt:lpwstr/>
  </property>
</Properties>
</file>