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mailmissouri-my.sharepoint.com/personal/dskvnq_umsystem_edu/Documents/My things/2024/Fencing cost/"/>
    </mc:Choice>
  </mc:AlternateContent>
  <xr:revisionPtr revIDLastSave="1115" documentId="8_{2965D954-9A37-44C6-86EF-65E9FA70B7F2}" xr6:coauthVersionLast="47" xr6:coauthVersionMax="47" xr10:uidLastSave="{92B36E79-26C4-4EBA-A3D9-F95AF26DEA55}"/>
  <bookViews>
    <workbookView xWindow="28680" yWindow="-120" windowWidth="29040" windowHeight="15720" xr2:uid="{995DBCA2-7B09-4820-B60F-713C81BD812F}"/>
  </bookViews>
  <sheets>
    <sheet name="Introduction" sheetId="8" r:id="rId1"/>
    <sheet name="Project" sheetId="9" r:id="rId2"/>
    <sheet name="Material prices" sheetId="1" r:id="rId3"/>
    <sheet name="Woven wire" sheetId="2" r:id="rId4"/>
    <sheet name="5-barb" sheetId="3" r:id="rId5"/>
    <sheet name="6-wire HT" sheetId="4" r:id="rId6"/>
    <sheet name="Electrified HT" sheetId="11" r:id="rId7"/>
    <sheet name="Summary" sheetId="10" r:id="rId8"/>
    <sheet name="Electric interior" sheetId="5" r:id="rId9"/>
    <sheet name="Corral fencing" sheetId="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5" l="1"/>
  <c r="L13" i="5" s="1"/>
  <c r="G18" i="11"/>
  <c r="D18" i="11"/>
  <c r="H13" i="5"/>
  <c r="B18" i="5"/>
  <c r="B17" i="5"/>
  <c r="H12" i="5"/>
  <c r="F16" i="5"/>
  <c r="D21" i="11"/>
  <c r="B19" i="4"/>
  <c r="B18" i="3"/>
  <c r="B19" i="2"/>
  <c r="B24" i="11"/>
  <c r="L6" i="1"/>
  <c r="L7" i="1"/>
  <c r="L8" i="1"/>
  <c r="L4" i="1"/>
  <c r="G19" i="11"/>
  <c r="D19" i="11"/>
  <c r="H19" i="11" s="1"/>
  <c r="C19" i="11"/>
  <c r="D17" i="11"/>
  <c r="D16" i="11"/>
  <c r="D8" i="11"/>
  <c r="D9" i="11"/>
  <c r="G16" i="11"/>
  <c r="C9" i="11"/>
  <c r="C11" i="11" s="1"/>
  <c r="G11" i="11" s="1"/>
  <c r="G21" i="11"/>
  <c r="G20" i="11"/>
  <c r="G17" i="11"/>
  <c r="B17" i="11"/>
  <c r="G8" i="11"/>
  <c r="D7" i="11"/>
  <c r="C7" i="11"/>
  <c r="G7" i="11" s="1"/>
  <c r="D6" i="11"/>
  <c r="C6" i="11"/>
  <c r="G6" i="11" s="1"/>
  <c r="G5" i="11"/>
  <c r="C5" i="11"/>
  <c r="D4" i="11"/>
  <c r="C4" i="11"/>
  <c r="D3" i="11"/>
  <c r="C3" i="11"/>
  <c r="C15" i="11" s="1"/>
  <c r="D15" i="11" s="1"/>
  <c r="L31" i="9"/>
  <c r="K28" i="9"/>
  <c r="H18" i="11" l="1"/>
  <c r="D13" i="11"/>
  <c r="C13" i="11"/>
  <c r="G13" i="11" s="1"/>
  <c r="D10" i="11"/>
  <c r="D11" i="11"/>
  <c r="H16" i="11"/>
  <c r="H13" i="11"/>
  <c r="H11" i="11"/>
  <c r="L17" i="11"/>
  <c r="H8" i="11"/>
  <c r="H17" i="11"/>
  <c r="G9" i="11"/>
  <c r="H9" i="11" s="1"/>
  <c r="K17" i="11"/>
  <c r="H7" i="11"/>
  <c r="G15" i="11"/>
  <c r="H6" i="11"/>
  <c r="G3" i="11"/>
  <c r="H3" i="11" s="1"/>
  <c r="F33" i="9"/>
  <c r="H15" i="11" l="1"/>
  <c r="M28" i="9"/>
  <c r="O30" i="9"/>
  <c r="H4" i="11" s="1"/>
  <c r="G4" i="11" s="1"/>
  <c r="G4" i="7"/>
  <c r="K4" i="7" s="1"/>
  <c r="K9" i="7"/>
  <c r="L9" i="7" s="1"/>
  <c r="H9" i="7"/>
  <c r="G14" i="4"/>
  <c r="B14" i="4"/>
  <c r="K11" i="7"/>
  <c r="K10" i="7"/>
  <c r="K9" i="5" l="1"/>
  <c r="G15" i="4"/>
  <c r="G14" i="3"/>
  <c r="G15" i="2"/>
  <c r="D8" i="4"/>
  <c r="G8" i="4"/>
  <c r="I5" i="7" l="1"/>
  <c r="H5" i="7"/>
  <c r="G5" i="7"/>
  <c r="D9" i="4"/>
  <c r="D10" i="4"/>
  <c r="L28" i="9"/>
  <c r="C10" i="4"/>
  <c r="F30" i="9"/>
  <c r="F31" i="9"/>
  <c r="G4" i="1"/>
  <c r="G5" i="1"/>
  <c r="G6" i="1"/>
  <c r="G7" i="1"/>
  <c r="G8" i="1"/>
  <c r="G9" i="1"/>
  <c r="G10" i="1"/>
  <c r="I3" i="5"/>
  <c r="H3" i="5"/>
  <c r="K4" i="5"/>
  <c r="K12" i="5"/>
  <c r="C9" i="4"/>
  <c r="L14" i="4" s="1"/>
  <c r="D3" i="4" l="1"/>
  <c r="D3" i="2"/>
  <c r="D3" i="3"/>
  <c r="G30" i="9"/>
  <c r="G31" i="9"/>
  <c r="L12" i="5"/>
  <c r="G7" i="5"/>
  <c r="G6" i="7"/>
  <c r="K6" i="7"/>
  <c r="R21" i="7"/>
  <c r="R23" i="7"/>
  <c r="B10" i="7"/>
  <c r="B9" i="7"/>
  <c r="K5" i="7"/>
  <c r="I4" i="7"/>
  <c r="H4" i="7" s="1"/>
  <c r="H7" i="5" l="1"/>
  <c r="K7" i="5"/>
  <c r="S21" i="7"/>
  <c r="T21" i="7" s="1"/>
  <c r="H6" i="7" s="1"/>
  <c r="L6" i="7" s="1"/>
  <c r="L5" i="7"/>
  <c r="L4" i="7"/>
  <c r="G3" i="7" l="1"/>
  <c r="I3" i="7" s="1"/>
  <c r="H3" i="7" s="1"/>
  <c r="K8" i="7"/>
  <c r="I8" i="7"/>
  <c r="T3" i="7"/>
  <c r="I7" i="7"/>
  <c r="K3" i="7" l="1"/>
  <c r="B22" i="9"/>
  <c r="B19" i="9"/>
  <c r="G8" i="7"/>
  <c r="H8" i="7" s="1"/>
  <c r="L8" i="7" s="1"/>
  <c r="G7" i="7"/>
  <c r="H7" i="7" s="1"/>
  <c r="C3" i="4"/>
  <c r="C3" i="2"/>
  <c r="K7" i="7" l="1"/>
  <c r="K8" i="5"/>
  <c r="H8" i="5"/>
  <c r="H11" i="5"/>
  <c r="L8" i="5" l="1"/>
  <c r="L7" i="7"/>
  <c r="L3" i="7"/>
  <c r="H6" i="5"/>
  <c r="K5" i="5"/>
  <c r="H5" i="5"/>
  <c r="H4" i="5"/>
  <c r="K3" i="5"/>
  <c r="J8" i="1"/>
  <c r="K8" i="1"/>
  <c r="M8" i="1"/>
  <c r="J7" i="1"/>
  <c r="K7" i="1"/>
  <c r="M7" i="1"/>
  <c r="J6" i="1"/>
  <c r="K6" i="1"/>
  <c r="M6" i="1"/>
  <c r="H10" i="5" s="1"/>
  <c r="H9" i="5" s="1"/>
  <c r="I8" i="1"/>
  <c r="I7" i="1"/>
  <c r="I4" i="1"/>
  <c r="I6" i="1"/>
  <c r="J4" i="1"/>
  <c r="K4" i="1"/>
  <c r="M4" i="1"/>
  <c r="P12" i="9"/>
  <c r="O12" i="9"/>
  <c r="K11" i="5"/>
  <c r="K10" i="5"/>
  <c r="K6" i="5"/>
  <c r="C4" i="2"/>
  <c r="H4" i="2" s="1"/>
  <c r="G3" i="4"/>
  <c r="K14" i="4"/>
  <c r="C11" i="4"/>
  <c r="D11" i="4" s="1"/>
  <c r="G16" i="4"/>
  <c r="D7" i="4"/>
  <c r="C7" i="4"/>
  <c r="G7" i="4" s="1"/>
  <c r="H7" i="4" s="1"/>
  <c r="D6" i="4"/>
  <c r="C6" i="4"/>
  <c r="G6" i="4" s="1"/>
  <c r="G5" i="4"/>
  <c r="C5" i="4"/>
  <c r="C4" i="4"/>
  <c r="D8" i="3"/>
  <c r="G15" i="3"/>
  <c r="D10" i="3"/>
  <c r="C10" i="3"/>
  <c r="D9" i="3"/>
  <c r="C9" i="3"/>
  <c r="G9" i="3" s="1"/>
  <c r="G8" i="3"/>
  <c r="D7" i="3"/>
  <c r="C7" i="3"/>
  <c r="G7" i="3" s="1"/>
  <c r="D6" i="3"/>
  <c r="C6" i="3"/>
  <c r="G6" i="3" s="1"/>
  <c r="G5" i="3"/>
  <c r="C5" i="3"/>
  <c r="C4" i="3"/>
  <c r="C3" i="3"/>
  <c r="G3" i="3" s="1"/>
  <c r="D9" i="2"/>
  <c r="D8" i="2"/>
  <c r="H21" i="11" l="1"/>
  <c r="D20" i="11"/>
  <c r="H20" i="11" s="1"/>
  <c r="K14" i="7"/>
  <c r="L14" i="7" s="1"/>
  <c r="K15" i="4"/>
  <c r="L15" i="4"/>
  <c r="G10" i="4"/>
  <c r="H10" i="4" s="1"/>
  <c r="D16" i="2"/>
  <c r="D15" i="2" s="1"/>
  <c r="D15" i="3"/>
  <c r="D14" i="3" s="1"/>
  <c r="C11" i="3"/>
  <c r="G11" i="3" s="1"/>
  <c r="H7" i="3"/>
  <c r="L7" i="5"/>
  <c r="L4" i="5"/>
  <c r="L3" i="5"/>
  <c r="D16" i="4"/>
  <c r="D15" i="4" s="1"/>
  <c r="L5" i="5"/>
  <c r="L11" i="5"/>
  <c r="L6" i="5"/>
  <c r="G11" i="4"/>
  <c r="H8" i="3"/>
  <c r="C12" i="4"/>
  <c r="D12" i="4" s="1"/>
  <c r="H8" i="4"/>
  <c r="H3" i="3"/>
  <c r="H6" i="4"/>
  <c r="H3" i="4"/>
  <c r="C13" i="4"/>
  <c r="D13" i="4" s="1"/>
  <c r="G9" i="4"/>
  <c r="H9" i="4" s="1"/>
  <c r="H9" i="3"/>
  <c r="H6" i="3"/>
  <c r="G10" i="3"/>
  <c r="H10" i="3" s="1"/>
  <c r="C13" i="3"/>
  <c r="D13" i="3" s="1"/>
  <c r="C12" i="3"/>
  <c r="G16" i="2"/>
  <c r="G9" i="2"/>
  <c r="G8" i="2"/>
  <c r="G5" i="2"/>
  <c r="K29" i="9"/>
  <c r="K30" i="9"/>
  <c r="K31" i="9"/>
  <c r="L29" i="9"/>
  <c r="F34" i="9"/>
  <c r="G34" i="9" s="1"/>
  <c r="H34" i="9" s="1"/>
  <c r="F32" i="9"/>
  <c r="H31" i="9"/>
  <c r="H30" i="9"/>
  <c r="C7" i="2"/>
  <c r="G7" i="2" s="1"/>
  <c r="C6" i="2"/>
  <c r="G6" i="2" s="1"/>
  <c r="G23" i="11" l="1"/>
  <c r="F4" i="10" s="1"/>
  <c r="G32" i="9"/>
  <c r="H32" i="9" s="1"/>
  <c r="L10" i="5"/>
  <c r="L9" i="5"/>
  <c r="K16" i="5"/>
  <c r="H15" i="2"/>
  <c r="L11" i="7"/>
  <c r="L10" i="7"/>
  <c r="D11" i="3"/>
  <c r="H11" i="3" s="1"/>
  <c r="H11" i="4"/>
  <c r="G12" i="4"/>
  <c r="H12" i="4" s="1"/>
  <c r="G13" i="4"/>
  <c r="D12" i="3"/>
  <c r="G12" i="3"/>
  <c r="G13" i="3"/>
  <c r="H13" i="3" s="1"/>
  <c r="H16" i="2"/>
  <c r="P9" i="9"/>
  <c r="P10" i="9"/>
  <c r="P11" i="9"/>
  <c r="P8" i="9"/>
  <c r="P7" i="9"/>
  <c r="Q7" i="9" s="1"/>
  <c r="P6" i="9"/>
  <c r="O7" i="9"/>
  <c r="C10" i="11" s="1"/>
  <c r="O8" i="9"/>
  <c r="O9" i="9"/>
  <c r="O10" i="9"/>
  <c r="O11" i="9"/>
  <c r="O6" i="9"/>
  <c r="D11" i="2"/>
  <c r="D10" i="2"/>
  <c r="C11" i="2"/>
  <c r="C10" i="2"/>
  <c r="C12" i="2" s="1"/>
  <c r="D12" i="2" s="1"/>
  <c r="H9" i="2"/>
  <c r="H8" i="2"/>
  <c r="D7" i="2"/>
  <c r="H7" i="2" s="1"/>
  <c r="D6" i="2"/>
  <c r="H6" i="2" s="1"/>
  <c r="L16" i="5" l="1"/>
  <c r="K18" i="5"/>
  <c r="H23" i="11"/>
  <c r="Q6" i="9"/>
  <c r="E15" i="11"/>
  <c r="C12" i="11"/>
  <c r="C14" i="11"/>
  <c r="G14" i="11" s="1"/>
  <c r="G10" i="11"/>
  <c r="H10" i="11" s="1"/>
  <c r="K18" i="11"/>
  <c r="E12" i="11"/>
  <c r="L18" i="11"/>
  <c r="G18" i="2"/>
  <c r="K15" i="5"/>
  <c r="L15" i="5" s="1"/>
  <c r="K13" i="7"/>
  <c r="L13" i="7" s="1"/>
  <c r="D4" i="4"/>
  <c r="D14" i="4" s="1"/>
  <c r="H14" i="4" s="1"/>
  <c r="D4" i="3"/>
  <c r="H14" i="3"/>
  <c r="G11" i="2"/>
  <c r="H11" i="2" s="1"/>
  <c r="C13" i="2"/>
  <c r="E11" i="3"/>
  <c r="E13" i="3"/>
  <c r="H13" i="4"/>
  <c r="E13" i="4"/>
  <c r="E13" i="2"/>
  <c r="E12" i="4"/>
  <c r="E12" i="3"/>
  <c r="H12" i="3"/>
  <c r="G33" i="9"/>
  <c r="H33" i="9" s="1"/>
  <c r="H35" i="9" s="1"/>
  <c r="D5" i="11" s="1"/>
  <c r="H5" i="11" s="1"/>
  <c r="D4" i="2"/>
  <c r="M31" i="9"/>
  <c r="O31" i="9" s="1"/>
  <c r="O28" i="9"/>
  <c r="G12" i="2"/>
  <c r="G10" i="2"/>
  <c r="H10" i="2" s="1"/>
  <c r="E12" i="2"/>
  <c r="C5" i="2"/>
  <c r="C14" i="2"/>
  <c r="G12" i="11" l="1"/>
  <c r="D12" i="11"/>
  <c r="H12" i="11" s="1"/>
  <c r="D14" i="11"/>
  <c r="H14" i="11" s="1"/>
  <c r="H4" i="4"/>
  <c r="G4" i="4" s="1"/>
  <c r="D14" i="2"/>
  <c r="H18" i="2"/>
  <c r="C4" i="10"/>
  <c r="K15" i="7"/>
  <c r="L15" i="7" s="1"/>
  <c r="K17" i="5"/>
  <c r="L17" i="5" s="1"/>
  <c r="L18" i="5"/>
  <c r="H15" i="3"/>
  <c r="G17" i="3" s="1"/>
  <c r="H15" i="4"/>
  <c r="D13" i="2"/>
  <c r="G13" i="2"/>
  <c r="D5" i="2"/>
  <c r="H5" i="2" s="1"/>
  <c r="D5" i="4"/>
  <c r="H5" i="4" s="1"/>
  <c r="D5" i="3"/>
  <c r="H5" i="3" s="1"/>
  <c r="E14" i="2"/>
  <c r="G14" i="2"/>
  <c r="G3" i="2"/>
  <c r="H3" i="2" s="1"/>
  <c r="H12" i="2"/>
  <c r="G24" i="11" l="1"/>
  <c r="G26" i="11" s="1"/>
  <c r="H24" i="11"/>
  <c r="G25" i="11"/>
  <c r="H25" i="11" s="1"/>
  <c r="H4" i="3"/>
  <c r="G4" i="3" s="1"/>
  <c r="G19" i="4"/>
  <c r="E3" i="10" s="1"/>
  <c r="H17" i="3"/>
  <c r="D4" i="10"/>
  <c r="H16" i="4"/>
  <c r="G18" i="4" s="1"/>
  <c r="E4" i="10" s="1"/>
  <c r="H13" i="2"/>
  <c r="H14" i="2"/>
  <c r="F3" i="10" l="1"/>
  <c r="H26" i="11"/>
  <c r="F6" i="10" s="1"/>
  <c r="F5" i="10"/>
  <c r="G21" i="4"/>
  <c r="G18" i="3"/>
  <c r="G19" i="3" s="1"/>
  <c r="H19" i="3" s="1"/>
  <c r="H19" i="4"/>
  <c r="H18" i="4"/>
  <c r="G20" i="4"/>
  <c r="H20" i="4" s="1"/>
  <c r="H21" i="4" l="1"/>
  <c r="E6" i="10" s="1"/>
  <c r="E5" i="10"/>
  <c r="H18" i="3"/>
  <c r="D3" i="10"/>
  <c r="G20" i="3"/>
  <c r="D5" i="10" s="1"/>
  <c r="H20" i="3" l="1"/>
  <c r="D6" i="10" s="1"/>
  <c r="G4" i="2" l="1"/>
  <c r="G19" i="2"/>
  <c r="C3" i="10" s="1"/>
  <c r="H19" i="2" l="1"/>
  <c r="G20" i="2"/>
  <c r="H20" i="2" s="1"/>
  <c r="G21" i="2"/>
  <c r="H21" i="2" l="1"/>
  <c r="C6" i="10" s="1"/>
  <c r="C5" i="10"/>
</calcChain>
</file>

<file path=xl/sharedStrings.xml><?xml version="1.0" encoding="utf-8"?>
<sst xmlns="http://schemas.openxmlformats.org/spreadsheetml/2006/main" count="596" uniqueCount="259">
  <si>
    <t>Developed by:</t>
  </si>
  <si>
    <t>Drew Kientzy</t>
  </si>
  <si>
    <t>University of Missouri Extension</t>
  </si>
  <si>
    <t>Exterior Pasture Fence Project Layout</t>
  </si>
  <si>
    <t>Fence Length</t>
  </si>
  <si>
    <t>feet</t>
  </si>
  <si>
    <t>Terrain Severity</t>
  </si>
  <si>
    <t>Number of corners</t>
  </si>
  <si>
    <t>Level land with no bends between corners, woods, or ditches/creeks in path of fence and relatively soft/rock free soil</t>
  </si>
  <si>
    <t>Corner post type</t>
  </si>
  <si>
    <t>3 1/2" x 8' pipe</t>
  </si>
  <si>
    <t>Corner bracing</t>
  </si>
  <si>
    <t>Single post type</t>
  </si>
  <si>
    <t>Foundation material</t>
  </si>
  <si>
    <t>concrete</t>
  </si>
  <si>
    <t>Yes</t>
  </si>
  <si>
    <t>foundation legs</t>
  </si>
  <si>
    <t>No</t>
  </si>
  <si>
    <t>Rolling land. Potentially with bends, some length in woods, and few of ditch/creek crossings. May have some rocks in soil.</t>
  </si>
  <si>
    <t>included in post</t>
  </si>
  <si>
    <t>no gate</t>
  </si>
  <si>
    <t>within stretch</t>
  </si>
  <si>
    <t>at corner</t>
  </si>
  <si>
    <t xml:space="preserve">Rough terrain with much of the fence running through woods, several creek crossings, extremely rocky soil. </t>
  </si>
  <si>
    <t>Line post type 1</t>
  </si>
  <si>
    <t>1.33 x 7' T-post</t>
  </si>
  <si>
    <t>posts/100 feet</t>
  </si>
  <si>
    <t>Line post type 2</t>
  </si>
  <si>
    <t>dirt</t>
  </si>
  <si>
    <t>Terrain severity</t>
  </si>
  <si>
    <t>Water crossings</t>
  </si>
  <si>
    <t>Hold up/down posts</t>
  </si>
  <si>
    <t>Concrete calculator</t>
  </si>
  <si>
    <t>Number</t>
  </si>
  <si>
    <t>Cubic feet</t>
  </si>
  <si>
    <t>Bags</t>
  </si>
  <si>
    <t>Corner posts</t>
  </si>
  <si>
    <t>Gate posts</t>
  </si>
  <si>
    <t>Anchor type</t>
  </si>
  <si>
    <t>Material needed</t>
  </si>
  <si>
    <t>Material quantity</t>
  </si>
  <si>
    <t>Unit</t>
  </si>
  <si>
    <t>Cost</t>
  </si>
  <si>
    <t>Anchor post braces</t>
  </si>
  <si>
    <t>included</t>
  </si>
  <si>
    <t>-</t>
  </si>
  <si>
    <t>Total</t>
  </si>
  <si>
    <t>posts</t>
  </si>
  <si>
    <t>Inputs Used Across all Budgets</t>
  </si>
  <si>
    <t>Roll length</t>
  </si>
  <si>
    <t>Per Unit</t>
  </si>
  <si>
    <t>fastener type</t>
  </si>
  <si>
    <t>Labor key</t>
  </si>
  <si>
    <t>8" x 8' hedge</t>
  </si>
  <si>
    <t>each</t>
  </si>
  <si>
    <t>1 1/2" steeples</t>
  </si>
  <si>
    <t>Hours/mile 5B</t>
  </si>
  <si>
    <t>Hours/mile HT</t>
  </si>
  <si>
    <t>Hours/mile EL</t>
  </si>
  <si>
    <t>Materials compensation</t>
  </si>
  <si>
    <t>8" x 8' treated wood</t>
  </si>
  <si>
    <t>no fastener needed</t>
  </si>
  <si>
    <t>4 1/2" x 8' pipe</t>
  </si>
  <si>
    <t>6" galvanized I-beam</t>
  </si>
  <si>
    <t>foot</t>
  </si>
  <si>
    <t>*Feet per hour is based on man hours worked and assumes a crew of 3 is present. A 40 hour week for a crew of three is 120 man-hours.</t>
  </si>
  <si>
    <t>Other corner post</t>
  </si>
  <si>
    <t>Line posts</t>
  </si>
  <si>
    <t>Pipe post wire clips</t>
  </si>
  <si>
    <t>anchor insulators</t>
  </si>
  <si>
    <t>4" x 7' hedge posts</t>
  </si>
  <si>
    <t>5" x 7' treated wood posts</t>
  </si>
  <si>
    <t>1.33 x 6' T-post</t>
  </si>
  <si>
    <t>T-post clips</t>
  </si>
  <si>
    <t>insulators</t>
  </si>
  <si>
    <t>1.25 x 6' T-post</t>
  </si>
  <si>
    <t>1.25 x 7' T-post</t>
  </si>
  <si>
    <t>1" x 5" fiberglass posts</t>
  </si>
  <si>
    <t>2" cotter pins</t>
  </si>
  <si>
    <t>4' steel electric fence post</t>
  </si>
  <si>
    <t>Fasteners per unit</t>
  </si>
  <si>
    <t>unit</t>
  </si>
  <si>
    <t>4' fiberglass step-ins</t>
  </si>
  <si>
    <t>/lb</t>
  </si>
  <si>
    <t>pounds</t>
  </si>
  <si>
    <t>bag</t>
  </si>
  <si>
    <t>/bag</t>
  </si>
  <si>
    <t>Continuous fence clips</t>
  </si>
  <si>
    <t>Wire or fence material</t>
  </si>
  <si>
    <t>roll</t>
  </si>
  <si>
    <t>4 point barbed wire</t>
  </si>
  <si>
    <t>12.5 ga smooth galvanized wire</t>
  </si>
  <si>
    <t>16 ga aluminum wire</t>
  </si>
  <si>
    <t>17 ga galvanized wire</t>
  </si>
  <si>
    <t>Poly wire</t>
  </si>
  <si>
    <t>Poly tape</t>
  </si>
  <si>
    <t>25 insulators</t>
  </si>
  <si>
    <t>6' ground rods</t>
  </si>
  <si>
    <t>Electric fence spools</t>
  </si>
  <si>
    <t>47" woven wire</t>
  </si>
  <si>
    <t>3/4" sucker rod</t>
  </si>
  <si>
    <t>stick</t>
  </si>
  <si>
    <t>6-bar continuous fence</t>
  </si>
  <si>
    <t>panel</t>
  </si>
  <si>
    <t>Used guardrail</t>
  </si>
  <si>
    <t>Other materials and labor</t>
  </si>
  <si>
    <t>High-tensile ratchet tensioners</t>
  </si>
  <si>
    <t>Electric fence spring gate</t>
  </si>
  <si>
    <t>Pre-mix cement</t>
  </si>
  <si>
    <t xml:space="preserve">cu. ft. bags </t>
  </si>
  <si>
    <t>10' pipe gate</t>
  </si>
  <si>
    <t>12' pipe gate</t>
  </si>
  <si>
    <t>16' pipe gate</t>
  </si>
  <si>
    <t>20' pipe gate</t>
  </si>
  <si>
    <t>$/hr</t>
  </si>
  <si>
    <t>Skilled labor</t>
  </si>
  <si>
    <t>Tools and machinery</t>
  </si>
  <si>
    <t>$/man hour</t>
  </si>
  <si>
    <t>Type</t>
  </si>
  <si>
    <t>Quantity</t>
  </si>
  <si>
    <t>Units</t>
  </si>
  <si>
    <t>Price</t>
  </si>
  <si>
    <t>fasteners per post</t>
  </si>
  <si>
    <t>type</t>
  </si>
  <si>
    <t>Corner</t>
  </si>
  <si>
    <t>Anchor post bracing</t>
  </si>
  <si>
    <t>Line</t>
  </si>
  <si>
    <t>Concrete mix</t>
  </si>
  <si>
    <t>bags</t>
  </si>
  <si>
    <t>Gate 1</t>
  </si>
  <si>
    <t>Gate 2</t>
  </si>
  <si>
    <t>Woven wire</t>
  </si>
  <si>
    <t>47"</t>
  </si>
  <si>
    <t>rolls</t>
  </si>
  <si>
    <t>Barbed wire</t>
  </si>
  <si>
    <t>4 point</t>
  </si>
  <si>
    <t>Post type 1</t>
  </si>
  <si>
    <t>Post type 2</t>
  </si>
  <si>
    <t>Fastening hardware</t>
  </si>
  <si>
    <t>hours</t>
  </si>
  <si>
    <t>Machinery and tool cost</t>
  </si>
  <si>
    <t>man hours</t>
  </si>
  <si>
    <t>Total cost</t>
  </si>
  <si>
    <t>Cost per foot</t>
  </si>
  <si>
    <t>Terrain material compensation*</t>
  </si>
  <si>
    <t>Labor and tool cost</t>
  </si>
  <si>
    <t>of calculated costs</t>
  </si>
  <si>
    <t>Materials cost</t>
  </si>
  <si>
    <t>Adjusted total cost</t>
  </si>
  <si>
    <t>* Terrain compensation allows for the extra materials that are needed to navigate difficult terrain. Materials for navigating water crossings, steep grades, and rocky or wooded areas are not included in the list above. Due to the unique nature of these obstacles, the compensation factor approximates the cost of fencing difficult terrain, but the materials needed are at your discretion.</t>
  </si>
  <si>
    <t xml:space="preserve"> </t>
  </si>
  <si>
    <t>Wire</t>
  </si>
  <si>
    <t>12.5 ga high tensile wire</t>
  </si>
  <si>
    <t>Electrifying system</t>
  </si>
  <si>
    <t>Ground rods</t>
  </si>
  <si>
    <t>rods</t>
  </si>
  <si>
    <t>charger</t>
  </si>
  <si>
    <t>Pasture Perimeter Fence Summary</t>
  </si>
  <si>
    <t>Fence type</t>
  </si>
  <si>
    <t>Woven wire + barb</t>
  </si>
  <si>
    <t>6-wire HT</t>
  </si>
  <si>
    <t>Labor cost</t>
  </si>
  <si>
    <t>Electric Divider/Interior Fence Construction Budget</t>
  </si>
  <si>
    <t>Item</t>
  </si>
  <si>
    <t>Anchor posts</t>
  </si>
  <si>
    <t>Length</t>
  </si>
  <si>
    <t>Anchor insulators</t>
  </si>
  <si>
    <t>Corner and end posts</t>
  </si>
  <si>
    <t>anchors</t>
  </si>
  <si>
    <t>Wire strands</t>
  </si>
  <si>
    <t>strands</t>
  </si>
  <si>
    <t>Gates</t>
  </si>
  <si>
    <t>gates</t>
  </si>
  <si>
    <t>Gate</t>
  </si>
  <si>
    <t>Electric fence gate</t>
  </si>
  <si>
    <t>gate</t>
  </si>
  <si>
    <r>
      <t>Terrain score</t>
    </r>
    <r>
      <rPr>
        <vertAlign val="superscript"/>
        <sz val="11"/>
        <color theme="1"/>
        <rFont val="Segoe UI"/>
        <family val="2"/>
      </rPr>
      <t>1</t>
    </r>
  </si>
  <si>
    <t>Sucker rod w/top rail</t>
  </si>
  <si>
    <t>sticks</t>
  </si>
  <si>
    <t>Length of fixed fencing</t>
  </si>
  <si>
    <t>panels</t>
  </si>
  <si>
    <t>concrete corners and ends only</t>
  </si>
  <si>
    <t>Corner and end post type</t>
  </si>
  <si>
    <t>Fence material</t>
  </si>
  <si>
    <t>Post length (if an option)</t>
  </si>
  <si>
    <t>Post footing</t>
  </si>
  <si>
    <t>Fence style</t>
  </si>
  <si>
    <t>Gate width</t>
  </si>
  <si>
    <t>Heavy duty gate price</t>
  </si>
  <si>
    <t>dollars per foot</t>
  </si>
  <si>
    <t>Post spacing</t>
  </si>
  <si>
    <t>Post holes</t>
  </si>
  <si>
    <t>Wire spools (reels)</t>
  </si>
  <si>
    <t>spools</t>
  </si>
  <si>
    <t>Steel</t>
  </si>
  <si>
    <t>wood</t>
  </si>
  <si>
    <t>110v fence charger, 5 joule</t>
  </si>
  <si>
    <t>Total will not sum if "dirt" is selected as the foundation material.</t>
  </si>
  <si>
    <t>pipe h-bracing</t>
  </si>
  <si>
    <t>wooden h-bracing</t>
  </si>
  <si>
    <t>Used pipe</t>
  </si>
  <si>
    <t>Corral Fence Construction Budget</t>
  </si>
  <si>
    <t>Terrain score</t>
  </si>
  <si>
    <t>Description</t>
  </si>
  <si>
    <t>Gate type 1</t>
  </si>
  <si>
    <t>Width</t>
  </si>
  <si>
    <t>Location</t>
  </si>
  <si>
    <t>Gate type 2</t>
  </si>
  <si>
    <t>inches</t>
  </si>
  <si>
    <t>Corner hole diameter</t>
  </si>
  <si>
    <t>Corner hole depth</t>
  </si>
  <si>
    <t>*Material and labor costs do not sum to the total as the total cost includes the terrain compensation calculation.</t>
  </si>
  <si>
    <r>
      <t>1</t>
    </r>
    <r>
      <rPr>
        <sz val="10"/>
        <color theme="1"/>
        <rFont val="Segoe UI"/>
        <family val="2"/>
      </rPr>
      <t>The terrain score compensates for less than ideal construction conditions. See the "Project" sheet for more details.</t>
    </r>
  </si>
  <si>
    <r>
      <t>1</t>
    </r>
    <r>
      <rPr>
        <sz val="10"/>
        <color theme="1"/>
        <rFont val="Segoe UI"/>
        <family val="2"/>
      </rPr>
      <t>Labor is not calculated in this fence construction budget as it is too variable based on the circumstances of your operation. Enter the estimated labor needed for your project in the grey filled cells.</t>
    </r>
  </si>
  <si>
    <t>Total man hours</t>
  </si>
  <si>
    <t>Hired labor</t>
  </si>
  <si>
    <t>tensioners</t>
  </si>
  <si>
    <r>
      <t>Hired Labor</t>
    </r>
    <r>
      <rPr>
        <vertAlign val="superscript"/>
        <sz val="11"/>
        <color theme="1"/>
        <rFont val="Segoe UI"/>
        <family val="2"/>
      </rPr>
      <t>1</t>
    </r>
  </si>
  <si>
    <t>heavy duty bull-gates</t>
  </si>
  <si>
    <t>total gate feet</t>
  </si>
  <si>
    <t>Developed: 01/2024</t>
  </si>
  <si>
    <t>This worksheet is for informational purposes only and the user assumes all risks associated with its use.</t>
  </si>
  <si>
    <t>2 3/8 drill stem pipe</t>
  </si>
  <si>
    <t>2 7/8 drill stem pipe</t>
  </si>
  <si>
    <t>Woven Wire Fence Construction Budget</t>
  </si>
  <si>
    <t>Project Details</t>
  </si>
  <si>
    <t>5 barb</t>
  </si>
  <si>
    <t>5-Wire Barbed Wire Fence Construction Budget</t>
  </si>
  <si>
    <t>Corner or anchor posts</t>
  </si>
  <si>
    <t>4 1/2" manufactured H-braces</t>
  </si>
  <si>
    <t>Hours/mile WW+B</t>
  </si>
  <si>
    <t>Anchor post fasteners</t>
  </si>
  <si>
    <t>Total cost*</t>
  </si>
  <si>
    <t>Line post spacing</t>
  </si>
  <si>
    <t>Anchor post insulators</t>
  </si>
  <si>
    <t>Electric Fence Charger</t>
  </si>
  <si>
    <t>steel post insulators</t>
  </si>
  <si>
    <t>wood post insulators</t>
  </si>
  <si>
    <t>Fastening hardware - hot wires</t>
  </si>
  <si>
    <t>Fastening hardware - dead wires</t>
  </si>
  <si>
    <t>Wood post insulators</t>
  </si>
  <si>
    <t>Steel post insulators</t>
  </si>
  <si>
    <t>5-Wire Electrified High-Tensile Fence Construction Budget</t>
  </si>
  <si>
    <t>Solar fence charge, 4 joule</t>
  </si>
  <si>
    <t>ground rods</t>
  </si>
  <si>
    <t>braces</t>
  </si>
  <si>
    <t>5-wire EHT</t>
  </si>
  <si>
    <t>Hours/mile EHT</t>
  </si>
  <si>
    <t>6-Wire High-Tensile Fence Construction Budget</t>
  </si>
  <si>
    <t>yes</t>
  </si>
  <si>
    <t>no</t>
  </si>
  <si>
    <t>No charger needed</t>
  </si>
  <si>
    <t>Include wire reels</t>
  </si>
  <si>
    <r>
      <t>Farmers and fencing contractors can use this tool to help estimate the cost of building new fences. Enter the dimensions and specifications of your fence project on the "</t>
    </r>
    <r>
      <rPr>
        <b/>
        <sz val="12"/>
        <color theme="1"/>
        <rFont val="Segoe UI"/>
        <family val="2"/>
      </rPr>
      <t>Project</t>
    </r>
    <r>
      <rPr>
        <sz val="12"/>
        <color theme="1"/>
        <rFont val="Segoe UI"/>
        <family val="2"/>
      </rPr>
      <t>" sheet. If you have materials quotes prepared, insert them into the "</t>
    </r>
    <r>
      <rPr>
        <b/>
        <sz val="12"/>
        <color theme="1"/>
        <rFont val="Segoe UI"/>
        <family val="2"/>
      </rPr>
      <t>Material prices</t>
    </r>
    <r>
      <rPr>
        <sz val="12"/>
        <color theme="1"/>
        <rFont val="Segoe UI"/>
        <family val="2"/>
      </rPr>
      <t>" sheet for a more accurate estimate. In each sheet, the grey cells can be changed to customize the tool to your project. Note that differences in terrain may cause significant differences cost of building fences and there may be some minor material requirements that are not included as in the budget. The "</t>
    </r>
    <r>
      <rPr>
        <b/>
        <sz val="12"/>
        <color theme="1"/>
        <rFont val="Segoe UI"/>
        <family val="2"/>
      </rPr>
      <t>Summary</t>
    </r>
    <r>
      <rPr>
        <sz val="12"/>
        <color theme="1"/>
        <rFont val="Segoe UI"/>
        <family val="2"/>
      </rPr>
      <t>" tab compares the cost of different perimeter fence types for a given area. For detailed information about the estimated time and materials for your fence construction project, see the respective tab with the type of fences you are considering. Both the "</t>
    </r>
    <r>
      <rPr>
        <b/>
        <sz val="12"/>
        <color theme="1"/>
        <rFont val="Segoe UI"/>
        <family val="2"/>
      </rPr>
      <t xml:space="preserve">Electric interior" </t>
    </r>
    <r>
      <rPr>
        <sz val="12"/>
        <color theme="1"/>
        <rFont val="Segoe UI"/>
        <family val="2"/>
      </rPr>
      <t xml:space="preserve">and </t>
    </r>
    <r>
      <rPr>
        <b/>
        <sz val="12"/>
        <color theme="1"/>
        <rFont val="Segoe UI"/>
        <family val="2"/>
      </rPr>
      <t>"Corral fencing"</t>
    </r>
    <r>
      <rPr>
        <sz val="12"/>
        <color theme="1"/>
        <rFont val="Segoe UI"/>
        <family val="2"/>
      </rPr>
      <t xml:space="preserve"> tabs are stand alone tools that require input separate from the </t>
    </r>
    <r>
      <rPr>
        <b/>
        <sz val="12"/>
        <color theme="1"/>
        <rFont val="Segoe UI"/>
        <family val="2"/>
      </rPr>
      <t xml:space="preserve">"Project" </t>
    </r>
    <r>
      <rPr>
        <sz val="12"/>
        <color theme="1"/>
        <rFont val="Segoe UI"/>
        <family val="2"/>
      </rPr>
      <t>sheet.</t>
    </r>
  </si>
  <si>
    <t>The author notes that fence construction practices are highly variable. Many materials and techniques are not presented in this tool. The complexities of certain activities such as installing corner posts and other special features makes detailing out their associated labor costs difficult. While there are rough compensations included for added fence intricacy, this tool is meant to serve as a guide only.</t>
  </si>
  <si>
    <t>Water gap posts</t>
  </si>
  <si>
    <t>dead men</t>
  </si>
  <si>
    <t xml:space="preserve">*All handling equipment including tubs, alleys, and chutes are not included in this model to limit sophistication. </t>
  </si>
  <si>
    <t>Pasture Fence Construction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</si>
</sst>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7" x14ac:knownFonts="1">
    <font>
      <sz val="11"/>
      <color theme="1"/>
      <name val="Calibri"/>
      <family val="2"/>
      <scheme val="minor"/>
    </font>
    <font>
      <sz val="11"/>
      <color theme="1"/>
      <name val="Calibri"/>
      <family val="2"/>
      <scheme val="minor"/>
    </font>
    <font>
      <b/>
      <sz val="11"/>
      <color rgb="FF3F3F3F"/>
      <name val="Calibri"/>
      <family val="2"/>
      <scheme val="minor"/>
    </font>
    <font>
      <b/>
      <sz val="14"/>
      <color rgb="FFF1B82D"/>
      <name val="Segoe UI"/>
      <family val="2"/>
    </font>
    <font>
      <sz val="11"/>
      <color theme="1"/>
      <name val="Segoe UI"/>
      <family val="2"/>
    </font>
    <font>
      <b/>
      <sz val="11"/>
      <color theme="1"/>
      <name val="Segoe UI"/>
      <family val="2"/>
    </font>
    <font>
      <sz val="12"/>
      <color theme="1"/>
      <name val="Segoe UI"/>
      <family val="2"/>
    </font>
    <font>
      <b/>
      <sz val="10"/>
      <color rgb="FF3F3F3F"/>
      <name val="Segoe UI"/>
      <family val="2"/>
    </font>
    <font>
      <b/>
      <sz val="12"/>
      <color theme="1"/>
      <name val="Segoe UI"/>
      <family val="2"/>
    </font>
    <font>
      <b/>
      <sz val="14"/>
      <name val="Segoe UI"/>
      <family val="2"/>
    </font>
    <font>
      <sz val="12"/>
      <name val="Segoe UI"/>
      <family val="2"/>
    </font>
    <font>
      <sz val="10"/>
      <name val="Segoe UI"/>
      <family val="2"/>
    </font>
    <font>
      <sz val="11"/>
      <name val="Segoe UI"/>
      <family val="2"/>
    </font>
    <font>
      <b/>
      <sz val="11"/>
      <name val="Segoe UI"/>
      <family val="2"/>
    </font>
    <font>
      <b/>
      <sz val="14"/>
      <color theme="7"/>
      <name val="Segoe UI Black"/>
      <family val="2"/>
    </font>
    <font>
      <sz val="14"/>
      <color rgb="FFFFC000"/>
      <name val="Segoe UI Black"/>
      <family val="2"/>
    </font>
    <font>
      <sz val="8"/>
      <name val="Calibri"/>
      <family val="2"/>
      <scheme val="minor"/>
    </font>
    <font>
      <b/>
      <sz val="14"/>
      <color rgb="FFFFC000"/>
      <name val="Segoe UI"/>
      <family val="2"/>
    </font>
    <font>
      <vertAlign val="superscript"/>
      <sz val="11"/>
      <color theme="1"/>
      <name val="Segoe UI"/>
      <family val="2"/>
    </font>
    <font>
      <sz val="11"/>
      <color theme="0"/>
      <name val="Segoe UI"/>
      <family val="2"/>
    </font>
    <font>
      <sz val="12"/>
      <color theme="0"/>
      <name val="Segoe UI"/>
      <family val="2"/>
    </font>
    <font>
      <b/>
      <sz val="11"/>
      <color theme="0"/>
      <name val="Segoe UI"/>
      <family val="2"/>
    </font>
    <font>
      <b/>
      <sz val="14"/>
      <color theme="7"/>
      <name val="Segoe UI"/>
      <family val="2"/>
    </font>
    <font>
      <sz val="11"/>
      <color rgb="FF000000"/>
      <name val="Segoe UI"/>
      <family val="2"/>
    </font>
    <font>
      <b/>
      <sz val="14"/>
      <color rgb="FFFFC000"/>
      <name val="Segoe UI Black"/>
      <family val="2"/>
    </font>
    <font>
      <sz val="10"/>
      <color theme="1"/>
      <name val="Segoe UI"/>
      <family val="2"/>
    </font>
    <font>
      <vertAlign val="superscript"/>
      <sz val="10"/>
      <color theme="1"/>
      <name val="Segoe UI"/>
      <family val="2"/>
    </font>
  </fonts>
  <fills count="8">
    <fill>
      <patternFill patternType="none"/>
    </fill>
    <fill>
      <patternFill patternType="gray125"/>
    </fill>
    <fill>
      <patternFill patternType="solid">
        <fgColor rgb="FFF2F2F2"/>
      </patternFill>
    </fill>
    <fill>
      <patternFill patternType="solid">
        <fgColor theme="1"/>
        <bgColor indexed="64"/>
      </patternFill>
    </fill>
    <fill>
      <patternFill patternType="solid">
        <fgColor theme="2" tint="-9.9978637043366805E-2"/>
        <bgColor indexed="64"/>
      </patternFill>
    </fill>
    <fill>
      <patternFill patternType="solid">
        <fgColor theme="2"/>
        <bgColor indexed="64"/>
      </patternFill>
    </fill>
    <fill>
      <patternFill patternType="solid">
        <fgColor rgb="FFFFC000"/>
        <bgColor indexed="64"/>
      </patternFill>
    </fill>
    <fill>
      <patternFill patternType="solid">
        <fgColor theme="0" tint="-0.14999847407452621"/>
        <bgColor indexed="64"/>
      </patternFill>
    </fill>
  </fills>
  <borders count="32">
    <border>
      <left/>
      <right/>
      <top/>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5">
    <xf numFmtId="0" fontId="0" fillId="0" borderId="0"/>
    <xf numFmtId="43" fontId="1" fillId="0" borderId="0" applyFont="0" applyFill="0" applyBorder="0" applyAlignment="0" applyProtection="0"/>
    <xf numFmtId="0" fontId="2" fillId="2" borderId="1" applyNumberFormat="0" applyAlignment="0" applyProtection="0"/>
    <xf numFmtId="0" fontId="1" fillId="0" borderId="0"/>
    <xf numFmtId="9" fontId="1" fillId="0" borderId="0" applyFont="0" applyFill="0" applyBorder="0" applyAlignment="0" applyProtection="0"/>
  </cellStyleXfs>
  <cellXfs count="197">
    <xf numFmtId="0" fontId="0" fillId="0" borderId="0" xfId="0"/>
    <xf numFmtId="0" fontId="4" fillId="0" borderId="0" xfId="3" applyFont="1"/>
    <xf numFmtId="0" fontId="5" fillId="0" borderId="0" xfId="3" applyFont="1"/>
    <xf numFmtId="0" fontId="5" fillId="0" borderId="0" xfId="3" applyFont="1" applyAlignment="1">
      <alignment horizontal="left" indent="4"/>
    </xf>
    <xf numFmtId="0" fontId="6" fillId="0" borderId="0" xfId="3" applyFont="1" applyAlignment="1">
      <alignment wrapText="1"/>
    </xf>
    <xf numFmtId="0" fontId="7" fillId="2" borderId="1" xfId="2" applyFont="1"/>
    <xf numFmtId="0" fontId="4" fillId="0" borderId="0" xfId="0" applyFont="1"/>
    <xf numFmtId="0" fontId="10" fillId="0" borderId="0" xfId="0" applyFont="1"/>
    <xf numFmtId="0" fontId="10" fillId="0" borderId="7" xfId="0" applyFont="1" applyBorder="1" applyAlignment="1">
      <alignment horizontal="left"/>
    </xf>
    <xf numFmtId="0" fontId="10" fillId="0" borderId="6" xfId="0" applyFont="1" applyBorder="1" applyAlignment="1">
      <alignment horizontal="center"/>
    </xf>
    <xf numFmtId="164" fontId="10" fillId="0" borderId="0" xfId="1" applyNumberFormat="1" applyFont="1" applyBorder="1" applyAlignment="1">
      <alignment horizontal="left"/>
    </xf>
    <xf numFmtId="164" fontId="10" fillId="0" borderId="0" xfId="1" applyNumberFormat="1" applyFont="1" applyBorder="1" applyAlignment="1">
      <alignment horizontal="center"/>
    </xf>
    <xf numFmtId="164" fontId="10" fillId="0" borderId="6" xfId="1" applyNumberFormat="1" applyFont="1" applyBorder="1" applyAlignment="1">
      <alignment horizontal="left"/>
    </xf>
    <xf numFmtId="0" fontId="12" fillId="0" borderId="0" xfId="0" applyFont="1"/>
    <xf numFmtId="0" fontId="13" fillId="0" borderId="14" xfId="0"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12" fillId="0" borderId="8" xfId="0" applyFont="1" applyBorder="1"/>
    <xf numFmtId="165" fontId="12" fillId="0" borderId="0" xfId="0" applyNumberFormat="1" applyFont="1"/>
    <xf numFmtId="165" fontId="12" fillId="0" borderId="9" xfId="0" applyNumberFormat="1" applyFont="1" applyBorder="1"/>
    <xf numFmtId="0" fontId="4" fillId="0" borderId="8" xfId="0" applyFont="1" applyBorder="1"/>
    <xf numFmtId="0" fontId="12" fillId="0" borderId="10" xfId="0" applyFont="1" applyBorder="1"/>
    <xf numFmtId="0" fontId="12" fillId="0" borderId="11" xfId="0" applyFont="1" applyBorder="1"/>
    <xf numFmtId="0" fontId="13" fillId="0" borderId="11" xfId="0" applyFont="1" applyBorder="1"/>
    <xf numFmtId="1" fontId="13" fillId="0" borderId="12" xfId="0" applyNumberFormat="1" applyFont="1" applyBorder="1"/>
    <xf numFmtId="0" fontId="4" fillId="0" borderId="6" xfId="0" applyFont="1" applyBorder="1"/>
    <xf numFmtId="165" fontId="4" fillId="0" borderId="6" xfId="0" applyNumberFormat="1" applyFont="1" applyBorder="1"/>
    <xf numFmtId="0" fontId="9" fillId="0" borderId="2" xfId="3" applyFont="1" applyBorder="1" applyAlignment="1">
      <alignment horizontal="left"/>
    </xf>
    <xf numFmtId="0" fontId="9" fillId="0" borderId="2" xfId="3" applyFont="1" applyBorder="1"/>
    <xf numFmtId="0" fontId="13" fillId="0" borderId="2" xfId="0" applyFont="1" applyBorder="1"/>
    <xf numFmtId="0" fontId="13" fillId="0" borderId="0" xfId="0" applyFont="1"/>
    <xf numFmtId="2" fontId="4" fillId="0" borderId="6" xfId="0" applyNumberFormat="1" applyFont="1" applyBorder="1" applyAlignment="1">
      <alignment horizontal="right"/>
    </xf>
    <xf numFmtId="43" fontId="4" fillId="0" borderId="0" xfId="1" applyFont="1" applyFill="1" applyBorder="1"/>
    <xf numFmtId="0" fontId="4" fillId="5" borderId="6" xfId="0" applyFont="1" applyFill="1" applyBorder="1"/>
    <xf numFmtId="0" fontId="4" fillId="0" borderId="0" xfId="0" applyFont="1" applyAlignment="1">
      <alignment vertical="top"/>
    </xf>
    <xf numFmtId="165" fontId="4" fillId="5" borderId="6" xfId="0" applyNumberFormat="1" applyFont="1" applyFill="1" applyBorder="1"/>
    <xf numFmtId="0" fontId="3" fillId="3" borderId="3" xfId="3" applyFont="1" applyFill="1" applyBorder="1"/>
    <xf numFmtId="0" fontId="3" fillId="3" borderId="4" xfId="3" applyFont="1" applyFill="1" applyBorder="1"/>
    <xf numFmtId="0" fontId="19" fillId="0" borderId="0" xfId="0" applyFont="1"/>
    <xf numFmtId="0" fontId="20" fillId="0" borderId="0" xfId="0" applyFont="1"/>
    <xf numFmtId="0" fontId="19" fillId="0" borderId="0" xfId="0" applyFont="1" applyAlignment="1">
      <alignment horizontal="center"/>
    </xf>
    <xf numFmtId="0" fontId="13" fillId="0" borderId="21" xfId="0" applyFont="1" applyBorder="1"/>
    <xf numFmtId="0" fontId="4" fillId="5" borderId="0" xfId="0" applyFont="1" applyFill="1"/>
    <xf numFmtId="2" fontId="4" fillId="0" borderId="0" xfId="0" applyNumberFormat="1" applyFont="1" applyAlignment="1">
      <alignment horizontal="right"/>
    </xf>
    <xf numFmtId="2" fontId="4" fillId="0" borderId="9" xfId="0" applyNumberFormat="1" applyFont="1" applyBorder="1" applyAlignment="1">
      <alignment horizontal="right"/>
    </xf>
    <xf numFmtId="1" fontId="4" fillId="0" borderId="0" xfId="0" applyNumberFormat="1" applyFont="1"/>
    <xf numFmtId="165" fontId="4" fillId="0" borderId="0" xfId="0" applyNumberFormat="1" applyFont="1"/>
    <xf numFmtId="2" fontId="4" fillId="0" borderId="23" xfId="0" applyNumberFormat="1" applyFont="1" applyBorder="1" applyAlignment="1">
      <alignment horizontal="right"/>
    </xf>
    <xf numFmtId="2" fontId="4" fillId="0" borderId="0" xfId="0" applyNumberFormat="1" applyFont="1"/>
    <xf numFmtId="2" fontId="5" fillId="0" borderId="0" xfId="0" applyNumberFormat="1" applyFont="1"/>
    <xf numFmtId="0" fontId="5" fillId="0" borderId="9" xfId="0" applyFont="1" applyBorder="1"/>
    <xf numFmtId="0" fontId="13" fillId="0" borderId="22" xfId="0" applyFont="1" applyBorder="1"/>
    <xf numFmtId="2" fontId="4" fillId="0" borderId="0" xfId="0" quotePrefix="1" applyNumberFormat="1" applyFont="1" applyAlignment="1">
      <alignment horizontal="right"/>
    </xf>
    <xf numFmtId="0" fontId="10" fillId="0" borderId="8" xfId="0" applyFont="1" applyBorder="1"/>
    <xf numFmtId="0" fontId="10" fillId="0" borderId="20" xfId="0" applyFont="1" applyBorder="1"/>
    <xf numFmtId="0" fontId="4" fillId="0" borderId="20" xfId="0" applyFont="1" applyBorder="1"/>
    <xf numFmtId="9" fontId="4" fillId="0" borderId="8" xfId="4" applyFont="1" applyBorder="1"/>
    <xf numFmtId="0" fontId="4" fillId="0" borderId="10" xfId="0" applyFont="1" applyBorder="1"/>
    <xf numFmtId="0" fontId="4" fillId="4" borderId="11" xfId="0" applyFont="1" applyFill="1" applyBorder="1"/>
    <xf numFmtId="0" fontId="4" fillId="0" borderId="11" xfId="0" applyFont="1" applyBorder="1"/>
    <xf numFmtId="0" fontId="9" fillId="0" borderId="22" xfId="3" applyFont="1" applyBorder="1"/>
    <xf numFmtId="0" fontId="9" fillId="0" borderId="21" xfId="3" applyFont="1" applyBorder="1" applyAlignment="1">
      <alignment horizontal="center"/>
    </xf>
    <xf numFmtId="0" fontId="11" fillId="0" borderId="0" xfId="0" applyFont="1"/>
    <xf numFmtId="43" fontId="10" fillId="4" borderId="9" xfId="1" applyFont="1" applyFill="1" applyBorder="1" applyProtection="1">
      <protection locked="0"/>
    </xf>
    <xf numFmtId="0" fontId="10" fillId="0" borderId="0" xfId="0" applyFont="1" applyAlignment="1">
      <alignment horizontal="left"/>
    </xf>
    <xf numFmtId="0" fontId="10" fillId="0" borderId="0" xfId="0" applyFont="1" applyAlignment="1">
      <alignment horizontal="center"/>
    </xf>
    <xf numFmtId="43" fontId="4" fillId="4" borderId="9" xfId="1" applyFont="1" applyFill="1" applyBorder="1"/>
    <xf numFmtId="0" fontId="5" fillId="0" borderId="6" xfId="0" applyFont="1" applyBorder="1"/>
    <xf numFmtId="0" fontId="5" fillId="0" borderId="23" xfId="0" applyFont="1" applyBorder="1"/>
    <xf numFmtId="0" fontId="4" fillId="0" borderId="27" xfId="0" applyFont="1" applyBorder="1"/>
    <xf numFmtId="0" fontId="4" fillId="0" borderId="28" xfId="0" applyFont="1" applyBorder="1"/>
    <xf numFmtId="0" fontId="5" fillId="0" borderId="29" xfId="0" applyFont="1" applyBorder="1"/>
    <xf numFmtId="0" fontId="13" fillId="0" borderId="14" xfId="0" applyFont="1" applyBorder="1"/>
    <xf numFmtId="0" fontId="13" fillId="0" borderId="15" xfId="0" applyFont="1" applyBorder="1"/>
    <xf numFmtId="0" fontId="13" fillId="0" borderId="16" xfId="0" applyFont="1" applyBorder="1"/>
    <xf numFmtId="0" fontId="21" fillId="0" borderId="0" xfId="0" applyFont="1" applyAlignment="1">
      <alignment horizontal="center"/>
    </xf>
    <xf numFmtId="165" fontId="19" fillId="0" borderId="0" xfId="0" applyNumberFormat="1" applyFont="1"/>
    <xf numFmtId="0" fontId="10" fillId="4" borderId="8" xfId="0" applyFont="1" applyFill="1" applyBorder="1"/>
    <xf numFmtId="43" fontId="4" fillId="0" borderId="9" xfId="1" applyFont="1" applyBorder="1" applyAlignment="1">
      <alignment horizontal="right"/>
    </xf>
    <xf numFmtId="43" fontId="4" fillId="0" borderId="23" xfId="1" applyFont="1" applyBorder="1" applyAlignment="1">
      <alignment horizontal="right"/>
    </xf>
    <xf numFmtId="0" fontId="5" fillId="0" borderId="22" xfId="0" applyFont="1" applyBorder="1" applyAlignment="1">
      <alignment horizontal="center"/>
    </xf>
    <xf numFmtId="0" fontId="5" fillId="0" borderId="2" xfId="0" applyFont="1" applyBorder="1" applyAlignment="1">
      <alignment horizontal="center"/>
    </xf>
    <xf numFmtId="2" fontId="19" fillId="0" borderId="0" xfId="0" applyNumberFormat="1" applyFont="1"/>
    <xf numFmtId="0" fontId="5" fillId="0" borderId="21" xfId="0" applyFont="1" applyBorder="1" applyAlignment="1">
      <alignment horizontal="center"/>
    </xf>
    <xf numFmtId="0" fontId="4" fillId="0" borderId="9" xfId="0" applyFont="1" applyBorder="1"/>
    <xf numFmtId="0" fontId="23" fillId="0" borderId="0" xfId="0" applyFont="1"/>
    <xf numFmtId="0" fontId="12" fillId="0" borderId="11" xfId="0" applyFont="1" applyBorder="1" applyAlignment="1">
      <alignment wrapText="1"/>
    </xf>
    <xf numFmtId="0" fontId="12" fillId="0" borderId="12" xfId="0" applyFont="1" applyBorder="1" applyAlignment="1">
      <alignment wrapText="1"/>
    </xf>
    <xf numFmtId="0" fontId="4" fillId="0" borderId="12" xfId="0" applyFont="1" applyBorder="1"/>
    <xf numFmtId="0" fontId="5" fillId="0" borderId="8" xfId="0" applyFont="1" applyBorder="1"/>
    <xf numFmtId="0" fontId="4" fillId="0" borderId="30" xfId="0" applyFont="1" applyBorder="1"/>
    <xf numFmtId="0" fontId="4" fillId="0" borderId="29" xfId="0" applyFont="1" applyBorder="1"/>
    <xf numFmtId="0" fontId="12" fillId="0" borderId="7" xfId="0" applyFont="1" applyBorder="1"/>
    <xf numFmtId="0" fontId="17" fillId="0" borderId="0" xfId="0" applyFont="1"/>
    <xf numFmtId="0" fontId="4" fillId="0" borderId="18" xfId="0" applyFont="1" applyBorder="1"/>
    <xf numFmtId="0" fontId="4" fillId="4" borderId="7" xfId="0" applyFont="1" applyFill="1" applyBorder="1"/>
    <xf numFmtId="0" fontId="4" fillId="4" borderId="0" xfId="0" applyFont="1" applyFill="1"/>
    <xf numFmtId="165" fontId="4" fillId="5" borderId="0" xfId="0" applyNumberFormat="1" applyFont="1" applyFill="1"/>
    <xf numFmtId="0" fontId="13" fillId="0" borderId="0" xfId="0" applyFont="1" applyAlignment="1">
      <alignment horizontal="center"/>
    </xf>
    <xf numFmtId="0" fontId="25" fillId="0" borderId="19" xfId="0" applyFont="1" applyBorder="1"/>
    <xf numFmtId="0" fontId="25" fillId="0" borderId="9" xfId="0" applyFont="1" applyBorder="1"/>
    <xf numFmtId="0" fontId="25" fillId="0" borderId="12" xfId="0" applyFont="1" applyBorder="1"/>
    <xf numFmtId="0" fontId="25" fillId="0" borderId="0" xfId="0" applyFont="1"/>
    <xf numFmtId="0" fontId="10" fillId="0" borderId="0" xfId="0" applyFont="1" applyAlignment="1">
      <alignment horizontal="right"/>
    </xf>
    <xf numFmtId="43" fontId="4" fillId="0" borderId="0" xfId="1" applyFont="1" applyBorder="1"/>
    <xf numFmtId="43" fontId="4" fillId="0" borderId="9" xfId="1" applyFont="1" applyBorder="1"/>
    <xf numFmtId="43" fontId="4" fillId="0" borderId="6" xfId="1" applyFont="1" applyBorder="1"/>
    <xf numFmtId="43" fontId="4" fillId="0" borderId="23" xfId="1" applyFont="1" applyBorder="1"/>
    <xf numFmtId="43" fontId="5" fillId="0" borderId="0" xfId="1" applyFont="1"/>
    <xf numFmtId="43" fontId="5" fillId="0" borderId="9" xfId="1" applyFont="1" applyBorder="1"/>
    <xf numFmtId="43" fontId="5" fillId="0" borderId="0" xfId="1" applyFont="1" applyAlignment="1">
      <alignment vertical="top"/>
    </xf>
    <xf numFmtId="43" fontId="5" fillId="0" borderId="9" xfId="1" applyFont="1" applyBorder="1" applyAlignment="1">
      <alignment vertical="top"/>
    </xf>
    <xf numFmtId="43" fontId="4" fillId="0" borderId="0" xfId="1" applyFont="1"/>
    <xf numFmtId="43" fontId="5" fillId="0" borderId="11" xfId="1" applyFont="1" applyBorder="1"/>
    <xf numFmtId="43" fontId="5" fillId="0" borderId="12" xfId="1" applyFont="1" applyBorder="1"/>
    <xf numFmtId="0" fontId="25" fillId="0" borderId="6" xfId="0" applyFont="1" applyBorder="1"/>
    <xf numFmtId="43" fontId="5" fillId="0" borderId="0" xfId="1" applyFont="1" applyBorder="1"/>
    <xf numFmtId="0" fontId="4" fillId="0" borderId="0" xfId="3" applyFont="1" applyAlignment="1">
      <alignment wrapText="1"/>
    </xf>
    <xf numFmtId="0" fontId="12" fillId="0" borderId="0" xfId="0" quotePrefix="1" applyFont="1"/>
    <xf numFmtId="0" fontId="5" fillId="0" borderId="0" xfId="0" applyFont="1" applyAlignment="1">
      <alignment horizontal="center"/>
    </xf>
    <xf numFmtId="43" fontId="12" fillId="0" borderId="0" xfId="0" applyNumberFormat="1" applyFont="1"/>
    <xf numFmtId="43" fontId="12" fillId="0" borderId="0" xfId="0" quotePrefix="1" applyNumberFormat="1" applyFont="1"/>
    <xf numFmtId="0" fontId="4" fillId="7" borderId="0" xfId="0" applyFont="1" applyFill="1"/>
    <xf numFmtId="165" fontId="4" fillId="4" borderId="0" xfId="0" applyNumberFormat="1" applyFont="1" applyFill="1"/>
    <xf numFmtId="165" fontId="4" fillId="0" borderId="11" xfId="0" applyNumberFormat="1" applyFont="1" applyBorder="1"/>
    <xf numFmtId="0" fontId="19" fillId="0" borderId="0" xfId="0" quotePrefix="1" applyFont="1"/>
    <xf numFmtId="0" fontId="22" fillId="0" borderId="7" xfId="0" applyFont="1" applyBorder="1"/>
    <xf numFmtId="0" fontId="3" fillId="3" borderId="3" xfId="3" applyFont="1" applyFill="1" applyBorder="1" applyAlignment="1">
      <alignment horizontal="center"/>
    </xf>
    <xf numFmtId="0" fontId="3" fillId="3" borderId="4" xfId="3" applyFont="1" applyFill="1" applyBorder="1" applyAlignment="1">
      <alignment horizontal="center"/>
    </xf>
    <xf numFmtId="0" fontId="4" fillId="0" borderId="0" xfId="3" applyFont="1" applyAlignment="1">
      <alignment horizontal="right"/>
    </xf>
    <xf numFmtId="0" fontId="4" fillId="0" borderId="0" xfId="3" applyFont="1"/>
    <xf numFmtId="0" fontId="17" fillId="3" borderId="18" xfId="0" applyFont="1" applyFill="1" applyBorder="1" applyAlignment="1">
      <alignment horizontal="center"/>
    </xf>
    <xf numFmtId="0" fontId="17" fillId="3" borderId="7" xfId="0" applyFont="1" applyFill="1" applyBorder="1" applyAlignment="1">
      <alignment horizontal="center"/>
    </xf>
    <xf numFmtId="0" fontId="12" fillId="0" borderId="0" xfId="0" applyFont="1" applyAlignment="1">
      <alignment horizontal="center" vertical="top"/>
    </xf>
    <xf numFmtId="0" fontId="12" fillId="0" borderId="11" xfId="0" applyFont="1" applyBorder="1" applyAlignment="1">
      <alignment horizontal="center" vertical="top"/>
    </xf>
    <xf numFmtId="0" fontId="13" fillId="6" borderId="3" xfId="0" applyFont="1" applyFill="1" applyBorder="1" applyAlignment="1">
      <alignment horizontal="center"/>
    </xf>
    <xf numFmtId="0" fontId="13" fillId="6" borderId="4" xfId="0" applyFont="1" applyFill="1" applyBorder="1" applyAlignment="1">
      <alignment horizontal="center"/>
    </xf>
    <xf numFmtId="0" fontId="13" fillId="6" borderId="13" xfId="0" applyFont="1" applyFill="1" applyBorder="1" applyAlignment="1">
      <alignment horizontal="center"/>
    </xf>
    <xf numFmtId="0" fontId="13" fillId="0" borderId="4" xfId="0" applyFont="1" applyBorder="1" applyAlignment="1">
      <alignment horizontal="center"/>
    </xf>
    <xf numFmtId="0" fontId="13" fillId="0" borderId="13" xfId="0" applyFont="1" applyBorder="1" applyAlignment="1">
      <alignment horizontal="center"/>
    </xf>
    <xf numFmtId="0" fontId="12" fillId="0" borderId="0" xfId="0" applyFont="1" applyAlignment="1">
      <alignment horizontal="left" vertical="top" wrapText="1"/>
    </xf>
    <xf numFmtId="0" fontId="12" fillId="0" borderId="9" xfId="0" applyFont="1" applyBorder="1" applyAlignment="1">
      <alignment horizontal="left" vertical="top" wrapText="1"/>
    </xf>
    <xf numFmtId="0" fontId="13" fillId="0" borderId="7" xfId="0" applyFont="1" applyBorder="1" applyAlignment="1">
      <alignment horizontal="center"/>
    </xf>
    <xf numFmtId="0" fontId="13" fillId="0" borderId="19" xfId="0" applyFont="1" applyBorder="1" applyAlignment="1">
      <alignment horizontal="center"/>
    </xf>
    <xf numFmtId="0" fontId="5" fillId="0" borderId="8"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24" fillId="3" borderId="18" xfId="0" applyFont="1" applyFill="1" applyBorder="1" applyAlignment="1">
      <alignment horizontal="center"/>
    </xf>
    <xf numFmtId="0" fontId="24" fillId="3" borderId="7" xfId="0" applyFont="1" applyFill="1" applyBorder="1" applyAlignment="1">
      <alignment horizontal="center"/>
    </xf>
    <xf numFmtId="0" fontId="24" fillId="3" borderId="19" xfId="0" applyFont="1" applyFill="1" applyBorder="1" applyAlignment="1">
      <alignment horizontal="center"/>
    </xf>
    <xf numFmtId="0" fontId="9" fillId="0" borderId="25" xfId="0" applyFont="1" applyBorder="1" applyAlignment="1">
      <alignment horizontal="center"/>
    </xf>
    <xf numFmtId="0" fontId="9" fillId="0" borderId="5" xfId="0" applyFont="1" applyBorder="1" applyAlignment="1">
      <alignment horizontal="center"/>
    </xf>
    <xf numFmtId="0" fontId="9" fillId="0" borderId="26" xfId="0" applyFont="1" applyBorder="1" applyAlignment="1">
      <alignment horizontal="center"/>
    </xf>
    <xf numFmtId="0" fontId="15" fillId="3" borderId="14" xfId="0" applyFont="1" applyFill="1" applyBorder="1" applyAlignment="1">
      <alignment horizontal="center"/>
    </xf>
    <xf numFmtId="0" fontId="15" fillId="3" borderId="15" xfId="0" applyFont="1" applyFill="1" applyBorder="1" applyAlignment="1">
      <alignment horizontal="center"/>
    </xf>
    <xf numFmtId="0" fontId="15" fillId="3" borderId="16" xfId="0" applyFont="1" applyFill="1" applyBorder="1" applyAlignment="1">
      <alignment horizontal="center"/>
    </xf>
    <xf numFmtId="0" fontId="25" fillId="0" borderId="7" xfId="0" applyFont="1" applyBorder="1" applyAlignment="1">
      <alignment horizontal="left" vertical="top" wrapText="1"/>
    </xf>
    <xf numFmtId="0" fontId="25" fillId="0" borderId="0" xfId="0" applyFont="1" applyAlignment="1">
      <alignment horizontal="left" vertical="top" wrapText="1"/>
    </xf>
    <xf numFmtId="0" fontId="25" fillId="0" borderId="8" xfId="0" applyFont="1" applyBorder="1" applyAlignment="1">
      <alignment horizontal="left" wrapText="1"/>
    </xf>
    <xf numFmtId="0" fontId="25" fillId="0" borderId="0" xfId="0" applyFont="1" applyAlignment="1">
      <alignment horizontal="left" wrapText="1"/>
    </xf>
    <xf numFmtId="0" fontId="25" fillId="0" borderId="9" xfId="0" applyFont="1" applyBorder="1" applyAlignment="1">
      <alignment horizontal="left" wrapText="1"/>
    </xf>
    <xf numFmtId="0" fontId="25" fillId="0" borderId="10" xfId="0" applyFont="1" applyBorder="1" applyAlignment="1">
      <alignment horizontal="left" wrapText="1"/>
    </xf>
    <xf numFmtId="0" fontId="25" fillId="0" borderId="11" xfId="0" applyFont="1" applyBorder="1" applyAlignment="1">
      <alignment horizontal="left" wrapText="1"/>
    </xf>
    <xf numFmtId="0" fontId="25" fillId="0" borderId="12" xfId="0" applyFont="1" applyBorder="1" applyAlignment="1">
      <alignment horizontal="left" wrapText="1"/>
    </xf>
    <xf numFmtId="0" fontId="5" fillId="0" borderId="0" xfId="0" applyFont="1" applyAlignment="1">
      <alignment horizontal="right" vertical="top"/>
    </xf>
    <xf numFmtId="0" fontId="14" fillId="3" borderId="18" xfId="0" applyFont="1" applyFill="1" applyBorder="1" applyAlignment="1">
      <alignment horizontal="center"/>
    </xf>
    <xf numFmtId="0" fontId="14" fillId="3" borderId="7" xfId="0" applyFont="1" applyFill="1" applyBorder="1" applyAlignment="1">
      <alignment horizontal="center"/>
    </xf>
    <xf numFmtId="0" fontId="14" fillId="3" borderId="19" xfId="0" applyFont="1" applyFill="1" applyBorder="1" applyAlignment="1">
      <alignment horizontal="center"/>
    </xf>
    <xf numFmtId="0" fontId="19" fillId="0" borderId="0" xfId="0" applyFont="1" applyAlignment="1">
      <alignment horizontal="center"/>
    </xf>
    <xf numFmtId="0" fontId="5" fillId="0" borderId="0" xfId="0" applyFont="1" applyAlignment="1">
      <alignment horizontal="right"/>
    </xf>
    <xf numFmtId="0" fontId="5" fillId="0" borderId="6" xfId="0" applyFont="1" applyBorder="1" applyAlignment="1">
      <alignment horizontal="right"/>
    </xf>
    <xf numFmtId="0" fontId="12" fillId="0" borderId="0" xfId="0" applyFont="1" applyAlignment="1">
      <alignment horizontal="center"/>
    </xf>
    <xf numFmtId="0" fontId="22" fillId="3" borderId="18" xfId="0" applyFont="1" applyFill="1" applyBorder="1" applyAlignment="1">
      <alignment horizontal="center"/>
    </xf>
    <xf numFmtId="0" fontId="22" fillId="3" borderId="7" xfId="0" applyFont="1" applyFill="1" applyBorder="1" applyAlignment="1">
      <alignment horizontal="center"/>
    </xf>
    <xf numFmtId="0" fontId="22" fillId="3" borderId="19" xfId="0" applyFont="1" applyFill="1" applyBorder="1" applyAlignment="1">
      <alignment horizontal="center"/>
    </xf>
    <xf numFmtId="0" fontId="25" fillId="0" borderId="0" xfId="0" applyFont="1" applyAlignment="1">
      <alignment vertical="top" wrapText="1"/>
    </xf>
    <xf numFmtId="0" fontId="22" fillId="3" borderId="3" xfId="0" applyFont="1" applyFill="1" applyBorder="1" applyAlignment="1">
      <alignment horizontal="center"/>
    </xf>
    <xf numFmtId="0" fontId="22" fillId="3" borderId="4" xfId="0" applyFont="1" applyFill="1" applyBorder="1" applyAlignment="1">
      <alignment horizontal="center"/>
    </xf>
    <xf numFmtId="0" fontId="22" fillId="3" borderId="13" xfId="0" applyFont="1" applyFill="1" applyBorder="1" applyAlignment="1">
      <alignment horizontal="center"/>
    </xf>
    <xf numFmtId="0" fontId="26" fillId="0" borderId="8" xfId="0" applyFont="1" applyBorder="1" applyAlignment="1">
      <alignment horizontal="left" vertical="top" wrapText="1"/>
    </xf>
    <xf numFmtId="0" fontId="26" fillId="0" borderId="0" xfId="0" applyFont="1" applyAlignment="1">
      <alignment horizontal="left" vertical="top" wrapText="1"/>
    </xf>
    <xf numFmtId="0" fontId="26" fillId="0" borderId="9" xfId="0" applyFont="1" applyBorder="1" applyAlignment="1">
      <alignment horizontal="left" vertical="top" wrapText="1"/>
    </xf>
    <xf numFmtId="0" fontId="26" fillId="0" borderId="10" xfId="0" applyFont="1" applyBorder="1" applyAlignment="1">
      <alignment horizontal="left" vertical="top" wrapText="1"/>
    </xf>
    <xf numFmtId="0" fontId="26" fillId="0" borderId="11" xfId="0" applyFont="1" applyBorder="1" applyAlignment="1">
      <alignment horizontal="left" vertical="top" wrapText="1"/>
    </xf>
    <xf numFmtId="0" fontId="26" fillId="0" borderId="12"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0" xfId="0" applyFont="1" applyBorder="1" applyAlignment="1">
      <alignment horizontal="left" vertical="top" wrapText="1"/>
    </xf>
    <xf numFmtId="0" fontId="25" fillId="0" borderId="11" xfId="0" applyFont="1" applyBorder="1" applyAlignment="1">
      <alignment horizontal="left" vertical="top" wrapText="1"/>
    </xf>
    <xf numFmtId="0" fontId="25" fillId="0" borderId="12" xfId="0" applyFont="1" applyBorder="1" applyAlignment="1">
      <alignment horizontal="left" vertical="top" wrapText="1"/>
    </xf>
    <xf numFmtId="0" fontId="22" fillId="3" borderId="14" xfId="0" applyFont="1" applyFill="1" applyBorder="1" applyAlignment="1">
      <alignment horizontal="center"/>
    </xf>
    <xf numFmtId="0" fontId="22" fillId="3" borderId="15" xfId="0" applyFont="1" applyFill="1" applyBorder="1" applyAlignment="1">
      <alignment horizontal="center"/>
    </xf>
    <xf numFmtId="0" fontId="22" fillId="3" borderId="16" xfId="0" applyFont="1" applyFill="1" applyBorder="1" applyAlignment="1">
      <alignment horizontal="center"/>
    </xf>
    <xf numFmtId="0" fontId="21" fillId="0" borderId="0" xfId="0" applyFont="1" applyAlignment="1">
      <alignment horizontal="center"/>
    </xf>
    <xf numFmtId="0" fontId="25" fillId="0" borderId="31" xfId="0" applyFont="1" applyBorder="1" applyAlignment="1">
      <alignment horizontal="left"/>
    </xf>
    <xf numFmtId="0" fontId="25" fillId="0" borderId="17" xfId="0" applyFont="1" applyBorder="1" applyAlignment="1">
      <alignment horizontal="left"/>
    </xf>
    <xf numFmtId="0" fontId="25" fillId="0" borderId="24" xfId="0" applyFont="1" applyBorder="1" applyAlignment="1">
      <alignment horizontal="left"/>
    </xf>
  </cellXfs>
  <cellStyles count="5">
    <cellStyle name="Comma" xfId="1" builtinId="3"/>
    <cellStyle name="Normal" xfId="0" builtinId="0"/>
    <cellStyle name="Normal 2 2" xfId="3" xr:uid="{EFA1E3C4-E927-461C-94B6-EDDB2A23AF5D}"/>
    <cellStyle name="Output" xfId="2" builtinId="2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2914650</xdr:colOff>
      <xdr:row>3</xdr:row>
      <xdr:rowOff>92425</xdr:rowOff>
    </xdr:from>
    <xdr:to>
      <xdr:col>2</xdr:col>
      <xdr:colOff>5210175</xdr:colOff>
      <xdr:row>7</xdr:row>
      <xdr:rowOff>51375</xdr:rowOff>
    </xdr:to>
    <xdr:pic>
      <xdr:nvPicPr>
        <xdr:cNvPr id="2" name="Picture 1">
          <a:extLst>
            <a:ext uri="{FF2B5EF4-FFF2-40B4-BE49-F238E27FC236}">
              <a16:creationId xmlns:a16="http://schemas.microsoft.com/office/drawing/2014/main" id="{A292C236-8301-472A-AC8B-0E9336E512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3825" y="787750"/>
          <a:ext cx="2295525" cy="720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28714-275D-4D09-A675-04CB0FDC8D00}">
  <dimension ref="B1:D15"/>
  <sheetViews>
    <sheetView showGridLines="0" tabSelected="1" workbookViewId="0">
      <selection activeCell="E7" sqref="E7"/>
    </sheetView>
  </sheetViews>
  <sheetFormatPr defaultRowHeight="16.5" x14ac:dyDescent="0.3"/>
  <cols>
    <col min="1" max="2" width="9.140625" style="6"/>
    <col min="3" max="3" width="94" style="6" bestFit="1" customWidth="1"/>
    <col min="4" max="16384" width="9.140625" style="6"/>
  </cols>
  <sheetData>
    <row r="1" spans="2:4" ht="17.25" thickBot="1" x14ac:dyDescent="0.35"/>
    <row r="2" spans="2:4" ht="21" thickBot="1" x14ac:dyDescent="0.4">
      <c r="B2" s="127" t="s">
        <v>258</v>
      </c>
      <c r="C2" s="128"/>
      <c r="D2" s="128"/>
    </row>
    <row r="3" spans="2:4" x14ac:dyDescent="0.3">
      <c r="B3" s="129" t="s">
        <v>220</v>
      </c>
      <c r="C3" s="129"/>
      <c r="D3" s="129"/>
    </row>
    <row r="4" spans="2:4" x14ac:dyDescent="0.3">
      <c r="B4" s="130"/>
      <c r="C4" s="130"/>
      <c r="D4" s="130"/>
    </row>
    <row r="5" spans="2:4" x14ac:dyDescent="0.3">
      <c r="B5" s="1"/>
      <c r="C5" s="2" t="s">
        <v>0</v>
      </c>
      <c r="D5" s="1"/>
    </row>
    <row r="6" spans="2:4" x14ac:dyDescent="0.3">
      <c r="B6" s="1"/>
      <c r="C6" s="3" t="s">
        <v>1</v>
      </c>
      <c r="D6" s="1"/>
    </row>
    <row r="7" spans="2:4" x14ac:dyDescent="0.3">
      <c r="B7" s="1"/>
      <c r="C7" s="3" t="s">
        <v>2</v>
      </c>
      <c r="D7" s="1"/>
    </row>
    <row r="8" spans="2:4" x14ac:dyDescent="0.3">
      <c r="B8" s="1"/>
      <c r="C8" s="1"/>
      <c r="D8" s="1"/>
    </row>
    <row r="9" spans="2:4" ht="212.25" customHeight="1" x14ac:dyDescent="0.3">
      <c r="B9" s="1"/>
      <c r="C9" s="4" t="s">
        <v>253</v>
      </c>
      <c r="D9" s="1"/>
    </row>
    <row r="10" spans="2:4" ht="9" customHeight="1" x14ac:dyDescent="0.3">
      <c r="B10" s="1"/>
      <c r="C10" s="1"/>
      <c r="D10" s="1"/>
    </row>
    <row r="11" spans="2:4" ht="82.5" x14ac:dyDescent="0.3">
      <c r="B11" s="1"/>
      <c r="C11" s="117" t="s">
        <v>254</v>
      </c>
      <c r="D11" s="1"/>
    </row>
    <row r="12" spans="2:4" x14ac:dyDescent="0.3">
      <c r="B12" s="1"/>
      <c r="C12" s="1"/>
      <c r="D12" s="1"/>
    </row>
    <row r="13" spans="2:4" x14ac:dyDescent="0.3">
      <c r="B13" s="1"/>
      <c r="C13" s="5" t="s">
        <v>221</v>
      </c>
      <c r="D13" s="1"/>
    </row>
    <row r="14" spans="2:4" ht="17.25" thickBot="1" x14ac:dyDescent="0.35">
      <c r="B14" s="1"/>
      <c r="C14" s="1"/>
      <c r="D14" s="1"/>
    </row>
    <row r="15" spans="2:4" ht="21" thickBot="1" x14ac:dyDescent="0.4">
      <c r="B15" s="36"/>
      <c r="C15" s="37"/>
      <c r="D15" s="37"/>
    </row>
  </sheetData>
  <sheetProtection sheet="1" objects="1" scenarios="1"/>
  <mergeCells count="3">
    <mergeCell ref="B2:D2"/>
    <mergeCell ref="B3:D3"/>
    <mergeCell ref="B4:D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43823-1F84-48F6-8069-26796ED05AC8}">
  <dimension ref="A1:W24"/>
  <sheetViews>
    <sheetView showGridLines="0" workbookViewId="0">
      <selection activeCell="F16" sqref="F16:L16"/>
    </sheetView>
  </sheetViews>
  <sheetFormatPr defaultColWidth="0" defaultRowHeight="16.5" zeroHeight="1" x14ac:dyDescent="0.3"/>
  <cols>
    <col min="1" max="1" width="9.140625" style="6" customWidth="1"/>
    <col min="2" max="2" width="26.28515625" style="6" bestFit="1" customWidth="1"/>
    <col min="3" max="3" width="31" style="6" bestFit="1" customWidth="1"/>
    <col min="4" max="4" width="15.85546875" style="6" bestFit="1" customWidth="1"/>
    <col min="5" max="5" width="9.140625" style="6" customWidth="1"/>
    <col min="6" max="6" width="24.140625" style="6" bestFit="1" customWidth="1"/>
    <col min="7" max="7" width="25.7109375" style="6" customWidth="1"/>
    <col min="8" max="8" width="10" style="6" bestFit="1" customWidth="1"/>
    <col min="9" max="9" width="10.85546875" style="6" bestFit="1" customWidth="1"/>
    <col min="10" max="10" width="10" style="6" customWidth="1"/>
    <col min="11" max="11" width="11.28515625" style="6" bestFit="1" customWidth="1"/>
    <col min="12" max="12" width="14.5703125" style="6" bestFit="1" customWidth="1"/>
    <col min="13" max="13" width="9.140625" style="6" customWidth="1"/>
    <col min="14" max="16" width="9.140625" style="6" hidden="1" customWidth="1"/>
    <col min="17" max="18" width="21.7109375" style="6" hidden="1" customWidth="1"/>
    <col min="19" max="23" width="0" style="6" hidden="1" customWidth="1"/>
    <col min="24" max="16384" width="9.140625" style="6" hidden="1"/>
  </cols>
  <sheetData>
    <row r="1" spans="2:23" ht="20.25" x14ac:dyDescent="0.35">
      <c r="B1" s="172" t="s">
        <v>225</v>
      </c>
      <c r="C1" s="173"/>
      <c r="D1" s="174"/>
      <c r="E1" s="126"/>
      <c r="F1" s="190" t="s">
        <v>201</v>
      </c>
      <c r="G1" s="191"/>
      <c r="H1" s="191"/>
      <c r="I1" s="191"/>
      <c r="J1" s="191"/>
      <c r="K1" s="191"/>
      <c r="L1" s="192"/>
      <c r="O1" s="13"/>
      <c r="P1" s="13"/>
      <c r="Q1" s="13"/>
      <c r="R1" s="13"/>
      <c r="S1" s="13"/>
      <c r="T1" s="13"/>
      <c r="U1" s="13"/>
    </row>
    <row r="2" spans="2:23" ht="17.25" x14ac:dyDescent="0.3">
      <c r="B2" s="80" t="s">
        <v>163</v>
      </c>
      <c r="C2" s="81" t="s">
        <v>33</v>
      </c>
      <c r="D2" s="83" t="s">
        <v>41</v>
      </c>
      <c r="E2" s="119"/>
      <c r="F2" s="51"/>
      <c r="G2" s="29" t="s">
        <v>118</v>
      </c>
      <c r="H2" s="29" t="s">
        <v>119</v>
      </c>
      <c r="I2" s="29" t="s">
        <v>120</v>
      </c>
      <c r="J2" s="29"/>
      <c r="K2" s="29" t="s">
        <v>121</v>
      </c>
      <c r="L2" s="41" t="s">
        <v>46</v>
      </c>
      <c r="O2" s="13"/>
      <c r="P2" s="13"/>
      <c r="Q2" s="13" t="s">
        <v>104</v>
      </c>
      <c r="R2" s="13" t="s">
        <v>104</v>
      </c>
      <c r="S2" s="13" t="s">
        <v>5</v>
      </c>
      <c r="T2" s="13">
        <v>3</v>
      </c>
      <c r="U2" s="13" t="s">
        <v>14</v>
      </c>
      <c r="V2" s="39"/>
      <c r="W2" s="38"/>
    </row>
    <row r="3" spans="2:23" ht="17.25" x14ac:dyDescent="0.3">
      <c r="B3" s="20" t="s">
        <v>179</v>
      </c>
      <c r="C3" s="42">
        <v>500</v>
      </c>
      <c r="D3" s="100" t="s">
        <v>5</v>
      </c>
      <c r="F3" s="20" t="s">
        <v>167</v>
      </c>
      <c r="G3" s="6" t="str">
        <f>C5</f>
        <v>3 1/2" x 8' pipe</v>
      </c>
      <c r="H3" s="6">
        <f>IF(I3=$R$8,C4,C4*$C$7)</f>
        <v>6</v>
      </c>
      <c r="I3" s="102" t="str">
        <f>VLOOKUP(G3,$Q$8:$R$16,2,FALSE)</f>
        <v>posts</v>
      </c>
      <c r="K3" s="43">
        <f>VLOOKUP(G3,'Material prices'!B4:E8,4,FALSE)</f>
        <v>52</v>
      </c>
      <c r="L3" s="44">
        <f>H3*K3</f>
        <v>312</v>
      </c>
      <c r="O3" s="13"/>
      <c r="P3" s="13"/>
      <c r="Q3" s="13" t="s">
        <v>177</v>
      </c>
      <c r="R3" s="13" t="s">
        <v>100</v>
      </c>
      <c r="S3" s="13" t="s">
        <v>178</v>
      </c>
      <c r="T3" s="13">
        <f>5/'Material prices'!C41</f>
        <v>0.2</v>
      </c>
      <c r="U3" s="13" t="s">
        <v>28</v>
      </c>
      <c r="V3" s="39">
        <v>5</v>
      </c>
      <c r="W3" s="38"/>
    </row>
    <row r="4" spans="2:23" ht="17.25" x14ac:dyDescent="0.3">
      <c r="B4" s="20" t="s">
        <v>167</v>
      </c>
      <c r="C4" s="42">
        <v>6</v>
      </c>
      <c r="D4" s="100" t="s">
        <v>47</v>
      </c>
      <c r="F4" s="20" t="s">
        <v>67</v>
      </c>
      <c r="G4" s="6" t="str">
        <f>C6</f>
        <v>2 7/8 drill stem pipe</v>
      </c>
      <c r="H4" s="6">
        <f>IF(I4=$R$8,ROUND($C$3/100*C15,0),(ROUND($C$3/100*C15,0)-C4)*$C$7)</f>
        <v>456</v>
      </c>
      <c r="I4" s="102" t="str">
        <f>VLOOKUP(G4,Q8:R16,2,FALSE)</f>
        <v>feet</v>
      </c>
      <c r="K4" s="43">
        <f>VLOOKUP(G4,'Material prices'!B8:E27,4,FALSE)</f>
        <v>2.5</v>
      </c>
      <c r="L4" s="44">
        <f t="shared" ref="L4" si="0">H4*K4</f>
        <v>1140</v>
      </c>
      <c r="O4" s="13"/>
      <c r="P4" s="13"/>
      <c r="Q4" s="13" t="s">
        <v>102</v>
      </c>
      <c r="R4" s="13" t="s">
        <v>102</v>
      </c>
      <c r="S4" s="13" t="s">
        <v>180</v>
      </c>
      <c r="T4" s="13">
        <v>0.05</v>
      </c>
      <c r="U4" s="13" t="s">
        <v>181</v>
      </c>
      <c r="V4" s="39">
        <v>6</v>
      </c>
      <c r="W4" s="38"/>
    </row>
    <row r="5" spans="2:23" x14ac:dyDescent="0.3">
      <c r="B5" s="20" t="s">
        <v>182</v>
      </c>
      <c r="C5" s="42" t="s">
        <v>10</v>
      </c>
      <c r="D5" s="100"/>
      <c r="F5" s="20" t="s">
        <v>138</v>
      </c>
      <c r="G5" s="6" t="str">
        <f>IF(Q4=C11,'Material prices'!B26,"")</f>
        <v/>
      </c>
      <c r="H5" s="45" t="str">
        <f>IF(OR(C11=Q2,C11=Q3),"",C4+C3/100*C15*VLOOKUP(C11,Q3:V4,6,FALSE))</f>
        <v/>
      </c>
      <c r="I5" s="102" t="str">
        <f>IF(OR(C11=Q2,C11=Q3),"","clips")</f>
        <v/>
      </c>
      <c r="K5" s="43" t="str">
        <f>IFERROR(VLOOKUP(G5,'Material prices'!$B$14:$E$27,4,FALSE),"N/A")</f>
        <v>N/A</v>
      </c>
      <c r="L5" s="44" t="str">
        <f>IFERROR(H5*K5,"N/A")</f>
        <v>N/A</v>
      </c>
      <c r="O5" s="13"/>
      <c r="P5" s="13"/>
      <c r="Q5" s="13"/>
      <c r="R5" s="13"/>
      <c r="S5" s="13"/>
      <c r="T5" s="13"/>
      <c r="U5" s="13"/>
      <c r="V5" s="38"/>
      <c r="W5" s="38"/>
    </row>
    <row r="6" spans="2:23" x14ac:dyDescent="0.3">
      <c r="B6" s="20" t="s">
        <v>67</v>
      </c>
      <c r="C6" s="42" t="s">
        <v>223</v>
      </c>
      <c r="D6" s="100"/>
      <c r="F6" s="20" t="s">
        <v>127</v>
      </c>
      <c r="G6" s="6" t="str">
        <f>IF(C8=U3,"no concrete needed",'Material prices'!B49)</f>
        <v>Pre-mix cement</v>
      </c>
      <c r="H6" s="45">
        <f>T21</f>
        <v>33.929200658769766</v>
      </c>
      <c r="I6" s="102" t="s">
        <v>128</v>
      </c>
      <c r="K6" s="43">
        <f>'Material prices'!E49</f>
        <v>5.7</v>
      </c>
      <c r="L6" s="44">
        <f>H6*K6</f>
        <v>193.39644375498767</v>
      </c>
      <c r="O6" s="13"/>
      <c r="P6" s="13"/>
      <c r="Q6" s="13"/>
      <c r="R6" s="13"/>
      <c r="S6" s="13"/>
      <c r="T6" s="13"/>
      <c r="U6" s="13"/>
      <c r="V6" s="38"/>
      <c r="W6" s="38"/>
    </row>
    <row r="7" spans="2:23" x14ac:dyDescent="0.3">
      <c r="B7" s="20" t="s">
        <v>184</v>
      </c>
      <c r="C7" s="42">
        <v>8</v>
      </c>
      <c r="D7" s="100" t="s">
        <v>5</v>
      </c>
      <c r="F7" s="20" t="s">
        <v>183</v>
      </c>
      <c r="G7" s="6" t="str">
        <f>IF(C11=Q2,Q2,IF(C11=Q3,'Material prices'!B41,'Material prices'!B42))</f>
        <v>3/4" sucker rod</v>
      </c>
      <c r="H7" s="6">
        <f>C3*VLOOKUP(G7,R2:T4,3,FALSE)</f>
        <v>100</v>
      </c>
      <c r="I7" s="102" t="str">
        <f>VLOOKUP(C11,$Q$2:$S$4,3,FALSE)</f>
        <v>sticks</v>
      </c>
      <c r="K7" s="43">
        <f>VLOOKUP(G7,'Material prices'!B32:E43,4,FALSE)</f>
        <v>12</v>
      </c>
      <c r="L7" s="44">
        <f t="shared" ref="L7:L8" si="1">H7*K7</f>
        <v>1200</v>
      </c>
      <c r="O7" s="13"/>
      <c r="P7" s="13"/>
      <c r="Q7" s="13"/>
      <c r="R7" s="13"/>
      <c r="S7" s="13"/>
      <c r="T7" s="13"/>
      <c r="U7" s="13"/>
      <c r="V7" s="38"/>
      <c r="W7" s="38"/>
    </row>
    <row r="8" spans="2:23" ht="17.25" x14ac:dyDescent="0.3">
      <c r="B8" s="20" t="s">
        <v>185</v>
      </c>
      <c r="C8" s="42" t="s">
        <v>181</v>
      </c>
      <c r="D8" s="100"/>
      <c r="F8" s="20"/>
      <c r="G8" s="6" t="str">
        <f>IF(Q3=C11,'Material prices'!B12,"")</f>
        <v>2 3/8 drill stem pipe</v>
      </c>
      <c r="H8" s="6">
        <f>IF(G8='Material prices'!B12,'Corral fencing'!C3,"")</f>
        <v>500</v>
      </c>
      <c r="I8" s="102" t="str">
        <f>IF(C11=Q3,S2,"")</f>
        <v>feet</v>
      </c>
      <c r="K8" s="43">
        <f>'Material prices'!E12</f>
        <v>1.98</v>
      </c>
      <c r="L8" s="44">
        <f t="shared" si="1"/>
        <v>990</v>
      </c>
      <c r="O8" s="13"/>
      <c r="P8" s="13"/>
      <c r="Q8" s="7" t="s">
        <v>53</v>
      </c>
      <c r="R8" s="13" t="s">
        <v>47</v>
      </c>
      <c r="S8" s="13"/>
      <c r="T8" s="13"/>
      <c r="U8" s="13"/>
      <c r="V8" s="38"/>
      <c r="W8" s="38"/>
    </row>
    <row r="9" spans="2:23" ht="17.25" x14ac:dyDescent="0.3">
      <c r="B9" s="20" t="str">
        <f>IF(OR($C$8=$U$2,$C$8=$U$4),"Post-hole depth (inches)","")</f>
        <v>Post-hole depth (inches)</v>
      </c>
      <c r="C9" s="42">
        <v>36</v>
      </c>
      <c r="D9" s="100"/>
      <c r="F9" s="20" t="s">
        <v>171</v>
      </c>
      <c r="G9" s="6" t="s">
        <v>218</v>
      </c>
      <c r="H9" s="6">
        <f>C12*C13</f>
        <v>48</v>
      </c>
      <c r="I9" s="102" t="s">
        <v>219</v>
      </c>
      <c r="K9" s="43">
        <f>C14</f>
        <v>25</v>
      </c>
      <c r="L9" s="44">
        <f>K9*H9</f>
        <v>1200</v>
      </c>
      <c r="O9" s="13"/>
      <c r="P9" s="13"/>
      <c r="Q9" s="7" t="s">
        <v>60</v>
      </c>
      <c r="R9" s="13" t="s">
        <v>47</v>
      </c>
      <c r="S9" s="13"/>
      <c r="T9" s="13"/>
      <c r="U9" s="13"/>
      <c r="V9" s="38"/>
      <c r="W9" s="38"/>
    </row>
    <row r="10" spans="2:23" ht="17.25" x14ac:dyDescent="0.3">
      <c r="B10" s="20" t="str">
        <f>IF(OR($C$8=$U$2,$C$8=$U$4),"Post-hole diameter (inches)","")</f>
        <v>Post-hole diameter (inches)</v>
      </c>
      <c r="C10" s="42">
        <v>24</v>
      </c>
      <c r="D10" s="100"/>
      <c r="F10" s="20" t="s">
        <v>217</v>
      </c>
      <c r="G10" s="6" t="s">
        <v>115</v>
      </c>
      <c r="H10" s="97">
        <v>105</v>
      </c>
      <c r="I10" s="102" t="s">
        <v>139</v>
      </c>
      <c r="K10" s="43">
        <f>'Material prices'!E54</f>
        <v>25</v>
      </c>
      <c r="L10" s="44">
        <f>H10*K10</f>
        <v>2625</v>
      </c>
      <c r="O10" s="13"/>
      <c r="P10" s="13"/>
      <c r="Q10" s="7" t="s">
        <v>10</v>
      </c>
      <c r="R10" s="13" t="s">
        <v>47</v>
      </c>
      <c r="S10" s="13"/>
      <c r="T10" s="13"/>
      <c r="U10" s="13"/>
      <c r="V10" s="38"/>
      <c r="W10" s="38"/>
    </row>
    <row r="11" spans="2:23" ht="17.25" x14ac:dyDescent="0.3">
      <c r="B11" s="20" t="s">
        <v>186</v>
      </c>
      <c r="C11" s="42" t="s">
        <v>177</v>
      </c>
      <c r="D11" s="100"/>
      <c r="F11" s="55" t="s">
        <v>140</v>
      </c>
      <c r="G11" s="25"/>
      <c r="H11" s="35">
        <v>105</v>
      </c>
      <c r="I11" s="115" t="s">
        <v>141</v>
      </c>
      <c r="J11" s="25"/>
      <c r="K11" s="31">
        <f>'Material prices'!E55</f>
        <v>20</v>
      </c>
      <c r="L11" s="47">
        <f>H11*K11</f>
        <v>2100</v>
      </c>
      <c r="Q11" s="7" t="s">
        <v>62</v>
      </c>
      <c r="R11" s="13" t="s">
        <v>47</v>
      </c>
      <c r="S11" s="38"/>
      <c r="T11" s="38"/>
      <c r="U11" s="38"/>
      <c r="V11" s="38"/>
      <c r="W11" s="38"/>
    </row>
    <row r="12" spans="2:23" ht="17.25" x14ac:dyDescent="0.3">
      <c r="B12" s="20" t="s">
        <v>171</v>
      </c>
      <c r="C12" s="42">
        <v>4</v>
      </c>
      <c r="D12" s="100" t="s">
        <v>172</v>
      </c>
      <c r="F12" s="20"/>
      <c r="H12" s="46"/>
      <c r="J12" s="48"/>
      <c r="K12" s="49" t="s">
        <v>142</v>
      </c>
      <c r="L12" s="50" t="s">
        <v>143</v>
      </c>
      <c r="Q12" s="7" t="s">
        <v>63</v>
      </c>
      <c r="R12" s="13" t="s">
        <v>47</v>
      </c>
      <c r="S12" s="38"/>
      <c r="T12" s="38"/>
      <c r="U12" s="38"/>
      <c r="V12" s="38"/>
      <c r="W12" s="38"/>
    </row>
    <row r="13" spans="2:23" ht="17.25" x14ac:dyDescent="0.3">
      <c r="B13" s="20" t="s">
        <v>187</v>
      </c>
      <c r="C13" s="42">
        <v>12</v>
      </c>
      <c r="D13" s="100"/>
      <c r="F13" s="20"/>
      <c r="H13" s="46"/>
      <c r="I13" s="169" t="s">
        <v>145</v>
      </c>
      <c r="J13" s="169"/>
      <c r="K13" s="104">
        <f>SUM(L10:L11)</f>
        <v>4725</v>
      </c>
      <c r="L13" s="105">
        <f>K13/$C$3</f>
        <v>9.4499999999999993</v>
      </c>
      <c r="Q13" s="7" t="s">
        <v>222</v>
      </c>
      <c r="R13" s="13" t="s">
        <v>5</v>
      </c>
      <c r="S13" s="38"/>
      <c r="T13" s="38"/>
      <c r="U13" s="38"/>
      <c r="V13" s="38"/>
      <c r="W13" s="38"/>
    </row>
    <row r="14" spans="2:23" ht="17.25" x14ac:dyDescent="0.3">
      <c r="B14" s="20" t="s">
        <v>188</v>
      </c>
      <c r="C14" s="42">
        <v>25</v>
      </c>
      <c r="D14" s="100" t="s">
        <v>189</v>
      </c>
      <c r="F14" s="56"/>
      <c r="H14" s="46"/>
      <c r="I14" s="169" t="s">
        <v>147</v>
      </c>
      <c r="J14" s="169"/>
      <c r="K14" s="104">
        <f>SUM(L3:L9)</f>
        <v>5035.3964437549876</v>
      </c>
      <c r="L14" s="105">
        <f t="shared" ref="L14:L15" si="2">K14/$C$3</f>
        <v>10.070792887509976</v>
      </c>
      <c r="Q14" s="7" t="s">
        <v>223</v>
      </c>
      <c r="R14" s="13" t="s">
        <v>5</v>
      </c>
      <c r="S14" s="38"/>
      <c r="T14" s="38"/>
      <c r="U14" s="38"/>
      <c r="V14" s="38"/>
      <c r="W14" s="38"/>
    </row>
    <row r="15" spans="2:23" ht="17.25" x14ac:dyDescent="0.3">
      <c r="B15" s="20" t="s">
        <v>190</v>
      </c>
      <c r="C15" s="42">
        <v>12.5</v>
      </c>
      <c r="D15" s="100" t="s">
        <v>26</v>
      </c>
      <c r="F15" s="55"/>
      <c r="G15" s="25"/>
      <c r="H15" s="26"/>
      <c r="I15" s="170" t="s">
        <v>142</v>
      </c>
      <c r="J15" s="170"/>
      <c r="K15" s="106">
        <f>SUM(K13:K14)</f>
        <v>9760.3964437549876</v>
      </c>
      <c r="L15" s="105">
        <f t="shared" si="2"/>
        <v>19.520792887509977</v>
      </c>
      <c r="Q15" s="7" t="s">
        <v>70</v>
      </c>
      <c r="R15" s="13" t="s">
        <v>47</v>
      </c>
      <c r="S15" s="38"/>
      <c r="T15" s="38"/>
      <c r="U15" s="38"/>
      <c r="V15" s="38"/>
      <c r="W15" s="38"/>
    </row>
    <row r="16" spans="2:23" ht="18" thickBot="1" x14ac:dyDescent="0.35">
      <c r="B16" s="57"/>
      <c r="C16" s="59"/>
      <c r="D16" s="88"/>
      <c r="F16" s="194" t="s">
        <v>257</v>
      </c>
      <c r="G16" s="195"/>
      <c r="H16" s="195"/>
      <c r="I16" s="195"/>
      <c r="J16" s="195"/>
      <c r="K16" s="195"/>
      <c r="L16" s="196"/>
      <c r="Q16" s="7" t="s">
        <v>71</v>
      </c>
      <c r="R16" s="13" t="s">
        <v>47</v>
      </c>
      <c r="S16" s="38"/>
      <c r="T16" s="38"/>
      <c r="U16" s="38"/>
      <c r="V16" s="38"/>
      <c r="W16" s="38"/>
    </row>
    <row r="17" spans="6:23" ht="16.5" customHeight="1" x14ac:dyDescent="0.3">
      <c r="F17" s="179" t="s">
        <v>213</v>
      </c>
      <c r="G17" s="180"/>
      <c r="H17" s="180"/>
      <c r="I17" s="180"/>
      <c r="J17" s="180"/>
      <c r="K17" s="180"/>
      <c r="L17" s="181"/>
      <c r="Q17" s="38"/>
      <c r="R17" s="38"/>
      <c r="S17" s="38"/>
      <c r="T17" s="38"/>
      <c r="U17" s="38"/>
      <c r="V17" s="38"/>
      <c r="W17" s="38"/>
    </row>
    <row r="18" spans="6:23" ht="15" customHeight="1" thickBot="1" x14ac:dyDescent="0.35">
      <c r="F18" s="182"/>
      <c r="G18" s="183"/>
      <c r="H18" s="183"/>
      <c r="I18" s="183"/>
      <c r="J18" s="183"/>
      <c r="K18" s="183"/>
      <c r="L18" s="184"/>
    </row>
    <row r="19" spans="6:23" ht="15" customHeight="1" x14ac:dyDescent="0.3">
      <c r="F19" s="34"/>
      <c r="G19" s="34"/>
      <c r="H19" s="34"/>
      <c r="I19" s="34"/>
      <c r="J19" s="34"/>
      <c r="K19" s="34"/>
      <c r="L19" s="34"/>
      <c r="Q19" s="193" t="s">
        <v>32</v>
      </c>
      <c r="R19" s="193"/>
      <c r="S19" s="193"/>
      <c r="T19" s="193"/>
    </row>
    <row r="20" spans="6:23" ht="15" hidden="1" customHeight="1" x14ac:dyDescent="0.3">
      <c r="F20" s="34"/>
      <c r="G20" s="34"/>
      <c r="H20" s="34"/>
      <c r="I20" s="34"/>
      <c r="J20" s="34"/>
      <c r="K20" s="34"/>
      <c r="L20" s="34"/>
      <c r="Q20" s="75"/>
      <c r="R20" s="40" t="s">
        <v>33</v>
      </c>
      <c r="S20" s="40" t="s">
        <v>34</v>
      </c>
      <c r="T20" s="40" t="s">
        <v>35</v>
      </c>
    </row>
    <row r="21" spans="6:23" ht="20.25" hidden="1" customHeight="1" x14ac:dyDescent="0.3">
      <c r="Q21" s="38" t="s">
        <v>191</v>
      </c>
      <c r="R21" s="38">
        <f>IF(C8=U2,C3/100*C15,IF(C8=U4,C4,0))</f>
        <v>6</v>
      </c>
      <c r="S21" s="76">
        <f>R23*R21</f>
        <v>56.548667764616276</v>
      </c>
      <c r="T21" s="76">
        <f>S21*'Material prices'!$C$49</f>
        <v>33.929200658769766</v>
      </c>
    </row>
    <row r="22" spans="6:23" hidden="1" x14ac:dyDescent="0.3">
      <c r="Q22" s="38"/>
      <c r="R22" s="38"/>
      <c r="S22" s="38"/>
      <c r="T22" s="38"/>
    </row>
    <row r="23" spans="6:23" hidden="1" x14ac:dyDescent="0.3">
      <c r="Q23" s="38"/>
      <c r="R23" s="82">
        <f>C10/2*PI()*C9/144</f>
        <v>9.4247779607693793</v>
      </c>
      <c r="S23" s="38"/>
      <c r="T23" s="38"/>
    </row>
    <row r="24" spans="6:23" hidden="1" x14ac:dyDescent="0.3">
      <c r="Q24" s="38"/>
      <c r="R24" s="38"/>
      <c r="S24" s="38"/>
      <c r="T24" s="38"/>
    </row>
  </sheetData>
  <sheetProtection sheet="1" objects="1" scenarios="1"/>
  <protectedRanges>
    <protectedRange sqref="C3:C15 H10:H11" name="grey cells"/>
  </protectedRanges>
  <mergeCells count="8">
    <mergeCell ref="F1:L1"/>
    <mergeCell ref="B1:D1"/>
    <mergeCell ref="F17:L18"/>
    <mergeCell ref="Q19:T19"/>
    <mergeCell ref="F16:L16"/>
    <mergeCell ref="I13:J13"/>
    <mergeCell ref="I14:J14"/>
    <mergeCell ref="I15:J15"/>
  </mergeCells>
  <dataValidations count="6">
    <dataValidation type="list" allowBlank="1" showInputMessage="1" showErrorMessage="1" sqref="C8" xr:uid="{0DDC7D9B-AD8E-4773-BEAB-D8BA05464A1A}">
      <formula1>$U$2:$U$4</formula1>
    </dataValidation>
    <dataValidation type="list" allowBlank="1" showInputMessage="1" showErrorMessage="1" sqref="C11" xr:uid="{B5537C5B-2187-4A98-9751-7F59D2B4732C}">
      <formula1>$Q$2:$Q$4</formula1>
    </dataValidation>
    <dataValidation type="list" allowBlank="1" showInputMessage="1" showErrorMessage="1" sqref="C6" xr:uid="{73A860D5-7895-4864-84A5-EE0076217A4C}">
      <formula1>$Q$12:$Q$16</formula1>
    </dataValidation>
    <dataValidation type="whole" allowBlank="1" showInputMessage="1" showErrorMessage="1" sqref="C7" xr:uid="{E1F08C4C-71DF-4DF6-AE66-57461B382D8C}">
      <formula1>6</formula1>
      <formula2>10</formula2>
    </dataValidation>
    <dataValidation type="list" allowBlank="1" showInputMessage="1" showErrorMessage="1" sqref="C5" xr:uid="{C54D0024-1849-4106-A21B-F81FAF147D61}">
      <formula1>$Q$8:$Q$12</formula1>
    </dataValidation>
    <dataValidation type="whole" allowBlank="1" showInputMessage="1" showErrorMessage="1" sqref="C9:C10" xr:uid="{274C6DD9-FA6E-41C8-80DE-373E75835857}">
      <formula1>12</formula1>
      <formula2>48</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FDF0A55-A1E5-4087-8A89-CCCDD4162D89}">
          <x14:formula1>
            <xm:f>'Material prices'!$B$4:$B$8</xm:f>
          </x14:formula1>
          <xm:sqref>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2AE-3A8C-497F-8D4D-61DE38045C6B}">
  <dimension ref="A1:AN37"/>
  <sheetViews>
    <sheetView showGridLines="0" workbookViewId="0">
      <selection activeCell="E23" sqref="E23"/>
    </sheetView>
  </sheetViews>
  <sheetFormatPr defaultColWidth="0" defaultRowHeight="16.5" zeroHeight="1" x14ac:dyDescent="0.3"/>
  <cols>
    <col min="1" max="1" width="9.140625" style="6" customWidth="1"/>
    <col min="2" max="2" width="25.140625" style="6" bestFit="1" customWidth="1"/>
    <col min="3" max="3" width="30.28515625" style="6" bestFit="1" customWidth="1"/>
    <col min="4" max="4" width="14.7109375" style="6" bestFit="1" customWidth="1"/>
    <col min="5" max="5" width="23.140625" style="13" customWidth="1"/>
    <col min="6" max="6" width="12.28515625" style="13" customWidth="1"/>
    <col min="7" max="7" width="14.5703125" style="13" customWidth="1"/>
    <col min="8" max="8" width="12" style="13" customWidth="1"/>
    <col min="9" max="9" width="4.42578125" style="13" customWidth="1"/>
    <col min="10" max="11" width="15.28515625" style="13" hidden="1" customWidth="1"/>
    <col min="12" max="12" width="18" style="13" hidden="1" customWidth="1"/>
    <col min="13" max="14" width="9.140625" style="13" hidden="1" customWidth="1"/>
    <col min="15" max="15" width="25.85546875" style="13" hidden="1" customWidth="1"/>
    <col min="16" max="16" width="14.28515625" style="13" hidden="1" customWidth="1"/>
    <col min="17" max="20" width="9.140625" style="13" hidden="1" customWidth="1"/>
    <col min="21" max="16384" width="9.140625" style="6" hidden="1"/>
  </cols>
  <sheetData>
    <row r="1" spans="2:40" ht="21" thickBot="1" x14ac:dyDescent="0.4">
      <c r="B1" s="131" t="s">
        <v>3</v>
      </c>
      <c r="C1" s="132"/>
      <c r="D1" s="132"/>
      <c r="E1" s="132"/>
      <c r="F1" s="132"/>
      <c r="G1" s="132"/>
      <c r="H1" s="132"/>
      <c r="I1" s="93"/>
    </row>
    <row r="2" spans="2:40" ht="17.25" thickBot="1" x14ac:dyDescent="0.35">
      <c r="B2" s="94" t="s">
        <v>4</v>
      </c>
      <c r="C2" s="95">
        <v>1320</v>
      </c>
      <c r="D2" s="99" t="s">
        <v>5</v>
      </c>
      <c r="E2" s="138" t="s">
        <v>6</v>
      </c>
      <c r="F2" s="138"/>
      <c r="G2" s="138"/>
      <c r="H2" s="139"/>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row>
    <row r="3" spans="2:40" x14ac:dyDescent="0.3">
      <c r="B3" s="20" t="s">
        <v>7</v>
      </c>
      <c r="C3" s="96">
        <v>2</v>
      </c>
      <c r="D3" s="100"/>
      <c r="E3" s="98" t="s">
        <v>202</v>
      </c>
      <c r="F3" s="142" t="s">
        <v>203</v>
      </c>
      <c r="G3" s="142"/>
      <c r="H3" s="143"/>
      <c r="U3" s="13"/>
      <c r="V3" s="13"/>
      <c r="W3" s="13"/>
      <c r="X3" s="13"/>
      <c r="Y3" s="13"/>
      <c r="Z3" s="13"/>
      <c r="AA3" s="13"/>
      <c r="AB3" s="13"/>
      <c r="AC3" s="13"/>
      <c r="AD3" s="85"/>
      <c r="AE3" s="85"/>
      <c r="AF3" s="85"/>
      <c r="AG3" s="85"/>
      <c r="AH3" s="85"/>
      <c r="AI3" s="85"/>
      <c r="AJ3" s="85"/>
      <c r="AK3" s="85"/>
      <c r="AL3" s="85"/>
      <c r="AM3" s="85"/>
      <c r="AN3" s="85"/>
    </row>
    <row r="4" spans="2:40" ht="15" customHeight="1" x14ac:dyDescent="0.3">
      <c r="B4" s="20" t="s">
        <v>9</v>
      </c>
      <c r="C4" s="96" t="s">
        <v>10</v>
      </c>
      <c r="D4" s="100"/>
      <c r="E4" s="133">
        <v>1</v>
      </c>
      <c r="F4" s="140" t="s">
        <v>8</v>
      </c>
      <c r="G4" s="140"/>
      <c r="H4" s="141"/>
      <c r="U4" s="13"/>
      <c r="V4" s="13"/>
      <c r="W4" s="13"/>
      <c r="X4" s="13"/>
      <c r="Y4" s="13"/>
      <c r="Z4" s="13"/>
      <c r="AA4" s="13"/>
      <c r="AB4" s="13"/>
      <c r="AC4" s="13"/>
      <c r="AD4" s="85"/>
      <c r="AE4" s="85"/>
      <c r="AF4" s="85"/>
      <c r="AG4" s="85"/>
      <c r="AH4" s="85"/>
      <c r="AI4" s="85"/>
      <c r="AJ4" s="85"/>
      <c r="AK4" s="85"/>
      <c r="AL4" s="85"/>
      <c r="AM4" s="85"/>
      <c r="AN4" s="85"/>
    </row>
    <row r="5" spans="2:40" x14ac:dyDescent="0.3">
      <c r="B5" s="20" t="s">
        <v>11</v>
      </c>
      <c r="C5" s="96" t="s">
        <v>198</v>
      </c>
      <c r="D5" s="100"/>
      <c r="E5" s="133"/>
      <c r="F5" s="140"/>
      <c r="G5" s="140"/>
      <c r="H5" s="141"/>
      <c r="J5" s="13" t="s">
        <v>256</v>
      </c>
      <c r="O5" s="13" t="s">
        <v>12</v>
      </c>
      <c r="U5" s="13"/>
      <c r="V5" s="13"/>
      <c r="W5" s="13"/>
      <c r="X5" s="13"/>
      <c r="Y5" s="13"/>
      <c r="Z5" s="13"/>
      <c r="AA5" s="13"/>
      <c r="AB5" s="13"/>
      <c r="AC5" s="13"/>
      <c r="AD5" s="85"/>
      <c r="AE5" s="85"/>
      <c r="AF5" s="85"/>
      <c r="AG5" s="85"/>
      <c r="AH5" s="85"/>
      <c r="AI5" s="85"/>
      <c r="AJ5" s="85"/>
      <c r="AK5" s="85"/>
      <c r="AL5" s="85"/>
      <c r="AM5" s="85"/>
      <c r="AN5" s="85"/>
    </row>
    <row r="6" spans="2:40" ht="17.25" x14ac:dyDescent="0.3">
      <c r="B6" s="20" t="s">
        <v>13</v>
      </c>
      <c r="C6" s="96" t="s">
        <v>14</v>
      </c>
      <c r="D6" s="100"/>
      <c r="E6" s="133"/>
      <c r="F6" s="140"/>
      <c r="G6" s="140"/>
      <c r="H6" s="141"/>
      <c r="J6" s="13" t="s">
        <v>16</v>
      </c>
      <c r="L6" s="13" t="s">
        <v>15</v>
      </c>
      <c r="M6" s="13">
        <v>0</v>
      </c>
      <c r="N6" s="13">
        <v>10</v>
      </c>
      <c r="O6" s="7" t="str">
        <f>'Material prices'!B14</f>
        <v>4" x 7' hedge posts</v>
      </c>
      <c r="P6" s="13" t="str">
        <f>'Material prices'!B23</f>
        <v>1 1/2" steeples</v>
      </c>
      <c r="Q6" s="13" t="str">
        <f>VLOOKUP(P6,'Material prices'!$B$23:$D$27,3,FALSE)</f>
        <v>pounds</v>
      </c>
      <c r="U6" s="13"/>
      <c r="V6" s="13"/>
      <c r="W6" s="13"/>
      <c r="X6" s="13"/>
      <c r="Y6" s="13"/>
      <c r="Z6" s="13"/>
      <c r="AA6" s="13"/>
      <c r="AB6" s="13"/>
      <c r="AC6" s="13"/>
      <c r="AD6" s="85"/>
      <c r="AE6" s="85"/>
      <c r="AF6" s="85"/>
      <c r="AG6" s="85"/>
      <c r="AH6" s="85"/>
      <c r="AI6" s="85"/>
      <c r="AJ6" s="85"/>
      <c r="AK6" s="85"/>
      <c r="AL6" s="85"/>
      <c r="AM6" s="85"/>
      <c r="AN6" s="85"/>
    </row>
    <row r="7" spans="2:40" ht="17.25" x14ac:dyDescent="0.3">
      <c r="B7" s="20" t="s">
        <v>209</v>
      </c>
      <c r="C7" s="96">
        <v>24</v>
      </c>
      <c r="D7" s="100" t="s">
        <v>208</v>
      </c>
      <c r="E7" s="133"/>
      <c r="F7" s="140"/>
      <c r="G7" s="140"/>
      <c r="H7" s="141"/>
      <c r="J7" s="13" t="s">
        <v>19</v>
      </c>
      <c r="L7" s="13" t="s">
        <v>17</v>
      </c>
      <c r="M7" s="13">
        <v>1</v>
      </c>
      <c r="N7" s="13">
        <v>12</v>
      </c>
      <c r="O7" s="7" t="str">
        <f>'Material prices'!B15</f>
        <v>5" x 7' treated wood posts</v>
      </c>
      <c r="P7" s="13" t="str">
        <f>'Material prices'!B23</f>
        <v>1 1/2" steeples</v>
      </c>
      <c r="Q7" s="13" t="str">
        <f>VLOOKUP(P7,'Material prices'!$B$23:$D$27,3,FALSE)</f>
        <v>pounds</v>
      </c>
      <c r="U7" s="13"/>
      <c r="V7" s="13"/>
      <c r="W7" s="13"/>
      <c r="X7" s="13"/>
      <c r="Y7" s="13"/>
      <c r="Z7" s="13"/>
      <c r="AA7" s="13"/>
      <c r="AB7" s="13"/>
      <c r="AC7" s="13"/>
      <c r="AD7" s="85"/>
      <c r="AE7" s="85"/>
      <c r="AF7" s="85"/>
      <c r="AG7" s="85"/>
      <c r="AH7" s="85"/>
      <c r="AI7" s="85"/>
      <c r="AJ7" s="85"/>
      <c r="AK7" s="85"/>
      <c r="AL7" s="85"/>
      <c r="AM7" s="85"/>
      <c r="AN7" s="85"/>
    </row>
    <row r="8" spans="2:40" ht="15.75" customHeight="1" x14ac:dyDescent="0.3">
      <c r="B8" s="20" t="s">
        <v>210</v>
      </c>
      <c r="C8" s="96">
        <v>42</v>
      </c>
      <c r="D8" s="100" t="s">
        <v>208</v>
      </c>
      <c r="E8" s="133"/>
      <c r="F8" s="140"/>
      <c r="G8" s="140"/>
      <c r="H8" s="141"/>
      <c r="J8" s="13" t="s">
        <v>198</v>
      </c>
      <c r="M8" s="13">
        <v>2</v>
      </c>
      <c r="N8" s="13">
        <v>14</v>
      </c>
      <c r="O8" s="7" t="str">
        <f>'Material prices'!B16</f>
        <v>1.33 x 6' T-post</v>
      </c>
      <c r="P8" s="13" t="str">
        <f>'Material prices'!$B$24</f>
        <v>T-post clips</v>
      </c>
      <c r="Q8" s="13" t="s">
        <v>128</v>
      </c>
      <c r="U8" s="13"/>
      <c r="V8" s="13"/>
      <c r="W8" s="13"/>
      <c r="X8" s="13"/>
      <c r="Y8" s="13"/>
      <c r="Z8" s="13"/>
      <c r="AA8" s="13"/>
      <c r="AB8" s="13"/>
      <c r="AC8" s="13"/>
      <c r="AD8" s="85"/>
      <c r="AE8" s="85"/>
      <c r="AF8" s="85"/>
      <c r="AG8" s="85"/>
      <c r="AH8" s="85"/>
      <c r="AI8" s="85"/>
      <c r="AJ8" s="85"/>
      <c r="AK8" s="85"/>
      <c r="AL8" s="85"/>
      <c r="AM8" s="85"/>
      <c r="AN8" s="85"/>
    </row>
    <row r="9" spans="2:40" ht="17.25" x14ac:dyDescent="0.3">
      <c r="B9" s="144" t="s">
        <v>204</v>
      </c>
      <c r="C9" s="145"/>
      <c r="D9" s="146"/>
      <c r="E9" s="133">
        <v>2</v>
      </c>
      <c r="F9" s="140" t="s">
        <v>18</v>
      </c>
      <c r="G9" s="140"/>
      <c r="H9" s="141"/>
      <c r="J9" s="13" t="s">
        <v>199</v>
      </c>
      <c r="M9" s="13">
        <v>3</v>
      </c>
      <c r="N9" s="13">
        <v>16</v>
      </c>
      <c r="O9" s="7" t="str">
        <f>'Material prices'!B17</f>
        <v>1.25 x 6' T-post</v>
      </c>
      <c r="P9" s="13" t="str">
        <f>'Material prices'!$B$24</f>
        <v>T-post clips</v>
      </c>
      <c r="Q9" s="13" t="s">
        <v>128</v>
      </c>
      <c r="U9" s="13"/>
      <c r="V9" s="13"/>
      <c r="W9" s="13"/>
      <c r="X9" s="13"/>
      <c r="Y9" s="13"/>
      <c r="Z9" s="13"/>
      <c r="AA9" s="13"/>
      <c r="AB9" s="13"/>
      <c r="AC9" s="13"/>
      <c r="AD9" s="85"/>
      <c r="AE9" s="85"/>
      <c r="AF9" s="85"/>
      <c r="AG9" s="85"/>
      <c r="AH9" s="85"/>
      <c r="AI9" s="85"/>
      <c r="AJ9" s="85"/>
      <c r="AK9" s="85"/>
      <c r="AL9" s="85"/>
      <c r="AM9" s="85"/>
      <c r="AN9" s="85"/>
    </row>
    <row r="10" spans="2:40" ht="17.25" x14ac:dyDescent="0.3">
      <c r="B10" s="20" t="s">
        <v>119</v>
      </c>
      <c r="C10" s="96">
        <v>1</v>
      </c>
      <c r="D10" s="100"/>
      <c r="E10" s="133"/>
      <c r="F10" s="140"/>
      <c r="G10" s="140"/>
      <c r="H10" s="141"/>
      <c r="J10" s="13" t="s">
        <v>20</v>
      </c>
      <c r="K10" s="13">
        <v>0</v>
      </c>
      <c r="M10" s="13">
        <v>4</v>
      </c>
      <c r="N10" s="13">
        <v>20</v>
      </c>
      <c r="O10" s="7" t="str">
        <f>'Material prices'!B18</f>
        <v>1.33 x 7' T-post</v>
      </c>
      <c r="P10" s="13" t="str">
        <f>'Material prices'!$B$24</f>
        <v>T-post clips</v>
      </c>
      <c r="Q10" s="13" t="s">
        <v>128</v>
      </c>
      <c r="U10" s="13"/>
      <c r="V10" s="13"/>
      <c r="W10" s="13"/>
      <c r="X10" s="13"/>
      <c r="Y10" s="13"/>
      <c r="Z10" s="13"/>
      <c r="AA10" s="13"/>
      <c r="AB10" s="13"/>
      <c r="AC10" s="13"/>
      <c r="AD10" s="85"/>
      <c r="AE10" s="85"/>
      <c r="AF10" s="85"/>
      <c r="AG10" s="85"/>
      <c r="AH10" s="85"/>
      <c r="AI10" s="85"/>
      <c r="AJ10" s="85"/>
      <c r="AK10" s="85"/>
      <c r="AL10" s="85"/>
      <c r="AM10" s="85"/>
      <c r="AN10" s="85"/>
    </row>
    <row r="11" spans="2:40" ht="17.25" x14ac:dyDescent="0.3">
      <c r="B11" s="20" t="s">
        <v>205</v>
      </c>
      <c r="C11" s="96">
        <v>20</v>
      </c>
      <c r="D11" s="100" t="s">
        <v>5</v>
      </c>
      <c r="E11" s="133"/>
      <c r="F11" s="140"/>
      <c r="G11" s="140"/>
      <c r="H11" s="141"/>
      <c r="J11" s="13" t="s">
        <v>22</v>
      </c>
      <c r="K11" s="13">
        <v>1</v>
      </c>
      <c r="M11" s="13">
        <v>5</v>
      </c>
      <c r="N11" s="13">
        <v>32</v>
      </c>
      <c r="O11" s="7" t="str">
        <f>'Material prices'!B19</f>
        <v>1.25 x 7' T-post</v>
      </c>
      <c r="P11" s="13" t="str">
        <f>'Material prices'!$B$24</f>
        <v>T-post clips</v>
      </c>
      <c r="Q11" s="13" t="s">
        <v>128</v>
      </c>
      <c r="U11" s="13"/>
      <c r="V11" s="13"/>
      <c r="W11" s="13"/>
      <c r="X11" s="13"/>
      <c r="Y11" s="13"/>
      <c r="Z11" s="13"/>
      <c r="AA11" s="13"/>
      <c r="AB11" s="13"/>
      <c r="AC11" s="13"/>
      <c r="AD11" s="85"/>
      <c r="AE11" s="85"/>
      <c r="AF11" s="85"/>
      <c r="AG11" s="85"/>
      <c r="AH11" s="85"/>
      <c r="AI11" s="85"/>
      <c r="AJ11" s="85"/>
      <c r="AK11" s="85"/>
      <c r="AL11" s="85"/>
      <c r="AM11" s="85"/>
      <c r="AN11" s="85"/>
    </row>
    <row r="12" spans="2:40" ht="17.25" x14ac:dyDescent="0.3">
      <c r="B12" s="20" t="s">
        <v>206</v>
      </c>
      <c r="C12" s="96" t="s">
        <v>22</v>
      </c>
      <c r="D12" s="100"/>
      <c r="E12" s="133"/>
      <c r="F12" s="140"/>
      <c r="G12" s="140"/>
      <c r="H12" s="141"/>
      <c r="J12" s="13" t="s">
        <v>21</v>
      </c>
      <c r="K12" s="13">
        <v>2</v>
      </c>
      <c r="M12" s="13">
        <v>6</v>
      </c>
      <c r="N12" s="13">
        <v>40</v>
      </c>
      <c r="O12" s="7" t="str">
        <f>'Material prices'!B12</f>
        <v>2 3/8 drill stem pipe</v>
      </c>
      <c r="P12" s="13" t="str">
        <f>'Material prices'!B25</f>
        <v>Pipe post wire clips</v>
      </c>
      <c r="Q12" s="13" t="s">
        <v>128</v>
      </c>
      <c r="U12" s="13"/>
      <c r="V12" s="13"/>
      <c r="W12" s="13"/>
      <c r="X12" s="13"/>
      <c r="Y12" s="13"/>
      <c r="Z12" s="13"/>
      <c r="AA12" s="13"/>
      <c r="AB12" s="13"/>
      <c r="AC12" s="13"/>
      <c r="AD12" s="85"/>
      <c r="AE12" s="85"/>
      <c r="AF12" s="85"/>
      <c r="AG12" s="85"/>
      <c r="AH12" s="85"/>
      <c r="AI12" s="85"/>
      <c r="AJ12" s="85"/>
      <c r="AK12" s="85"/>
      <c r="AL12" s="85"/>
      <c r="AM12" s="85"/>
      <c r="AN12" s="85"/>
    </row>
    <row r="13" spans="2:40" ht="16.5" customHeight="1" x14ac:dyDescent="0.3">
      <c r="B13" s="144" t="s">
        <v>207</v>
      </c>
      <c r="C13" s="145"/>
      <c r="D13" s="146"/>
      <c r="E13" s="133"/>
      <c r="F13" s="140"/>
      <c r="G13" s="140"/>
      <c r="H13" s="141"/>
      <c r="M13" s="13">
        <v>7</v>
      </c>
      <c r="U13" s="13"/>
      <c r="V13" s="13"/>
      <c r="W13" s="13"/>
      <c r="X13" s="13"/>
      <c r="Y13" s="13"/>
      <c r="Z13" s="13"/>
      <c r="AA13" s="13"/>
      <c r="AB13" s="13"/>
      <c r="AC13" s="13"/>
      <c r="AD13" s="85"/>
      <c r="AE13" s="85"/>
      <c r="AF13" s="85"/>
      <c r="AG13" s="85"/>
      <c r="AH13" s="85"/>
      <c r="AI13" s="85"/>
      <c r="AJ13" s="85"/>
      <c r="AK13" s="85"/>
      <c r="AL13" s="85"/>
      <c r="AM13" s="85"/>
      <c r="AN13" s="85"/>
    </row>
    <row r="14" spans="2:40" x14ac:dyDescent="0.3">
      <c r="B14" s="20" t="s">
        <v>119</v>
      </c>
      <c r="C14" s="96">
        <v>0</v>
      </c>
      <c r="D14" s="100"/>
      <c r="E14" s="133">
        <v>3</v>
      </c>
      <c r="F14" s="140" t="s">
        <v>23</v>
      </c>
      <c r="G14" s="140"/>
      <c r="H14" s="141"/>
      <c r="M14" s="13">
        <v>8</v>
      </c>
      <c r="U14" s="13"/>
      <c r="V14" s="13"/>
      <c r="W14" s="13"/>
      <c r="X14" s="13"/>
      <c r="Y14" s="13"/>
      <c r="Z14" s="13"/>
      <c r="AA14" s="13"/>
      <c r="AB14" s="13"/>
      <c r="AC14" s="13"/>
      <c r="AD14" s="85"/>
      <c r="AE14" s="85"/>
      <c r="AF14" s="85"/>
      <c r="AG14" s="85"/>
      <c r="AH14" s="85"/>
      <c r="AI14" s="85"/>
      <c r="AJ14" s="85"/>
      <c r="AK14" s="85"/>
      <c r="AL14" s="85"/>
      <c r="AM14" s="85"/>
      <c r="AN14" s="85"/>
    </row>
    <row r="15" spans="2:40" x14ac:dyDescent="0.3">
      <c r="B15" s="20" t="s">
        <v>205</v>
      </c>
      <c r="C15" s="96"/>
      <c r="D15" s="100" t="s">
        <v>5</v>
      </c>
      <c r="E15" s="133"/>
      <c r="F15" s="140"/>
      <c r="G15" s="140"/>
      <c r="H15" s="141"/>
      <c r="M15" s="13">
        <v>9</v>
      </c>
      <c r="U15" s="13"/>
      <c r="V15" s="13"/>
      <c r="W15" s="13"/>
      <c r="X15" s="13"/>
      <c r="Y15" s="13"/>
      <c r="Z15" s="13"/>
      <c r="AA15" s="13"/>
      <c r="AB15" s="13"/>
      <c r="AC15" s="13"/>
      <c r="AD15" s="85"/>
      <c r="AE15" s="85"/>
      <c r="AF15" s="85"/>
      <c r="AG15" s="85"/>
      <c r="AH15" s="85"/>
      <c r="AI15" s="85"/>
      <c r="AJ15" s="85"/>
      <c r="AK15" s="85"/>
      <c r="AL15" s="85"/>
      <c r="AM15" s="85"/>
      <c r="AN15" s="85"/>
    </row>
    <row r="16" spans="2:40" x14ac:dyDescent="0.3">
      <c r="B16" s="20" t="s">
        <v>206</v>
      </c>
      <c r="C16" s="96"/>
      <c r="D16" s="100"/>
      <c r="E16" s="133"/>
      <c r="F16" s="140"/>
      <c r="G16" s="140"/>
      <c r="H16" s="141"/>
      <c r="M16" s="13">
        <v>10</v>
      </c>
      <c r="U16" s="13"/>
      <c r="V16" s="13"/>
      <c r="W16" s="13"/>
      <c r="X16" s="13"/>
      <c r="Y16" s="13"/>
      <c r="Z16" s="13"/>
      <c r="AA16" s="13"/>
      <c r="AB16" s="13"/>
      <c r="AC16" s="13"/>
      <c r="AD16" s="85"/>
      <c r="AE16" s="85"/>
      <c r="AF16" s="85"/>
      <c r="AG16" s="85"/>
      <c r="AH16" s="85"/>
      <c r="AI16" s="85"/>
      <c r="AJ16" s="85"/>
      <c r="AK16" s="85"/>
      <c r="AL16" s="85"/>
      <c r="AM16" s="85"/>
      <c r="AN16" s="85"/>
    </row>
    <row r="17" spans="2:40" x14ac:dyDescent="0.3">
      <c r="B17" s="144" t="s">
        <v>24</v>
      </c>
      <c r="C17" s="145"/>
      <c r="D17" s="146"/>
      <c r="E17" s="133"/>
      <c r="F17" s="140"/>
      <c r="G17" s="140"/>
      <c r="H17" s="141"/>
      <c r="U17" s="13"/>
      <c r="V17" s="13"/>
      <c r="W17" s="13"/>
      <c r="X17" s="13"/>
      <c r="Y17" s="13"/>
      <c r="Z17" s="13"/>
      <c r="AA17" s="13"/>
      <c r="AB17" s="13"/>
      <c r="AC17" s="13"/>
      <c r="AD17" s="85"/>
      <c r="AE17" s="85"/>
      <c r="AF17" s="85"/>
      <c r="AG17" s="85"/>
      <c r="AH17" s="85"/>
      <c r="AI17" s="85"/>
      <c r="AJ17" s="85"/>
      <c r="AK17" s="85"/>
      <c r="AL17" s="85"/>
      <c r="AM17" s="85"/>
      <c r="AN17" s="85"/>
    </row>
    <row r="18" spans="2:40" ht="17.25" thickBot="1" x14ac:dyDescent="0.35">
      <c r="B18" s="20" t="s">
        <v>118</v>
      </c>
      <c r="C18" s="96" t="s">
        <v>72</v>
      </c>
      <c r="D18" s="100"/>
      <c r="E18" s="134"/>
      <c r="F18" s="86"/>
      <c r="G18" s="86"/>
      <c r="H18" s="87"/>
      <c r="J18" s="13" t="s">
        <v>28</v>
      </c>
      <c r="K18" s="13">
        <v>12</v>
      </c>
      <c r="M18" s="13">
        <v>1</v>
      </c>
      <c r="U18" s="13"/>
      <c r="V18" s="13"/>
      <c r="W18" s="13"/>
      <c r="X18" s="13"/>
      <c r="Y18" s="13"/>
      <c r="Z18" s="13"/>
      <c r="AA18" s="13"/>
      <c r="AB18" s="13"/>
      <c r="AC18" s="13"/>
      <c r="AD18" s="85"/>
      <c r="AE18" s="85"/>
      <c r="AF18" s="85"/>
      <c r="AG18" s="85"/>
      <c r="AH18" s="85"/>
      <c r="AI18" s="85"/>
      <c r="AJ18" s="85"/>
      <c r="AK18" s="85"/>
      <c r="AL18" s="85"/>
      <c r="AM18" s="85"/>
      <c r="AN18" s="85"/>
    </row>
    <row r="19" spans="2:40" x14ac:dyDescent="0.3">
      <c r="B19" s="20" t="str">
        <f>C18&amp;" spacing"</f>
        <v>1.33 x 6' T-post spacing</v>
      </c>
      <c r="C19" s="96">
        <v>10</v>
      </c>
      <c r="D19" s="100" t="s">
        <v>26</v>
      </c>
      <c r="J19" s="13" t="s">
        <v>14</v>
      </c>
      <c r="K19" s="13">
        <v>18</v>
      </c>
      <c r="M19" s="13">
        <v>1.5</v>
      </c>
      <c r="U19" s="13"/>
      <c r="V19" s="13"/>
      <c r="W19" s="13"/>
      <c r="X19" s="13"/>
      <c r="Y19" s="13"/>
      <c r="Z19" s="13"/>
      <c r="AA19" s="13"/>
      <c r="AB19" s="13"/>
      <c r="AC19" s="13"/>
      <c r="AD19" s="85"/>
      <c r="AE19" s="85"/>
      <c r="AF19" s="85"/>
      <c r="AG19" s="85"/>
      <c r="AH19" s="85"/>
      <c r="AI19" s="85"/>
      <c r="AJ19" s="85"/>
      <c r="AK19" s="85"/>
      <c r="AL19" s="85"/>
      <c r="AM19" s="85"/>
      <c r="AN19" s="85"/>
    </row>
    <row r="20" spans="2:40" x14ac:dyDescent="0.3">
      <c r="B20" s="144" t="s">
        <v>27</v>
      </c>
      <c r="C20" s="145"/>
      <c r="D20" s="146"/>
      <c r="K20" s="13">
        <v>24</v>
      </c>
      <c r="M20" s="13">
        <v>2</v>
      </c>
      <c r="U20" s="13"/>
      <c r="V20" s="13"/>
      <c r="W20" s="13"/>
      <c r="X20" s="13"/>
      <c r="Y20" s="13"/>
      <c r="Z20" s="13"/>
      <c r="AA20" s="13"/>
      <c r="AB20" s="13"/>
      <c r="AC20" s="13"/>
      <c r="AD20" s="85"/>
      <c r="AE20" s="85"/>
      <c r="AF20" s="85"/>
      <c r="AG20" s="85"/>
      <c r="AH20" s="85"/>
      <c r="AI20" s="85"/>
      <c r="AJ20" s="85"/>
      <c r="AK20" s="85"/>
      <c r="AL20" s="85"/>
      <c r="AM20" s="85"/>
      <c r="AN20" s="85"/>
    </row>
    <row r="21" spans="2:40" x14ac:dyDescent="0.3">
      <c r="B21" s="20" t="s">
        <v>118</v>
      </c>
      <c r="C21" s="96" t="s">
        <v>12</v>
      </c>
      <c r="D21" s="84"/>
      <c r="K21" s="13">
        <v>30</v>
      </c>
      <c r="M21" s="13">
        <v>2.5</v>
      </c>
      <c r="U21" s="13"/>
      <c r="V21" s="13"/>
      <c r="W21" s="13"/>
      <c r="X21" s="13"/>
      <c r="Y21" s="13"/>
      <c r="Z21" s="13"/>
      <c r="AA21" s="13"/>
      <c r="AB21" s="13"/>
      <c r="AC21" s="13"/>
      <c r="AD21" s="85"/>
      <c r="AE21" s="85"/>
      <c r="AF21" s="85"/>
      <c r="AG21" s="85"/>
      <c r="AH21" s="85"/>
      <c r="AI21" s="85"/>
      <c r="AJ21" s="85"/>
      <c r="AK21" s="85"/>
      <c r="AL21" s="85"/>
      <c r="AM21" s="85"/>
      <c r="AN21" s="85"/>
    </row>
    <row r="22" spans="2:40" x14ac:dyDescent="0.3">
      <c r="B22" s="20" t="str">
        <f>IF(C21=O5,"",C21&amp;" spacing")</f>
        <v/>
      </c>
      <c r="C22" s="96">
        <v>0</v>
      </c>
      <c r="D22" s="100" t="s">
        <v>26</v>
      </c>
      <c r="K22" s="13">
        <v>36</v>
      </c>
      <c r="M22" s="13">
        <v>3</v>
      </c>
      <c r="U22" s="13"/>
      <c r="V22" s="13"/>
      <c r="W22" s="13"/>
      <c r="X22" s="13"/>
      <c r="Y22" s="13"/>
      <c r="Z22" s="13"/>
      <c r="AA22" s="13"/>
      <c r="AB22" s="13"/>
      <c r="AC22" s="13"/>
      <c r="AD22" s="85"/>
      <c r="AE22" s="85"/>
      <c r="AF22" s="85"/>
      <c r="AG22" s="85"/>
      <c r="AH22" s="85"/>
      <c r="AI22" s="85"/>
      <c r="AJ22" s="85"/>
      <c r="AK22" s="85"/>
      <c r="AL22" s="85"/>
      <c r="AM22" s="85"/>
      <c r="AN22" s="85"/>
    </row>
    <row r="23" spans="2:40" x14ac:dyDescent="0.3">
      <c r="B23" s="20" t="s">
        <v>29</v>
      </c>
      <c r="C23" s="96">
        <v>2</v>
      </c>
      <c r="D23" s="100"/>
      <c r="K23" s="13">
        <v>42</v>
      </c>
      <c r="U23" s="13"/>
      <c r="V23" s="13"/>
      <c r="W23" s="13"/>
      <c r="X23" s="13"/>
      <c r="Y23" s="13"/>
      <c r="Z23" s="13"/>
      <c r="AA23" s="13"/>
      <c r="AB23" s="13"/>
      <c r="AC23" s="13"/>
      <c r="AD23" s="85"/>
      <c r="AE23" s="85"/>
      <c r="AF23" s="85"/>
      <c r="AG23" s="85"/>
      <c r="AH23" s="85"/>
      <c r="AI23" s="85"/>
      <c r="AJ23" s="85"/>
      <c r="AK23" s="85"/>
      <c r="AL23" s="85"/>
      <c r="AM23" s="85"/>
      <c r="AN23" s="85"/>
    </row>
    <row r="24" spans="2:40" x14ac:dyDescent="0.3">
      <c r="B24" s="20" t="s">
        <v>30</v>
      </c>
      <c r="C24" s="96">
        <v>1</v>
      </c>
      <c r="D24" s="100"/>
      <c r="K24" s="13">
        <v>48</v>
      </c>
      <c r="U24" s="13"/>
      <c r="V24" s="13"/>
      <c r="W24" s="13"/>
      <c r="X24" s="13"/>
      <c r="Y24" s="13"/>
      <c r="Z24" s="13"/>
      <c r="AA24" s="13"/>
      <c r="AB24" s="13"/>
      <c r="AC24" s="13"/>
      <c r="AD24" s="85"/>
      <c r="AE24" s="85"/>
      <c r="AF24" s="85"/>
      <c r="AG24" s="85"/>
      <c r="AH24" s="85"/>
      <c r="AI24" s="85"/>
      <c r="AJ24" s="85"/>
      <c r="AK24" s="85"/>
      <c r="AL24" s="85"/>
      <c r="AM24" s="85"/>
      <c r="AN24" s="85"/>
    </row>
    <row r="25" spans="2:40" ht="17.25" thickBot="1" x14ac:dyDescent="0.35">
      <c r="B25" s="57" t="s">
        <v>31</v>
      </c>
      <c r="C25" s="58">
        <v>2</v>
      </c>
      <c r="D25" s="101"/>
      <c r="U25" s="13"/>
      <c r="V25" s="13"/>
      <c r="W25" s="13"/>
      <c r="X25" s="13"/>
      <c r="Y25" s="13"/>
      <c r="Z25" s="13"/>
      <c r="AA25" s="13"/>
      <c r="AB25" s="13"/>
      <c r="AC25" s="13"/>
      <c r="AD25" s="85"/>
      <c r="AE25" s="85"/>
      <c r="AF25" s="85"/>
      <c r="AG25" s="85"/>
      <c r="AH25" s="85"/>
      <c r="AI25" s="85"/>
      <c r="AJ25" s="85"/>
      <c r="AK25" s="85"/>
      <c r="AL25" s="85"/>
      <c r="AM25" s="85"/>
      <c r="AN25" s="85"/>
    </row>
    <row r="26" spans="2:40" x14ac:dyDescent="0.3">
      <c r="U26" s="13"/>
      <c r="V26" s="13"/>
      <c r="W26" s="13"/>
      <c r="X26" s="13"/>
      <c r="Y26" s="13"/>
      <c r="Z26" s="13"/>
      <c r="AA26" s="13"/>
      <c r="AB26" s="13"/>
      <c r="AC26" s="13"/>
      <c r="AD26" s="85"/>
      <c r="AE26" s="85"/>
      <c r="AF26" s="85"/>
      <c r="AG26" s="85"/>
      <c r="AH26" s="85"/>
      <c r="AI26" s="85"/>
      <c r="AJ26" s="85"/>
      <c r="AK26" s="85"/>
      <c r="AL26" s="85"/>
      <c r="AM26" s="85"/>
      <c r="AN26" s="85"/>
    </row>
    <row r="27" spans="2:40" ht="17.25" thickBot="1" x14ac:dyDescent="0.35">
      <c r="K27" s="13" t="s">
        <v>38</v>
      </c>
      <c r="L27" s="13" t="s">
        <v>39</v>
      </c>
      <c r="M27" s="13" t="s">
        <v>40</v>
      </c>
      <c r="N27" s="13" t="s">
        <v>41</v>
      </c>
      <c r="O27" s="13" t="s">
        <v>42</v>
      </c>
      <c r="U27" s="13"/>
      <c r="V27" s="13"/>
      <c r="W27" s="13"/>
      <c r="X27" s="13"/>
      <c r="Y27" s="13"/>
      <c r="Z27" s="13"/>
      <c r="AA27" s="13"/>
      <c r="AB27" s="13"/>
      <c r="AC27" s="13"/>
    </row>
    <row r="28" spans="2:40" ht="17.25" thickBot="1" x14ac:dyDescent="0.35">
      <c r="E28" s="135" t="s">
        <v>32</v>
      </c>
      <c r="F28" s="136"/>
      <c r="G28" s="136"/>
      <c r="H28" s="137"/>
      <c r="K28" s="13" t="str">
        <f>J5</f>
        <v>dead men</v>
      </c>
      <c r="L28" s="13" t="str">
        <f>'Material prices'!B12</f>
        <v>2 3/8 drill stem pipe</v>
      </c>
      <c r="M28" s="13">
        <f>F33*9</f>
        <v>27</v>
      </c>
      <c r="N28" s="13" t="s">
        <v>5</v>
      </c>
      <c r="O28" s="120">
        <f>M28*'Material prices'!E12</f>
        <v>53.46</v>
      </c>
      <c r="U28" s="13"/>
      <c r="V28" s="13"/>
      <c r="W28" s="13"/>
      <c r="X28" s="13"/>
      <c r="Y28" s="13"/>
      <c r="Z28" s="13"/>
      <c r="AA28" s="13"/>
      <c r="AB28" s="13"/>
      <c r="AC28" s="13"/>
    </row>
    <row r="29" spans="2:40" x14ac:dyDescent="0.3">
      <c r="E29" s="14"/>
      <c r="F29" s="15" t="s">
        <v>33</v>
      </c>
      <c r="G29" s="15" t="s">
        <v>34</v>
      </c>
      <c r="H29" s="16" t="s">
        <v>35</v>
      </c>
      <c r="K29" s="13" t="str">
        <f t="shared" ref="K29:K30" si="0">J7</f>
        <v>included in post</v>
      </c>
      <c r="L29" s="13" t="str">
        <f>'Material prices'!B49</f>
        <v>Pre-mix cement</v>
      </c>
      <c r="M29" s="13" t="s">
        <v>44</v>
      </c>
      <c r="O29" s="118" t="s">
        <v>45</v>
      </c>
      <c r="U29" s="13"/>
      <c r="V29" s="13"/>
      <c r="W29" s="13"/>
      <c r="X29" s="13"/>
      <c r="Y29" s="13"/>
      <c r="Z29" s="13"/>
      <c r="AA29" s="13"/>
      <c r="AB29" s="13"/>
      <c r="AC29" s="13"/>
    </row>
    <row r="30" spans="2:40" x14ac:dyDescent="0.3">
      <c r="E30" s="17" t="s">
        <v>36</v>
      </c>
      <c r="F30" s="13">
        <f>C3</f>
        <v>2</v>
      </c>
      <c r="G30" s="18">
        <f>F30*((($C$7/2)^2*PI()/144*$C$8/12*0.75)-VLOOKUP($C$4,'Material prices'!$B$4:$G$10,6,FALSE))</f>
        <v>16.02566773335106</v>
      </c>
      <c r="H30" s="19">
        <f>G30*'Material prices'!$C$49</f>
        <v>9.6154006400106358</v>
      </c>
      <c r="K30" s="13" t="str">
        <f t="shared" si="0"/>
        <v>pipe h-bracing</v>
      </c>
      <c r="L30" s="13" t="s">
        <v>200</v>
      </c>
      <c r="M30" s="13" t="s">
        <v>44</v>
      </c>
      <c r="O30" s="121">
        <f>(F33*8*'Material prices'!E12)+'Material prices'!E6*F33</f>
        <v>203.51999999999998</v>
      </c>
      <c r="U30" s="13"/>
      <c r="V30" s="13"/>
      <c r="W30" s="13"/>
      <c r="X30" s="13"/>
      <c r="Y30" s="13"/>
      <c r="Z30" s="13"/>
      <c r="AA30" s="13"/>
      <c r="AB30" s="13"/>
      <c r="AC30" s="13"/>
    </row>
    <row r="31" spans="2:40" x14ac:dyDescent="0.3">
      <c r="E31" s="17" t="s">
        <v>37</v>
      </c>
      <c r="F31" s="13">
        <f>IFERROR(VLOOKUP(C12,$J$10:$K$12,2,FALSE)*C10,0)+IFERROR(VLOOKUP(C16,$J$10:$K$12,2,FALSE)*C14,0)</f>
        <v>1</v>
      </c>
      <c r="G31" s="18">
        <f>F31*((($C$7/2)^2*PI()/144*$C$8/12*0.75)-VLOOKUP($C$4,'Material prices'!$B$4:$G$10,6,FALSE))</f>
        <v>8.0128338666755301</v>
      </c>
      <c r="H31" s="19">
        <f>G31*'Material prices'!$C$49</f>
        <v>4.8077003200053179</v>
      </c>
      <c r="K31" s="13" t="str">
        <f>J9</f>
        <v>wooden h-bracing</v>
      </c>
      <c r="L31" s="120">
        <f>'Material prices'!E4+'Material prices'!E15</f>
        <v>42.5</v>
      </c>
      <c r="M31" s="13">
        <f>F33</f>
        <v>3</v>
      </c>
      <c r="N31" s="13" t="s">
        <v>47</v>
      </c>
      <c r="O31" s="120">
        <f>M31*('Material prices'!E5+'Material prices'!E15)</f>
        <v>139.5</v>
      </c>
      <c r="U31" s="13"/>
      <c r="V31" s="13"/>
      <c r="W31" s="13"/>
      <c r="X31" s="13"/>
      <c r="Y31" s="13"/>
      <c r="Z31" s="13"/>
      <c r="AA31" s="13"/>
      <c r="AB31" s="13"/>
      <c r="AC31" s="13"/>
    </row>
    <row r="32" spans="2:40" x14ac:dyDescent="0.3">
      <c r="E32" s="17" t="s">
        <v>255</v>
      </c>
      <c r="F32" s="13">
        <f>2*C24</f>
        <v>2</v>
      </c>
      <c r="G32" s="18">
        <f>F32*((($C$7/2)^2*PI()/144*$C$8/12*0.75)-VLOOKUP($C$4,'Material prices'!$B$4:$G$10,6,FALSE))</f>
        <v>16.02566773335106</v>
      </c>
      <c r="H32" s="19">
        <f>G32*'Material prices'!$C$49</f>
        <v>9.6154006400106358</v>
      </c>
      <c r="O32" s="120"/>
      <c r="U32" s="13"/>
      <c r="V32" s="13"/>
      <c r="W32" s="13"/>
      <c r="X32" s="13"/>
      <c r="Y32" s="13"/>
      <c r="Z32" s="13"/>
      <c r="AA32" s="13"/>
      <c r="AB32" s="13"/>
      <c r="AC32" s="13"/>
    </row>
    <row r="33" spans="5:29" x14ac:dyDescent="0.3">
      <c r="E33" s="17" t="s">
        <v>43</v>
      </c>
      <c r="F33" s="13">
        <f>F30*2-IF(C12=J12,0,1*C10)-IF(C16=J12,0,1*C14)</f>
        <v>3</v>
      </c>
      <c r="G33" s="18">
        <f>F33*2*0.5^2*3.14</f>
        <v>4.71</v>
      </c>
      <c r="H33" s="19">
        <f>G33*'Material prices'!$C$49</f>
        <v>2.8260000000000001</v>
      </c>
      <c r="U33" s="13"/>
      <c r="V33" s="13"/>
      <c r="W33" s="13"/>
      <c r="X33" s="13"/>
      <c r="Y33" s="13"/>
      <c r="Z33" s="13"/>
      <c r="AA33" s="13"/>
      <c r="AB33" s="13"/>
      <c r="AC33" s="13"/>
    </row>
    <row r="34" spans="5:29" x14ac:dyDescent="0.3">
      <c r="E34" s="20" t="s">
        <v>31</v>
      </c>
      <c r="F34" s="13">
        <f>C25</f>
        <v>2</v>
      </c>
      <c r="G34" s="18">
        <f>F34*2*0.5^2*3.14</f>
        <v>3.14</v>
      </c>
      <c r="H34" s="19">
        <f>G34*'Material prices'!$C$49</f>
        <v>1.8839999999999999</v>
      </c>
      <c r="U34" s="13"/>
      <c r="V34" s="13"/>
      <c r="W34" s="13"/>
      <c r="X34" s="13"/>
      <c r="Y34" s="13"/>
      <c r="Z34" s="13"/>
      <c r="AA34" s="13"/>
      <c r="AB34" s="13"/>
      <c r="AC34" s="13"/>
    </row>
    <row r="35" spans="5:29" ht="17.25" thickBot="1" x14ac:dyDescent="0.35">
      <c r="E35" s="21"/>
      <c r="F35" s="22"/>
      <c r="G35" s="23" t="s">
        <v>46</v>
      </c>
      <c r="H35" s="24">
        <f>IF(C6="dirt",0,ROUNDUP(SUM(H30:H34),0))</f>
        <v>29</v>
      </c>
    </row>
    <row r="36" spans="5:29" x14ac:dyDescent="0.3">
      <c r="E36" s="92" t="s">
        <v>197</v>
      </c>
      <c r="F36" s="92"/>
      <c r="G36" s="92"/>
      <c r="H36" s="92"/>
    </row>
    <row r="37" spans="5:29" x14ac:dyDescent="0.3"/>
  </sheetData>
  <sheetProtection sheet="1" objects="1" scenarios="1"/>
  <protectedRanges>
    <protectedRange sqref="C2:C8 C10:C12 C14:C16 C18:C19 C21:C25" name="grey cells"/>
  </protectedRanges>
  <mergeCells count="14">
    <mergeCell ref="B1:H1"/>
    <mergeCell ref="E14:E18"/>
    <mergeCell ref="E28:H28"/>
    <mergeCell ref="E2:H2"/>
    <mergeCell ref="E4:E8"/>
    <mergeCell ref="F4:H8"/>
    <mergeCell ref="E9:E13"/>
    <mergeCell ref="F9:H13"/>
    <mergeCell ref="F14:H17"/>
    <mergeCell ref="F3:H3"/>
    <mergeCell ref="B9:D9"/>
    <mergeCell ref="B13:D13"/>
    <mergeCell ref="B17:D17"/>
    <mergeCell ref="B20:D20"/>
  </mergeCells>
  <dataValidations xWindow="263" yWindow="607" count="17">
    <dataValidation type="list" allowBlank="1" showInputMessage="1" showErrorMessage="1" prompt="Hold up/down posts are used to set the height of the fence when crossing rough terrain. Typically, the tops and bottoms of hills or any point where grade changes significantly will require a hold up/down post." sqref="C25" xr:uid="{615FBA9E-6971-43FA-842E-410A6E85A7BB}">
      <formula1>$M$6:$M$16</formula1>
    </dataValidation>
    <dataValidation type="list" allowBlank="1" showInputMessage="1" showErrorMessage="1" prompt="Enter the width of the secondary gate size." sqref="C15" xr:uid="{69FC946D-31E9-468B-BAB1-5A8F18B704A3}">
      <formula1>$N$5:$N$12</formula1>
    </dataValidation>
    <dataValidation type="list" allowBlank="1" showInputMessage="1" showErrorMessage="1" prompt="Select the secondary post-type, if desired. " sqref="C21" xr:uid="{5AAC9A92-3FEC-4C3E-B5A9-2C9B621D02BA}">
      <formula1>$O$5:$O$12</formula1>
    </dataValidation>
    <dataValidation type="list" allowBlank="1" showInputMessage="1" showErrorMessage="1" prompt="Select the type of corner post braces you wish to use. Corner post braces serve to help the corner post withstand the pull of the fence in the opposite direction by adding another point of contact and increasing the ability of the post to remain upright." sqref="C5" xr:uid="{7DD1A3C3-6635-4983-B7CD-F2A744ACFAB2}">
      <formula1>$J$4:$J$9</formula1>
    </dataValidation>
    <dataValidation type="list" allowBlank="1" showInputMessage="1" showErrorMessage="1" sqref="C6" xr:uid="{0816276B-AB3F-4E6A-9A97-64C25FA1A689}">
      <formula1>$J$18:$J$19</formula1>
    </dataValidation>
    <dataValidation type="list" allowBlank="1" showInputMessage="1" showErrorMessage="1" sqref="C7" xr:uid="{5F113DF4-CC26-4B97-957F-5A43A2D363AB}">
      <formula1>$K$18:$K$22</formula1>
    </dataValidation>
    <dataValidation type="list" allowBlank="1" showInputMessage="1" showErrorMessage="1" sqref="C8" xr:uid="{AECF33B4-6DC0-449E-ABBF-BEDEFFE120C5}">
      <formula1>$K$20:$K$24</formula1>
    </dataValidation>
    <dataValidation type="list" allowBlank="1" showInputMessage="1" showErrorMessage="1" prompt="Based on the Terrain Severity Table to the right, select a value between 1 and 3 that best fits the area where the project will occur." sqref="C23" xr:uid="{9FDA1E0B-4B68-4BE3-9C70-17997D4D95C3}">
      <formula1>$M$18:$M$22</formula1>
    </dataValidation>
    <dataValidation allowBlank="1" showInputMessage="1" showErrorMessage="1" prompt="Enter the total length of the fencing project, in feet. Typically will equal the perimeter of the field or pasture." sqref="C2" xr:uid="{81514192-0761-4C86-92FD-2AF8397B5625}"/>
    <dataValidation allowBlank="1" showInputMessage="1" showErrorMessage="1" prompt="Enter the number of corners or bends that will require a corner-post or brace. Typically, any bend in the fence more than 10-15 degrees is recommended to have a corner post set." sqref="C3" xr:uid="{5F545A76-D828-4BA8-BC31-BAC36D237B85}"/>
    <dataValidation type="list" allowBlank="1" showInputMessage="1" showErrorMessage="1" prompt="Select the number of gates that will be inculded in your fence project. Gates entered here should all be the same width." sqref="C10" xr:uid="{871FE1A9-741A-481A-949A-770A0E64BDF2}">
      <formula1>$M$6:$M$16</formula1>
    </dataValidation>
    <dataValidation type="list" allowBlank="1" showInputMessage="1" showErrorMessage="1" prompt="Select the width, in feet, of the gates inputted above." sqref="C11" xr:uid="{913CECF3-DFF4-492D-8B8A-44FC08935F59}">
      <formula1>$N$5:$N$12</formula1>
    </dataValidation>
    <dataValidation type="list" allowBlank="1" showInputMessage="1" showErrorMessage="1" prompt="Select the location of the gate described above with respect to an existing corner post. " sqref="C12 C16" xr:uid="{CB6618F9-75E0-464D-B171-3D745F17BDE3}">
      <formula1>$J$10:$J$12</formula1>
    </dataValidation>
    <dataValidation type="list" allowBlank="1" showInputMessage="1" showErrorMessage="1" prompt="Select the number of gates of a different width than the previously entered gate." sqref="C14" xr:uid="{57B7AB8F-82DF-480F-A5E9-4F2968E818A4}">
      <formula1>$M$6:$M$16</formula1>
    </dataValidation>
    <dataValidation type="list" allowBlank="1" showInputMessage="1" showErrorMessage="1" prompt="Select the primary style of in-line fence posts." sqref="C18" xr:uid="{C9364958-3FEF-4D88-8AE7-44AD8A6946CF}">
      <formula1>$O$5:$O$12</formula1>
    </dataValidation>
    <dataValidation allowBlank="1" showInputMessage="1" showErrorMessage="1" prompt="Enter the number of primary posts you wish to use per 100 feet of fence. For example, 10-foot post spacing would require 10 posts per 100 feet. Assume a 100-foot increment of fence starts at an existing post or corner post." sqref="C22 C19" xr:uid="{648B965F-33A2-454E-8674-1ECAE6451F87}"/>
    <dataValidation type="list" allowBlank="1" showInputMessage="1" showErrorMessage="1" prompt="Enter the number of permanent or intermittent water crossings that will be made by the fence." sqref="C24" xr:uid="{D2844E8B-78AB-4245-9789-DE84BB830BDF}">
      <formula1>$M$6:$M$16</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263" yWindow="607" count="1">
        <x14:dataValidation type="list" allowBlank="1" showInputMessage="1" showErrorMessage="1" prompt="Select the type of corner post you wish to use for your project. If you prefer a type of post not listed, add the post that you wish to use by replacing an unused post on the &quot;Material prices&quot; sheet." xr:uid="{058E5B97-0E35-4566-955A-C4C3B4FEF0C8}">
          <x14:formula1>
            <xm:f>'Material prices'!$B$4:$B$10</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EBEA-E710-4913-A547-7B76BBB3ED16}">
  <dimension ref="A1:W61"/>
  <sheetViews>
    <sheetView showGridLines="0" workbookViewId="0">
      <selection activeCell="B45" sqref="B45:B46"/>
    </sheetView>
  </sheetViews>
  <sheetFormatPr defaultColWidth="0" defaultRowHeight="22.5" customHeight="1" x14ac:dyDescent="0.3"/>
  <cols>
    <col min="1" max="1" width="9.140625" style="6" customWidth="1"/>
    <col min="2" max="2" width="48.7109375" style="6" bestFit="1" customWidth="1"/>
    <col min="3" max="3" width="15.7109375" style="6" bestFit="1" customWidth="1"/>
    <col min="4" max="4" width="12.85546875" style="6" bestFit="1" customWidth="1"/>
    <col min="5" max="5" width="9.5703125" style="6" bestFit="1" customWidth="1"/>
    <col min="6" max="7" width="9.140625" style="38" customWidth="1"/>
    <col min="8" max="8" width="17.28515625" style="38" bestFit="1" customWidth="1"/>
    <col min="9" max="9" width="20.7109375" style="38" bestFit="1" customWidth="1"/>
    <col min="10" max="10" width="17.85546875" style="38" bestFit="1" customWidth="1"/>
    <col min="11" max="11" width="15" style="38" bestFit="1" customWidth="1"/>
    <col min="12" max="12" width="15" style="38" customWidth="1"/>
    <col min="13" max="13" width="15.5703125" style="38" bestFit="1" customWidth="1"/>
    <col min="14" max="14" width="25.85546875" style="38" bestFit="1" customWidth="1"/>
    <col min="15" max="15" width="16.28515625" style="38" customWidth="1"/>
    <col min="16" max="18" width="14.5703125" style="38" hidden="1" customWidth="1"/>
    <col min="19" max="19" width="10" style="38" hidden="1" customWidth="1"/>
    <col min="20" max="22" width="0" style="38" hidden="1" customWidth="1"/>
    <col min="23" max="23" width="0" style="6" hidden="1" customWidth="1"/>
    <col min="24" max="16384" width="9.140625" style="6" hidden="1"/>
  </cols>
  <sheetData>
    <row r="1" spans="2:22" ht="22.5" customHeight="1" thickBot="1" x14ac:dyDescent="0.4">
      <c r="B1" s="153" t="s">
        <v>48</v>
      </c>
      <c r="C1" s="154"/>
      <c r="D1" s="154"/>
      <c r="E1" s="155"/>
    </row>
    <row r="2" spans="2:22" ht="22.5" customHeight="1" x14ac:dyDescent="0.35">
      <c r="B2" s="60"/>
      <c r="C2" s="27" t="s">
        <v>49</v>
      </c>
      <c r="D2" s="28" t="s">
        <v>50</v>
      </c>
      <c r="E2" s="61" t="s">
        <v>42</v>
      </c>
      <c r="H2" s="147" t="s">
        <v>52</v>
      </c>
      <c r="I2" s="148"/>
      <c r="J2" s="148"/>
      <c r="K2" s="148"/>
      <c r="L2" s="148"/>
      <c r="M2" s="148"/>
      <c r="N2" s="149"/>
      <c r="O2" s="6"/>
      <c r="P2" s="6"/>
      <c r="Q2" s="6"/>
      <c r="R2" s="6"/>
      <c r="S2" s="6"/>
      <c r="T2" s="6"/>
      <c r="U2" s="6"/>
      <c r="V2" s="6"/>
    </row>
    <row r="3" spans="2:22" ht="22.5" customHeight="1" thickBot="1" x14ac:dyDescent="0.4">
      <c r="B3" s="150" t="s">
        <v>36</v>
      </c>
      <c r="C3" s="151"/>
      <c r="D3" s="151"/>
      <c r="E3" s="152"/>
      <c r="F3" s="38" t="s">
        <v>51</v>
      </c>
      <c r="H3" s="89" t="s">
        <v>6</v>
      </c>
      <c r="I3" s="67" t="s">
        <v>230</v>
      </c>
      <c r="J3" s="67" t="s">
        <v>56</v>
      </c>
      <c r="K3" s="67" t="s">
        <v>57</v>
      </c>
      <c r="L3" s="67" t="s">
        <v>247</v>
      </c>
      <c r="M3" s="67" t="s">
        <v>58</v>
      </c>
      <c r="N3" s="68" t="s">
        <v>59</v>
      </c>
      <c r="O3" s="6"/>
      <c r="P3" s="6"/>
      <c r="Q3" s="6"/>
      <c r="R3" s="6"/>
      <c r="S3" s="6"/>
      <c r="T3" s="6"/>
      <c r="U3" s="6"/>
      <c r="V3" s="6"/>
    </row>
    <row r="4" spans="2:22" ht="18" customHeight="1" x14ac:dyDescent="0.3">
      <c r="B4" s="53" t="s">
        <v>53</v>
      </c>
      <c r="C4" s="8"/>
      <c r="D4" s="62" t="s">
        <v>54</v>
      </c>
      <c r="E4" s="63">
        <v>30</v>
      </c>
      <c r="F4" s="39" t="s">
        <v>55</v>
      </c>
      <c r="G4" s="38">
        <f>(8/2)^2*PI()/144*(Project!$C$8/12)</f>
        <v>1.2217304763960306</v>
      </c>
      <c r="H4" s="90">
        <v>1</v>
      </c>
      <c r="I4" s="46">
        <f>I5*0.95</f>
        <v>159.6</v>
      </c>
      <c r="J4" s="46">
        <f t="shared" ref="J4:M4" si="0">J5*0.9</f>
        <v>140.4</v>
      </c>
      <c r="K4" s="46">
        <f t="shared" si="0"/>
        <v>112.5</v>
      </c>
      <c r="L4" s="46">
        <f t="shared" si="0"/>
        <v>106.2</v>
      </c>
      <c r="M4" s="46">
        <f t="shared" si="0"/>
        <v>9.4500000000000011</v>
      </c>
      <c r="N4" s="84">
        <v>1</v>
      </c>
      <c r="O4" s="6"/>
      <c r="P4" s="6"/>
      <c r="Q4" s="6"/>
      <c r="R4" s="6"/>
      <c r="S4" s="6"/>
      <c r="T4" s="6"/>
      <c r="U4" s="6"/>
      <c r="V4" s="6"/>
    </row>
    <row r="5" spans="2:22" ht="18" customHeight="1" x14ac:dyDescent="0.3">
      <c r="B5" s="53" t="s">
        <v>60</v>
      </c>
      <c r="C5" s="64"/>
      <c r="D5" s="62" t="s">
        <v>54</v>
      </c>
      <c r="E5" s="63">
        <v>34</v>
      </c>
      <c r="F5" s="39" t="s">
        <v>55</v>
      </c>
      <c r="G5" s="38">
        <f>(8/2)^2*PI()/144*(Project!$C$8/12)</f>
        <v>1.2217304763960306</v>
      </c>
      <c r="H5" s="69">
        <v>1.5</v>
      </c>
      <c r="I5" s="123">
        <v>168</v>
      </c>
      <c r="J5" s="123">
        <v>156</v>
      </c>
      <c r="K5" s="123">
        <v>125</v>
      </c>
      <c r="L5" s="123">
        <v>118</v>
      </c>
      <c r="M5" s="123">
        <v>10.5</v>
      </c>
      <c r="N5" s="84">
        <v>1.02</v>
      </c>
      <c r="O5" s="6"/>
      <c r="P5" s="6"/>
      <c r="Q5" s="6"/>
      <c r="R5" s="6"/>
      <c r="S5" s="6"/>
      <c r="T5" s="6"/>
      <c r="U5" s="6"/>
      <c r="V5" s="6"/>
    </row>
    <row r="6" spans="2:22" ht="18" customHeight="1" x14ac:dyDescent="0.3">
      <c r="B6" s="53" t="s">
        <v>10</v>
      </c>
      <c r="C6" s="65"/>
      <c r="D6" s="62" t="s">
        <v>54</v>
      </c>
      <c r="E6" s="63">
        <v>52</v>
      </c>
      <c r="F6" s="38" t="s">
        <v>68</v>
      </c>
      <c r="G6" s="38">
        <f>(3.5/2)^2*PI()/144*(Project!$C$8/12)</f>
        <v>0.23384684899767771</v>
      </c>
      <c r="H6" s="69">
        <v>2</v>
      </c>
      <c r="I6" s="46">
        <f>I5*1.05</f>
        <v>176.4</v>
      </c>
      <c r="J6" s="46">
        <f t="shared" ref="J6:M6" si="1">J5*1.05</f>
        <v>163.80000000000001</v>
      </c>
      <c r="K6" s="46">
        <f t="shared" si="1"/>
        <v>131.25</v>
      </c>
      <c r="L6" s="46">
        <f t="shared" ref="L6" si="2">L5*1.05</f>
        <v>123.9</v>
      </c>
      <c r="M6" s="46">
        <f t="shared" si="1"/>
        <v>11.025</v>
      </c>
      <c r="N6" s="84">
        <v>1.05</v>
      </c>
      <c r="O6" s="6"/>
      <c r="P6" s="6"/>
      <c r="Q6" s="6"/>
      <c r="R6" s="6"/>
      <c r="S6" s="6"/>
      <c r="T6" s="6"/>
      <c r="U6" s="6"/>
      <c r="V6" s="6"/>
    </row>
    <row r="7" spans="2:22" ht="18" customHeight="1" x14ac:dyDescent="0.3">
      <c r="B7" s="53" t="s">
        <v>62</v>
      </c>
      <c r="C7" s="65"/>
      <c r="D7" s="62" t="s">
        <v>54</v>
      </c>
      <c r="E7" s="63">
        <v>74</v>
      </c>
      <c r="F7" s="38" t="s">
        <v>68</v>
      </c>
      <c r="G7" s="38">
        <f>(4.5/2)^2*PI()/144*(Project!$C$8/12)</f>
        <v>0.3865631585471816</v>
      </c>
      <c r="H7" s="69">
        <v>2.5</v>
      </c>
      <c r="I7" s="46">
        <f>I5*1.125</f>
        <v>189</v>
      </c>
      <c r="J7" s="46">
        <f t="shared" ref="J7:M7" si="3">J5*1.125</f>
        <v>175.5</v>
      </c>
      <c r="K7" s="46">
        <f t="shared" si="3"/>
        <v>140.625</v>
      </c>
      <c r="L7" s="46">
        <f t="shared" ref="L7" si="4">L5*1.125</f>
        <v>132.75</v>
      </c>
      <c r="M7" s="46">
        <f t="shared" si="3"/>
        <v>11.8125</v>
      </c>
      <c r="N7" s="84">
        <v>1.1000000000000001</v>
      </c>
      <c r="O7" s="6"/>
      <c r="P7" s="6"/>
      <c r="Q7" s="6"/>
      <c r="R7" s="6"/>
      <c r="S7" s="6"/>
      <c r="T7" s="6"/>
      <c r="U7" s="6"/>
      <c r="V7" s="6"/>
    </row>
    <row r="8" spans="2:22" ht="18" customHeight="1" thickBot="1" x14ac:dyDescent="0.35">
      <c r="B8" s="53" t="s">
        <v>63</v>
      </c>
      <c r="C8" s="65"/>
      <c r="D8" s="62" t="s">
        <v>54</v>
      </c>
      <c r="E8" s="63">
        <v>38</v>
      </c>
      <c r="F8" s="38" t="s">
        <v>68</v>
      </c>
      <c r="G8" s="38">
        <f>(2/2)^2*PI()/144*(Project!$C$8/12)</f>
        <v>7.6358154774751913E-2</v>
      </c>
      <c r="H8" s="91">
        <v>3</v>
      </c>
      <c r="I8" s="124">
        <f>I5*1.2</f>
        <v>201.6</v>
      </c>
      <c r="J8" s="124">
        <f t="shared" ref="J8:M8" si="5">J5*1.2</f>
        <v>187.2</v>
      </c>
      <c r="K8" s="124">
        <f t="shared" si="5"/>
        <v>150</v>
      </c>
      <c r="L8" s="124">
        <f t="shared" ref="L8" si="6">L5*1.2</f>
        <v>141.6</v>
      </c>
      <c r="M8" s="124">
        <f t="shared" si="5"/>
        <v>12.6</v>
      </c>
      <c r="N8" s="88">
        <v>1.175</v>
      </c>
      <c r="O8" s="6"/>
      <c r="P8" s="6"/>
      <c r="Q8" s="6"/>
      <c r="R8" s="6"/>
      <c r="S8" s="6"/>
      <c r="T8" s="6"/>
      <c r="U8" s="6"/>
      <c r="V8" s="6"/>
    </row>
    <row r="9" spans="2:22" ht="18" customHeight="1" x14ac:dyDescent="0.3">
      <c r="B9" s="53" t="s">
        <v>229</v>
      </c>
      <c r="C9" s="64"/>
      <c r="D9" s="62" t="s">
        <v>54</v>
      </c>
      <c r="E9" s="63">
        <v>175</v>
      </c>
      <c r="G9" s="38">
        <f>(6/2)^2*PI()/144*(Project!$C$8/12)</f>
        <v>0.68722339297276724</v>
      </c>
      <c r="H9" s="156" t="s">
        <v>65</v>
      </c>
      <c r="I9" s="156"/>
      <c r="J9" s="156"/>
      <c r="K9" s="156"/>
      <c r="L9" s="156"/>
      <c r="M9" s="156"/>
      <c r="N9" s="156"/>
      <c r="O9" s="6"/>
      <c r="P9" s="6"/>
      <c r="Q9" s="6"/>
      <c r="R9" s="6"/>
      <c r="S9" s="6"/>
      <c r="T9" s="6"/>
      <c r="U9" s="6"/>
      <c r="V9" s="6"/>
    </row>
    <row r="10" spans="2:22" ht="18" customHeight="1" x14ac:dyDescent="0.3">
      <c r="B10" s="77" t="s">
        <v>66</v>
      </c>
      <c r="C10" s="9"/>
      <c r="D10" s="62" t="s">
        <v>54</v>
      </c>
      <c r="E10" s="63" t="s">
        <v>45</v>
      </c>
      <c r="F10" s="39"/>
      <c r="G10" s="38">
        <f>(4.5/2)^2*PI()/144*(Project!$C$8/12)</f>
        <v>0.3865631585471816</v>
      </c>
      <c r="H10" s="157"/>
      <c r="I10" s="157"/>
      <c r="J10" s="157"/>
      <c r="K10" s="157"/>
      <c r="L10" s="157"/>
      <c r="M10" s="157"/>
      <c r="N10" s="157"/>
      <c r="O10" s="6"/>
      <c r="P10" s="6"/>
      <c r="Q10" s="6"/>
      <c r="R10" s="6"/>
      <c r="S10" s="6"/>
      <c r="T10" s="6"/>
      <c r="U10" s="6"/>
      <c r="V10" s="6"/>
    </row>
    <row r="11" spans="2:22" ht="18" customHeight="1" thickBot="1" x14ac:dyDescent="0.4">
      <c r="B11" s="150" t="s">
        <v>67</v>
      </c>
      <c r="C11" s="151"/>
      <c r="D11" s="151"/>
      <c r="E11" s="152"/>
      <c r="F11" s="13"/>
      <c r="G11" s="13"/>
      <c r="H11" s="13"/>
      <c r="I11" s="13"/>
      <c r="J11" s="13"/>
      <c r="K11" s="13"/>
      <c r="L11" s="13"/>
      <c r="M11" s="13"/>
      <c r="N11" s="6"/>
      <c r="O11" s="6"/>
      <c r="P11" s="6"/>
      <c r="Q11" s="6"/>
      <c r="R11" s="6"/>
      <c r="S11" s="6"/>
      <c r="T11" s="6"/>
      <c r="U11" s="6"/>
      <c r="V11" s="6"/>
    </row>
    <row r="12" spans="2:22" ht="22.5" customHeight="1" x14ac:dyDescent="0.3">
      <c r="B12" s="53" t="s">
        <v>222</v>
      </c>
      <c r="C12" s="64"/>
      <c r="D12" s="62" t="s">
        <v>64</v>
      </c>
      <c r="E12" s="63">
        <v>1.98</v>
      </c>
      <c r="F12" s="39" t="s">
        <v>68</v>
      </c>
      <c r="H12" s="38" t="s">
        <v>69</v>
      </c>
      <c r="L12" s="13"/>
      <c r="M12" s="13"/>
      <c r="N12" s="6"/>
      <c r="O12" s="6"/>
      <c r="P12" s="6"/>
      <c r="Q12" s="6"/>
      <c r="R12" s="6"/>
      <c r="S12" s="6"/>
      <c r="T12" s="6"/>
      <c r="U12" s="6"/>
      <c r="V12" s="6"/>
    </row>
    <row r="13" spans="2:22" ht="18" customHeight="1" x14ac:dyDescent="0.3">
      <c r="B13" s="53" t="s">
        <v>223</v>
      </c>
      <c r="C13" s="64"/>
      <c r="D13" s="62" t="s">
        <v>64</v>
      </c>
      <c r="E13" s="63">
        <v>2.5</v>
      </c>
      <c r="F13" s="39" t="s">
        <v>68</v>
      </c>
      <c r="H13" s="38" t="s">
        <v>69</v>
      </c>
      <c r="L13" s="13"/>
      <c r="M13" s="13"/>
      <c r="N13" s="6"/>
      <c r="O13" s="6"/>
      <c r="P13" s="6"/>
      <c r="Q13" s="6"/>
      <c r="R13" s="6"/>
      <c r="S13" s="6"/>
      <c r="T13" s="6"/>
      <c r="U13" s="6"/>
      <c r="V13" s="6"/>
    </row>
    <row r="14" spans="2:22" ht="18" customHeight="1" x14ac:dyDescent="0.3">
      <c r="B14" s="53" t="s">
        <v>70</v>
      </c>
      <c r="C14" s="64"/>
      <c r="D14" s="62" t="s">
        <v>54</v>
      </c>
      <c r="E14" s="63">
        <v>9</v>
      </c>
      <c r="F14" s="39" t="s">
        <v>55</v>
      </c>
      <c r="G14" s="38" t="s">
        <v>237</v>
      </c>
      <c r="H14" s="38" t="s">
        <v>69</v>
      </c>
      <c r="L14" s="13"/>
      <c r="M14" s="13"/>
      <c r="N14" s="6"/>
      <c r="O14" s="6"/>
      <c r="P14" s="6"/>
      <c r="Q14" s="6"/>
      <c r="R14" s="6"/>
      <c r="S14" s="6"/>
      <c r="T14" s="6"/>
      <c r="U14" s="6"/>
      <c r="V14" s="6"/>
    </row>
    <row r="15" spans="2:22" ht="18" customHeight="1" x14ac:dyDescent="0.3">
      <c r="B15" s="53" t="s">
        <v>71</v>
      </c>
      <c r="C15" s="64"/>
      <c r="D15" s="62" t="s">
        <v>54</v>
      </c>
      <c r="E15" s="63">
        <v>12.5</v>
      </c>
      <c r="F15" s="39" t="s">
        <v>55</v>
      </c>
      <c r="G15" s="38" t="s">
        <v>237</v>
      </c>
      <c r="H15" s="38" t="s">
        <v>69</v>
      </c>
      <c r="L15" s="13"/>
      <c r="M15" s="13"/>
      <c r="N15" s="6"/>
      <c r="O15" s="6"/>
      <c r="P15" s="6"/>
      <c r="Q15" s="6"/>
      <c r="R15" s="6"/>
      <c r="S15" s="6"/>
      <c r="T15" s="6"/>
      <c r="U15" s="6"/>
      <c r="V15" s="6"/>
    </row>
    <row r="16" spans="2:22" ht="18" customHeight="1" x14ac:dyDescent="0.3">
      <c r="B16" s="53" t="s">
        <v>72</v>
      </c>
      <c r="C16" s="64"/>
      <c r="D16" s="62" t="s">
        <v>54</v>
      </c>
      <c r="E16" s="63">
        <v>6</v>
      </c>
      <c r="F16" s="39" t="s">
        <v>73</v>
      </c>
      <c r="G16" s="38" t="s">
        <v>236</v>
      </c>
      <c r="L16" s="13"/>
      <c r="M16" s="13"/>
      <c r="N16" s="6"/>
      <c r="O16" s="6"/>
      <c r="P16" s="6"/>
      <c r="Q16" s="6"/>
      <c r="R16" s="6"/>
      <c r="S16" s="6"/>
      <c r="T16" s="6"/>
      <c r="U16" s="6"/>
      <c r="V16" s="6"/>
    </row>
    <row r="17" spans="2:22" ht="18" customHeight="1" x14ac:dyDescent="0.3">
      <c r="B17" s="53" t="s">
        <v>75</v>
      </c>
      <c r="C17" s="64"/>
      <c r="D17" s="62" t="s">
        <v>54</v>
      </c>
      <c r="E17" s="63">
        <v>5.5</v>
      </c>
      <c r="F17" s="39" t="s">
        <v>73</v>
      </c>
      <c r="G17" s="38" t="s">
        <v>236</v>
      </c>
      <c r="L17" s="13"/>
      <c r="M17" s="13"/>
      <c r="N17" s="6"/>
      <c r="O17" s="6"/>
      <c r="P17" s="6"/>
      <c r="Q17" s="6"/>
      <c r="R17" s="6"/>
      <c r="S17" s="6"/>
      <c r="T17" s="6"/>
      <c r="U17" s="6"/>
      <c r="V17" s="6"/>
    </row>
    <row r="18" spans="2:22" ht="18" customHeight="1" x14ac:dyDescent="0.3">
      <c r="B18" s="53" t="s">
        <v>25</v>
      </c>
      <c r="C18" s="64"/>
      <c r="D18" s="62" t="s">
        <v>54</v>
      </c>
      <c r="E18" s="63">
        <v>6.85</v>
      </c>
      <c r="F18" s="39" t="s">
        <v>73</v>
      </c>
      <c r="G18" s="38" t="s">
        <v>236</v>
      </c>
      <c r="L18" s="13"/>
      <c r="M18" s="13"/>
      <c r="N18" s="6"/>
      <c r="O18" s="6"/>
      <c r="P18" s="6"/>
      <c r="Q18" s="6"/>
      <c r="R18" s="6"/>
      <c r="S18" s="6"/>
      <c r="T18" s="6"/>
      <c r="U18" s="6"/>
      <c r="V18" s="6"/>
    </row>
    <row r="19" spans="2:22" ht="18" customHeight="1" x14ac:dyDescent="0.3">
      <c r="B19" s="53" t="s">
        <v>76</v>
      </c>
      <c r="C19" s="64"/>
      <c r="D19" s="62" t="s">
        <v>54</v>
      </c>
      <c r="E19" s="63">
        <v>6.33</v>
      </c>
      <c r="F19" s="39" t="s">
        <v>73</v>
      </c>
      <c r="G19" s="38" t="s">
        <v>236</v>
      </c>
      <c r="L19" s="13"/>
      <c r="M19" s="13"/>
      <c r="N19" s="6"/>
      <c r="O19" s="6"/>
      <c r="P19" s="6"/>
      <c r="Q19" s="6"/>
      <c r="R19" s="6"/>
      <c r="S19" s="6"/>
      <c r="T19" s="6"/>
      <c r="U19" s="6"/>
      <c r="V19" s="6"/>
    </row>
    <row r="20" spans="2:22" ht="18" customHeight="1" x14ac:dyDescent="0.3">
      <c r="B20" s="53" t="s">
        <v>77</v>
      </c>
      <c r="C20" s="64"/>
      <c r="D20" s="62" t="s">
        <v>54</v>
      </c>
      <c r="E20" s="63">
        <v>7.5</v>
      </c>
      <c r="F20" s="39" t="s">
        <v>78</v>
      </c>
      <c r="G20" s="39" t="s">
        <v>78</v>
      </c>
      <c r="L20" s="13"/>
      <c r="M20" s="13"/>
      <c r="N20" s="6"/>
      <c r="O20" s="6"/>
      <c r="P20" s="6"/>
      <c r="Q20" s="6"/>
      <c r="R20" s="6"/>
      <c r="S20" s="6"/>
      <c r="T20" s="6"/>
      <c r="U20" s="6"/>
      <c r="V20" s="6"/>
    </row>
    <row r="21" spans="2:22" ht="18" customHeight="1" x14ac:dyDescent="0.3">
      <c r="B21" s="53" t="s">
        <v>79</v>
      </c>
      <c r="C21" s="65"/>
      <c r="D21" s="62" t="s">
        <v>54</v>
      </c>
      <c r="E21" s="63">
        <v>1.75</v>
      </c>
      <c r="G21" s="125" t="s">
        <v>74</v>
      </c>
      <c r="J21" s="38" t="s">
        <v>80</v>
      </c>
      <c r="K21" s="38" t="s">
        <v>81</v>
      </c>
      <c r="L21" s="13"/>
      <c r="M21" s="13"/>
      <c r="N21" s="6"/>
      <c r="O21" s="6"/>
      <c r="P21" s="6"/>
      <c r="Q21" s="6"/>
      <c r="R21" s="6"/>
      <c r="S21" s="6"/>
      <c r="T21" s="6"/>
      <c r="U21" s="6"/>
      <c r="V21" s="6"/>
    </row>
    <row r="22" spans="2:22" ht="18" customHeight="1" x14ac:dyDescent="0.3">
      <c r="B22" s="53" t="s">
        <v>82</v>
      </c>
      <c r="C22" s="65"/>
      <c r="D22" s="62" t="s">
        <v>54</v>
      </c>
      <c r="E22" s="63">
        <v>3.75</v>
      </c>
      <c r="G22" s="38" t="s">
        <v>61</v>
      </c>
      <c r="I22" s="39" t="s">
        <v>55</v>
      </c>
      <c r="J22" s="38">
        <v>66</v>
      </c>
      <c r="K22" s="125" t="s">
        <v>83</v>
      </c>
      <c r="L22" s="118"/>
      <c r="M22" s="13"/>
      <c r="N22" s="6"/>
      <c r="O22" s="6"/>
      <c r="P22" s="6"/>
      <c r="Q22" s="6"/>
      <c r="R22" s="6"/>
      <c r="S22" s="6"/>
      <c r="T22" s="6"/>
      <c r="U22" s="6"/>
      <c r="V22" s="6"/>
    </row>
    <row r="23" spans="2:22" ht="18" customHeight="1" x14ac:dyDescent="0.3">
      <c r="B23" s="53" t="s">
        <v>55</v>
      </c>
      <c r="C23" s="64"/>
      <c r="D23" s="62" t="s">
        <v>84</v>
      </c>
      <c r="E23" s="63">
        <v>4</v>
      </c>
      <c r="I23" s="38" t="s">
        <v>73</v>
      </c>
      <c r="J23" s="38">
        <v>100</v>
      </c>
      <c r="K23" s="125" t="s">
        <v>86</v>
      </c>
      <c r="L23" s="118"/>
      <c r="M23" s="13"/>
      <c r="N23" s="6"/>
      <c r="O23" s="6"/>
      <c r="P23" s="6"/>
      <c r="Q23" s="6"/>
      <c r="R23" s="6"/>
      <c r="S23" s="6"/>
      <c r="T23" s="6"/>
      <c r="U23" s="6"/>
      <c r="V23" s="6"/>
    </row>
    <row r="24" spans="2:22" ht="18" customHeight="1" x14ac:dyDescent="0.3">
      <c r="B24" s="53" t="s">
        <v>73</v>
      </c>
      <c r="C24" s="64"/>
      <c r="D24" s="62" t="s">
        <v>85</v>
      </c>
      <c r="E24" s="63">
        <v>9</v>
      </c>
      <c r="I24" s="38" t="s">
        <v>68</v>
      </c>
      <c r="J24" s="38">
        <v>100</v>
      </c>
      <c r="K24" s="125" t="s">
        <v>86</v>
      </c>
      <c r="L24" s="118"/>
      <c r="M24" s="13"/>
      <c r="N24" s="6"/>
      <c r="O24" s="6"/>
      <c r="P24" s="6"/>
      <c r="Q24" s="6"/>
      <c r="R24" s="6"/>
      <c r="S24" s="6"/>
      <c r="T24" s="6"/>
      <c r="U24" s="6"/>
      <c r="V24" s="6"/>
    </row>
    <row r="25" spans="2:22" ht="18" customHeight="1" x14ac:dyDescent="0.3">
      <c r="B25" s="53" t="s">
        <v>68</v>
      </c>
      <c r="C25" s="64"/>
      <c r="D25" s="62" t="s">
        <v>85</v>
      </c>
      <c r="E25" s="63">
        <v>20</v>
      </c>
      <c r="I25" s="38" t="s">
        <v>78</v>
      </c>
      <c r="J25" s="38">
        <v>100</v>
      </c>
      <c r="K25" s="125" t="s">
        <v>86</v>
      </c>
      <c r="L25" s="118"/>
      <c r="M25" s="13"/>
      <c r="N25" s="6"/>
      <c r="O25" s="6"/>
      <c r="P25" s="6"/>
      <c r="Q25" s="6"/>
      <c r="R25" s="6"/>
      <c r="S25" s="6"/>
      <c r="T25" s="6"/>
      <c r="U25" s="6"/>
      <c r="V25" s="6"/>
    </row>
    <row r="26" spans="2:22" ht="18" customHeight="1" x14ac:dyDescent="0.3">
      <c r="B26" s="53" t="s">
        <v>87</v>
      </c>
      <c r="C26" s="64"/>
      <c r="D26" s="62" t="s">
        <v>54</v>
      </c>
      <c r="E26" s="63">
        <v>0.3</v>
      </c>
      <c r="I26" s="38" t="s">
        <v>236</v>
      </c>
      <c r="J26" s="38">
        <v>25</v>
      </c>
      <c r="K26" s="125" t="s">
        <v>86</v>
      </c>
      <c r="L26" s="118"/>
      <c r="M26" s="13"/>
      <c r="N26" s="6"/>
      <c r="O26" s="6"/>
      <c r="P26" s="6"/>
      <c r="Q26" s="6"/>
      <c r="R26" s="6"/>
      <c r="S26" s="6"/>
      <c r="T26" s="6"/>
      <c r="U26" s="6"/>
      <c r="V26" s="6"/>
    </row>
    <row r="27" spans="2:22" ht="18" customHeight="1" x14ac:dyDescent="0.3">
      <c r="B27" s="53" t="s">
        <v>78</v>
      </c>
      <c r="C27" s="64"/>
      <c r="D27" s="62" t="s">
        <v>85</v>
      </c>
      <c r="E27" s="63">
        <v>13</v>
      </c>
      <c r="I27" s="38" t="s">
        <v>237</v>
      </c>
      <c r="J27" s="38">
        <v>25</v>
      </c>
      <c r="K27" s="125" t="s">
        <v>86</v>
      </c>
      <c r="L27" s="118"/>
      <c r="M27" s="13"/>
      <c r="N27" s="6"/>
      <c r="O27" s="6"/>
      <c r="P27" s="6"/>
      <c r="Q27" s="6"/>
      <c r="R27" s="6"/>
      <c r="S27" s="6"/>
      <c r="T27" s="6"/>
      <c r="U27" s="6"/>
      <c r="V27" s="6"/>
    </row>
    <row r="28" spans="2:22" ht="18" customHeight="1" x14ac:dyDescent="0.3">
      <c r="B28" s="53" t="s">
        <v>241</v>
      </c>
      <c r="C28" s="11"/>
      <c r="D28" s="62" t="s">
        <v>96</v>
      </c>
      <c r="E28" s="66">
        <v>10</v>
      </c>
      <c r="L28" s="13"/>
      <c r="M28" s="13"/>
      <c r="N28" s="6"/>
      <c r="O28" s="6"/>
      <c r="P28" s="6"/>
      <c r="Q28" s="6"/>
      <c r="R28" s="6"/>
      <c r="S28" s="6"/>
      <c r="T28" s="6"/>
      <c r="U28" s="6"/>
      <c r="V28" s="6"/>
    </row>
    <row r="29" spans="2:22" ht="18" customHeight="1" x14ac:dyDescent="0.3">
      <c r="B29" s="53" t="s">
        <v>240</v>
      </c>
      <c r="C29" s="11"/>
      <c r="D29" s="62" t="s">
        <v>96</v>
      </c>
      <c r="E29" s="66">
        <v>15</v>
      </c>
      <c r="F29" s="13"/>
      <c r="G29" s="13"/>
      <c r="H29" s="13"/>
      <c r="I29" s="13"/>
      <c r="J29" s="13"/>
      <c r="K29" s="13"/>
      <c r="L29" s="13"/>
      <c r="M29" s="13"/>
      <c r="N29" s="6"/>
      <c r="O29" s="6"/>
      <c r="P29" s="6"/>
      <c r="Q29" s="6"/>
      <c r="R29" s="6"/>
      <c r="S29" s="6"/>
      <c r="T29" s="6"/>
      <c r="U29" s="6"/>
      <c r="V29" s="6"/>
    </row>
    <row r="30" spans="2:22" ht="18" customHeight="1" x14ac:dyDescent="0.3">
      <c r="B30" s="53" t="s">
        <v>234</v>
      </c>
      <c r="C30" s="11"/>
      <c r="D30" s="62" t="s">
        <v>54</v>
      </c>
      <c r="E30" s="66">
        <v>1.25</v>
      </c>
      <c r="F30" s="13"/>
      <c r="G30" s="13"/>
      <c r="H30" s="13"/>
      <c r="I30" s="13"/>
      <c r="J30" s="13"/>
      <c r="K30" s="13"/>
      <c r="L30" s="13"/>
      <c r="M30" s="13"/>
      <c r="N30" s="6"/>
      <c r="O30" s="6"/>
      <c r="P30" s="6"/>
      <c r="Q30" s="6"/>
      <c r="R30" s="6"/>
      <c r="S30" s="6"/>
      <c r="T30" s="6"/>
      <c r="U30" s="6"/>
      <c r="V30" s="6"/>
    </row>
    <row r="31" spans="2:22" ht="18" customHeight="1" thickBot="1" x14ac:dyDescent="0.4">
      <c r="B31" s="150" t="s">
        <v>88</v>
      </c>
      <c r="C31" s="151"/>
      <c r="D31" s="151"/>
      <c r="E31" s="152"/>
      <c r="F31" s="13"/>
      <c r="G31" s="13"/>
      <c r="H31" s="13"/>
      <c r="I31" s="13"/>
      <c r="J31" s="13"/>
      <c r="K31" s="13"/>
      <c r="L31" s="13"/>
      <c r="M31" s="13"/>
      <c r="N31" s="6"/>
      <c r="O31" s="6"/>
      <c r="P31" s="6"/>
      <c r="Q31" s="6"/>
      <c r="R31" s="6"/>
      <c r="S31" s="6"/>
      <c r="T31" s="6"/>
      <c r="U31" s="6"/>
      <c r="V31" s="6"/>
    </row>
    <row r="32" spans="2:22" ht="22.5" customHeight="1" x14ac:dyDescent="0.3">
      <c r="B32" s="53" t="s">
        <v>90</v>
      </c>
      <c r="C32" s="10">
        <v>1320</v>
      </c>
      <c r="D32" s="62" t="s">
        <v>89</v>
      </c>
      <c r="E32" s="63">
        <v>130</v>
      </c>
      <c r="F32" s="13"/>
      <c r="G32" s="13"/>
      <c r="H32" s="13"/>
      <c r="I32" s="13"/>
      <c r="J32" s="13"/>
      <c r="K32" s="13"/>
      <c r="L32" s="13"/>
      <c r="M32" s="13"/>
      <c r="N32" s="6"/>
      <c r="O32" s="6"/>
      <c r="P32" s="6"/>
      <c r="Q32" s="6"/>
      <c r="R32" s="6"/>
      <c r="S32" s="6"/>
      <c r="T32" s="6"/>
      <c r="U32" s="6"/>
      <c r="V32" s="6"/>
    </row>
    <row r="33" spans="2:22" ht="18" customHeight="1" x14ac:dyDescent="0.3">
      <c r="B33" s="53" t="s">
        <v>91</v>
      </c>
      <c r="C33" s="10">
        <v>4000</v>
      </c>
      <c r="D33" s="62" t="s">
        <v>89</v>
      </c>
      <c r="E33" s="63">
        <v>170</v>
      </c>
      <c r="F33" s="13"/>
      <c r="G33" s="13"/>
      <c r="H33" s="13"/>
      <c r="I33" s="13"/>
      <c r="J33" s="13"/>
      <c r="K33" s="13"/>
      <c r="L33" s="13"/>
      <c r="M33" s="13"/>
      <c r="N33" s="6"/>
      <c r="O33" s="6"/>
      <c r="P33" s="6"/>
      <c r="Q33" s="6"/>
      <c r="R33" s="6"/>
      <c r="S33" s="6"/>
      <c r="T33" s="6"/>
      <c r="U33" s="6"/>
      <c r="V33" s="6"/>
    </row>
    <row r="34" spans="2:22" ht="18" customHeight="1" x14ac:dyDescent="0.3">
      <c r="B34" s="53" t="s">
        <v>92</v>
      </c>
      <c r="C34" s="11">
        <v>1320</v>
      </c>
      <c r="D34" s="62" t="s">
        <v>89</v>
      </c>
      <c r="E34" s="63">
        <v>45</v>
      </c>
      <c r="F34" s="13"/>
      <c r="G34" s="13"/>
      <c r="H34" s="13"/>
      <c r="I34" s="13"/>
      <c r="J34" s="13"/>
      <c r="K34" s="13"/>
      <c r="L34" s="13"/>
      <c r="M34" s="13"/>
      <c r="N34" s="6"/>
      <c r="O34" s="6"/>
      <c r="P34" s="6"/>
      <c r="Q34" s="6"/>
      <c r="R34" s="6"/>
      <c r="S34" s="6"/>
      <c r="T34" s="6"/>
      <c r="U34" s="6"/>
      <c r="V34" s="6"/>
    </row>
    <row r="35" spans="2:22" ht="18" customHeight="1" x14ac:dyDescent="0.3">
      <c r="B35" s="53" t="s">
        <v>93</v>
      </c>
      <c r="C35" s="11">
        <v>2640</v>
      </c>
      <c r="D35" s="62" t="s">
        <v>89</v>
      </c>
      <c r="E35" s="63">
        <v>35</v>
      </c>
      <c r="F35" s="13"/>
      <c r="G35" s="13"/>
      <c r="H35" s="13"/>
      <c r="I35" s="13"/>
      <c r="J35" s="13"/>
      <c r="K35" s="13"/>
      <c r="L35" s="13"/>
      <c r="M35" s="13"/>
      <c r="N35" s="6"/>
      <c r="O35" s="6"/>
      <c r="P35" s="6"/>
      <c r="Q35" s="6"/>
      <c r="R35" s="6"/>
      <c r="S35" s="6"/>
      <c r="T35" s="6"/>
      <c r="U35" s="6"/>
      <c r="V35" s="6"/>
    </row>
    <row r="36" spans="2:22" ht="18" customHeight="1" x14ac:dyDescent="0.3">
      <c r="B36" s="53" t="s">
        <v>94</v>
      </c>
      <c r="C36" s="10">
        <v>1320</v>
      </c>
      <c r="D36" s="62" t="s">
        <v>89</v>
      </c>
      <c r="E36" s="66">
        <v>68</v>
      </c>
      <c r="F36" s="13"/>
      <c r="G36" s="13"/>
      <c r="H36" s="13"/>
      <c r="I36" s="13"/>
      <c r="J36" s="13"/>
      <c r="K36" s="13"/>
      <c r="L36" s="13"/>
      <c r="M36" s="13"/>
      <c r="N36" s="6"/>
      <c r="O36" s="6"/>
      <c r="P36" s="6"/>
      <c r="Q36" s="6"/>
      <c r="R36" s="6"/>
      <c r="S36" s="6"/>
      <c r="T36" s="6"/>
      <c r="U36" s="6"/>
      <c r="V36" s="6"/>
    </row>
    <row r="37" spans="2:22" ht="18" customHeight="1" x14ac:dyDescent="0.3">
      <c r="B37" s="53" t="s">
        <v>95</v>
      </c>
      <c r="C37" s="10">
        <v>660</v>
      </c>
      <c r="D37" s="62" t="s">
        <v>89</v>
      </c>
      <c r="E37" s="66">
        <v>49</v>
      </c>
      <c r="F37" s="13"/>
      <c r="G37" s="13"/>
      <c r="H37" s="13"/>
      <c r="I37" s="13"/>
      <c r="J37" s="13"/>
      <c r="K37" s="13"/>
      <c r="L37" s="13"/>
      <c r="M37" s="13"/>
      <c r="N37" s="6"/>
      <c r="O37" s="6"/>
      <c r="P37" s="6"/>
      <c r="Q37" s="6"/>
      <c r="R37" s="6"/>
      <c r="S37" s="6"/>
      <c r="T37" s="6"/>
      <c r="U37" s="6"/>
      <c r="V37" s="6"/>
    </row>
    <row r="38" spans="2:22" ht="18" customHeight="1" x14ac:dyDescent="0.3">
      <c r="B38" s="53" t="s">
        <v>97</v>
      </c>
      <c r="C38" s="11"/>
      <c r="D38" s="62" t="s">
        <v>54</v>
      </c>
      <c r="E38" s="66">
        <v>15</v>
      </c>
      <c r="F38" s="13"/>
      <c r="G38" s="13"/>
      <c r="H38" s="13"/>
      <c r="I38" s="13"/>
      <c r="J38" s="13"/>
      <c r="K38" s="13"/>
      <c r="L38" s="13"/>
      <c r="M38" s="13"/>
      <c r="N38" s="6"/>
      <c r="O38" s="6"/>
      <c r="P38" s="6"/>
      <c r="Q38" s="6"/>
      <c r="R38" s="6"/>
      <c r="S38" s="6"/>
      <c r="T38" s="6"/>
      <c r="U38" s="6"/>
      <c r="V38" s="6"/>
    </row>
    <row r="39" spans="2:22" ht="18" customHeight="1" x14ac:dyDescent="0.3">
      <c r="B39" s="53" t="s">
        <v>98</v>
      </c>
      <c r="C39" s="11"/>
      <c r="D39" s="62" t="s">
        <v>89</v>
      </c>
      <c r="E39" s="66">
        <v>100</v>
      </c>
      <c r="F39" s="13"/>
      <c r="G39" s="13"/>
      <c r="H39" s="13"/>
      <c r="I39" s="13"/>
      <c r="J39" s="13"/>
      <c r="K39" s="13"/>
      <c r="L39" s="13"/>
      <c r="M39" s="13"/>
      <c r="N39" s="6"/>
      <c r="O39" s="6"/>
      <c r="P39" s="6"/>
      <c r="Q39" s="6"/>
      <c r="R39" s="6"/>
      <c r="S39" s="6"/>
      <c r="T39" s="6"/>
      <c r="U39" s="6"/>
      <c r="V39" s="6"/>
    </row>
    <row r="40" spans="2:22" ht="18" customHeight="1" x14ac:dyDescent="0.3">
      <c r="B40" s="53" t="s">
        <v>99</v>
      </c>
      <c r="C40" s="10">
        <v>330</v>
      </c>
      <c r="D40" s="62" t="s">
        <v>89</v>
      </c>
      <c r="E40" s="66">
        <v>260</v>
      </c>
      <c r="F40" s="13"/>
      <c r="G40" s="13"/>
      <c r="H40" s="13"/>
      <c r="I40" s="13"/>
      <c r="J40" s="13"/>
      <c r="K40" s="13"/>
      <c r="L40" s="13"/>
      <c r="M40" s="13"/>
      <c r="N40" s="6"/>
      <c r="O40" s="6"/>
      <c r="P40" s="6"/>
      <c r="Q40" s="6"/>
      <c r="R40" s="6"/>
      <c r="S40" s="6"/>
      <c r="T40" s="6"/>
      <c r="U40" s="6"/>
      <c r="V40" s="6"/>
    </row>
    <row r="41" spans="2:22" ht="18" customHeight="1" x14ac:dyDescent="0.3">
      <c r="B41" s="53" t="s">
        <v>100</v>
      </c>
      <c r="C41" s="10">
        <v>25</v>
      </c>
      <c r="D41" s="62" t="s">
        <v>101</v>
      </c>
      <c r="E41" s="66">
        <v>12</v>
      </c>
      <c r="F41" s="13"/>
      <c r="G41" s="13"/>
      <c r="H41" s="13"/>
      <c r="I41" s="13"/>
      <c r="J41" s="13"/>
      <c r="K41" s="13"/>
      <c r="L41" s="13"/>
      <c r="M41" s="13"/>
      <c r="N41" s="6"/>
      <c r="O41" s="6"/>
      <c r="P41" s="6"/>
      <c r="Q41" s="6"/>
      <c r="R41" s="6"/>
      <c r="S41" s="6"/>
      <c r="T41" s="6"/>
      <c r="U41" s="6"/>
      <c r="V41" s="6"/>
    </row>
    <row r="42" spans="2:22" ht="18" customHeight="1" x14ac:dyDescent="0.3">
      <c r="B42" s="53" t="s">
        <v>102</v>
      </c>
      <c r="C42" s="10"/>
      <c r="D42" s="62" t="s">
        <v>103</v>
      </c>
      <c r="E42" s="66">
        <v>130</v>
      </c>
      <c r="F42" s="13"/>
      <c r="G42" s="13"/>
      <c r="H42" s="13"/>
      <c r="I42" s="13"/>
      <c r="J42" s="13"/>
      <c r="K42" s="13"/>
      <c r="L42" s="13"/>
      <c r="M42" s="13"/>
      <c r="N42" s="6"/>
      <c r="O42" s="6"/>
      <c r="P42" s="6"/>
      <c r="Q42" s="6"/>
      <c r="R42" s="6"/>
      <c r="S42" s="6"/>
      <c r="T42" s="6"/>
      <c r="U42" s="6"/>
      <c r="V42" s="6"/>
    </row>
    <row r="43" spans="2:22" ht="18" customHeight="1" x14ac:dyDescent="0.3">
      <c r="B43" s="53" t="s">
        <v>104</v>
      </c>
      <c r="C43" s="12"/>
      <c r="D43" s="62" t="s">
        <v>64</v>
      </c>
      <c r="E43" s="66">
        <v>3</v>
      </c>
      <c r="F43" s="13"/>
      <c r="G43" s="13"/>
      <c r="H43" s="13"/>
      <c r="I43" s="13"/>
      <c r="J43" s="13"/>
      <c r="K43" s="13"/>
      <c r="L43" s="13"/>
      <c r="M43" s="13"/>
      <c r="N43" s="6"/>
      <c r="O43" s="6"/>
      <c r="P43" s="6"/>
      <c r="Q43" s="6"/>
      <c r="R43" s="6"/>
      <c r="S43" s="6"/>
      <c r="T43" s="6"/>
      <c r="U43" s="6"/>
      <c r="V43" s="6"/>
    </row>
    <row r="44" spans="2:22" ht="18" customHeight="1" thickBot="1" x14ac:dyDescent="0.4">
      <c r="B44" s="150" t="s">
        <v>105</v>
      </c>
      <c r="C44" s="151"/>
      <c r="D44" s="151"/>
      <c r="E44" s="152"/>
      <c r="F44" s="13"/>
      <c r="G44" s="13"/>
      <c r="H44" s="13"/>
      <c r="I44" s="13"/>
      <c r="J44" s="13"/>
      <c r="K44" s="13"/>
      <c r="L44" s="13"/>
      <c r="M44" s="13"/>
      <c r="O44" s="6"/>
      <c r="P44" s="6"/>
      <c r="Q44" s="6"/>
      <c r="R44" s="6"/>
      <c r="S44" s="6"/>
      <c r="T44" s="6"/>
      <c r="U44" s="6"/>
      <c r="V44" s="6"/>
    </row>
    <row r="45" spans="2:22" ht="22.5" customHeight="1" x14ac:dyDescent="0.3">
      <c r="B45" s="53" t="s">
        <v>196</v>
      </c>
      <c r="C45" s="8"/>
      <c r="D45" s="102" t="s">
        <v>54</v>
      </c>
      <c r="E45" s="66">
        <v>260</v>
      </c>
      <c r="F45" s="13"/>
      <c r="G45" s="13"/>
      <c r="H45" s="13"/>
      <c r="I45" s="13"/>
      <c r="J45" s="13"/>
      <c r="K45" s="13"/>
      <c r="L45" s="13"/>
      <c r="M45" s="13"/>
    </row>
    <row r="46" spans="2:22" ht="18" customHeight="1" x14ac:dyDescent="0.3">
      <c r="B46" s="53" t="s">
        <v>243</v>
      </c>
      <c r="C46" s="64"/>
      <c r="D46" s="102" t="s">
        <v>54</v>
      </c>
      <c r="E46" s="66">
        <v>450</v>
      </c>
      <c r="F46" s="13"/>
      <c r="G46" s="13"/>
      <c r="H46" s="13"/>
      <c r="I46" s="13"/>
      <c r="J46" s="13"/>
      <c r="K46" s="13"/>
      <c r="L46" s="13"/>
      <c r="M46" s="13"/>
    </row>
    <row r="47" spans="2:22" ht="18" customHeight="1" x14ac:dyDescent="0.3">
      <c r="B47" s="53" t="s">
        <v>106</v>
      </c>
      <c r="C47" s="65"/>
      <c r="D47" s="102" t="s">
        <v>54</v>
      </c>
      <c r="E47" s="66">
        <v>5.35</v>
      </c>
      <c r="F47" s="13"/>
      <c r="G47" s="13"/>
      <c r="H47" s="13"/>
      <c r="I47" s="13"/>
      <c r="J47" s="13"/>
      <c r="K47" s="13"/>
      <c r="L47" s="13"/>
      <c r="M47" s="13"/>
    </row>
    <row r="48" spans="2:22" ht="18" customHeight="1" x14ac:dyDescent="0.3">
      <c r="B48" s="53" t="s">
        <v>107</v>
      </c>
      <c r="C48" s="65"/>
      <c r="D48" s="102" t="s">
        <v>54</v>
      </c>
      <c r="E48" s="66">
        <v>13.25</v>
      </c>
      <c r="F48" s="13"/>
      <c r="G48" s="13"/>
      <c r="H48" s="13"/>
      <c r="I48" s="13"/>
      <c r="J48" s="13"/>
      <c r="K48" s="13"/>
      <c r="L48" s="13"/>
      <c r="M48" s="13"/>
    </row>
    <row r="49" spans="2:13" ht="18" customHeight="1" x14ac:dyDescent="0.3">
      <c r="B49" s="53" t="s">
        <v>108</v>
      </c>
      <c r="C49" s="103">
        <v>0.6</v>
      </c>
      <c r="D49" s="102" t="s">
        <v>109</v>
      </c>
      <c r="E49" s="66">
        <v>5.7</v>
      </c>
      <c r="F49" s="13"/>
      <c r="G49" s="13"/>
      <c r="H49" s="13"/>
      <c r="I49" s="13"/>
      <c r="J49" s="13"/>
      <c r="K49" s="13"/>
      <c r="L49" s="13"/>
      <c r="M49" s="13"/>
    </row>
    <row r="50" spans="2:13" ht="18" customHeight="1" x14ac:dyDescent="0.3">
      <c r="B50" s="53" t="s">
        <v>110</v>
      </c>
      <c r="C50" s="64"/>
      <c r="D50" s="102" t="s">
        <v>54</v>
      </c>
      <c r="E50" s="66">
        <v>200</v>
      </c>
      <c r="F50" s="13"/>
      <c r="G50" s="13"/>
      <c r="H50" s="13"/>
      <c r="I50" s="13"/>
      <c r="J50" s="13"/>
      <c r="K50" s="13"/>
      <c r="L50" s="13"/>
      <c r="M50" s="13"/>
    </row>
    <row r="51" spans="2:13" ht="18" customHeight="1" x14ac:dyDescent="0.3">
      <c r="B51" s="53" t="s">
        <v>111</v>
      </c>
      <c r="C51" s="64"/>
      <c r="D51" s="102" t="s">
        <v>54</v>
      </c>
      <c r="E51" s="66">
        <v>210</v>
      </c>
      <c r="F51" s="13"/>
      <c r="G51" s="13"/>
      <c r="H51" s="13"/>
      <c r="I51" s="13"/>
      <c r="J51" s="13"/>
      <c r="K51" s="13"/>
      <c r="L51" s="13"/>
      <c r="M51" s="13"/>
    </row>
    <row r="52" spans="2:13" ht="18" customHeight="1" x14ac:dyDescent="0.3">
      <c r="B52" s="53" t="s">
        <v>112</v>
      </c>
      <c r="C52" s="64"/>
      <c r="D52" s="102" t="s">
        <v>54</v>
      </c>
      <c r="E52" s="66">
        <v>250</v>
      </c>
      <c r="F52" s="13"/>
      <c r="G52" s="13"/>
      <c r="H52" s="13"/>
      <c r="I52" s="13"/>
      <c r="J52" s="13"/>
      <c r="K52" s="13"/>
      <c r="L52" s="13"/>
      <c r="M52" s="13"/>
    </row>
    <row r="53" spans="2:13" ht="18" customHeight="1" x14ac:dyDescent="0.3">
      <c r="B53" s="53" t="s">
        <v>113</v>
      </c>
      <c r="C53" s="64"/>
      <c r="D53" s="102" t="s">
        <v>54</v>
      </c>
      <c r="E53" s="66">
        <v>450</v>
      </c>
      <c r="F53" s="13"/>
      <c r="G53" s="13"/>
      <c r="H53" s="13"/>
      <c r="I53" s="13"/>
      <c r="J53" s="13"/>
      <c r="K53" s="13"/>
      <c r="L53" s="13"/>
      <c r="M53" s="13"/>
    </row>
    <row r="54" spans="2:13" ht="18" customHeight="1" x14ac:dyDescent="0.3">
      <c r="B54" s="53" t="s">
        <v>215</v>
      </c>
      <c r="C54" s="64"/>
      <c r="D54" s="102" t="s">
        <v>114</v>
      </c>
      <c r="E54" s="66">
        <v>25</v>
      </c>
      <c r="F54" s="13"/>
      <c r="G54" s="13"/>
      <c r="H54" s="13"/>
      <c r="I54" s="13"/>
      <c r="J54" s="13"/>
      <c r="K54" s="13"/>
      <c r="L54" s="13"/>
      <c r="M54" s="13"/>
    </row>
    <row r="55" spans="2:13" ht="18" customHeight="1" x14ac:dyDescent="0.3">
      <c r="B55" s="53" t="s">
        <v>116</v>
      </c>
      <c r="C55" s="64"/>
      <c r="D55" s="102" t="s">
        <v>117</v>
      </c>
      <c r="E55" s="66">
        <v>20</v>
      </c>
      <c r="F55" s="13"/>
      <c r="G55" s="13"/>
      <c r="H55" s="13"/>
      <c r="I55" s="13"/>
      <c r="J55" s="13"/>
      <c r="K55" s="13"/>
      <c r="L55" s="13"/>
    </row>
    <row r="56" spans="2:13" ht="18" customHeight="1" thickBot="1" x14ac:dyDescent="0.4">
      <c r="B56" s="150"/>
      <c r="C56" s="151"/>
      <c r="D56" s="151"/>
      <c r="E56" s="152"/>
      <c r="F56" s="13"/>
      <c r="G56" s="13"/>
      <c r="H56" s="13"/>
      <c r="I56" s="13"/>
      <c r="J56" s="13"/>
      <c r="K56" s="13"/>
      <c r="L56" s="13"/>
    </row>
    <row r="57" spans="2:13" ht="18" customHeight="1" x14ac:dyDescent="0.3">
      <c r="B57" s="7"/>
      <c r="E57" s="32"/>
      <c r="F57" s="13"/>
      <c r="G57" s="13"/>
      <c r="H57" s="13"/>
      <c r="I57" s="13"/>
      <c r="J57" s="13"/>
      <c r="K57" s="13"/>
      <c r="L57" s="13"/>
    </row>
    <row r="58" spans="2:13" ht="22.5" customHeight="1" x14ac:dyDescent="0.3">
      <c r="B58" s="7"/>
      <c r="E58" s="32"/>
      <c r="H58" s="13"/>
      <c r="I58" s="13"/>
      <c r="J58" s="13"/>
      <c r="K58" s="13"/>
      <c r="L58" s="13"/>
    </row>
    <row r="59" spans="2:13" ht="22.5" customHeight="1" x14ac:dyDescent="0.3">
      <c r="B59" s="7"/>
      <c r="E59" s="32"/>
    </row>
    <row r="60" spans="2:13" ht="22.5" customHeight="1" x14ac:dyDescent="0.3">
      <c r="B60" s="7"/>
      <c r="E60" s="32"/>
    </row>
    <row r="61" spans="2:13" ht="22.5" customHeight="1" x14ac:dyDescent="0.3">
      <c r="B61" s="7"/>
      <c r="E61" s="32"/>
    </row>
  </sheetData>
  <sheetProtection sheet="1" objects="1" scenarios="1"/>
  <protectedRanges>
    <protectedRange sqref="B10 E12:E30 E32:E43 E45:E55 I5:M5 E4:E10" name="grey cells"/>
  </protectedRanges>
  <mergeCells count="8">
    <mergeCell ref="H2:N2"/>
    <mergeCell ref="B56:E56"/>
    <mergeCell ref="B1:E1"/>
    <mergeCell ref="B3:E3"/>
    <mergeCell ref="B11:E11"/>
    <mergeCell ref="B31:E31"/>
    <mergeCell ref="B44:E44"/>
    <mergeCell ref="H9:N10"/>
  </mergeCells>
  <phoneticPr fontId="16" type="noConversion"/>
  <dataValidations disablePrompts="1" count="1">
    <dataValidation allowBlank="1" showInputMessage="1" showErrorMessage="1" prompt="If you wish to use a type of corner post not listed, enter it here" sqref="B10" xr:uid="{496C0D63-FF0B-4224-B701-83C6211F9BE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B202-7D41-4A40-BCDF-433426DFC044}">
  <dimension ref="A1:R28"/>
  <sheetViews>
    <sheetView showGridLines="0" workbookViewId="0">
      <selection activeCell="B20" sqref="B20"/>
    </sheetView>
  </sheetViews>
  <sheetFormatPr defaultColWidth="0" defaultRowHeight="16.5" zeroHeight="1" x14ac:dyDescent="0.3"/>
  <cols>
    <col min="1" max="1" width="9.140625" style="6" customWidth="1"/>
    <col min="2" max="2" width="31.5703125" style="6" bestFit="1" customWidth="1"/>
    <col min="3" max="3" width="24.85546875" style="6" customWidth="1"/>
    <col min="4" max="4" width="10" style="6" bestFit="1" customWidth="1"/>
    <col min="5" max="5" width="10.85546875" style="6" bestFit="1" customWidth="1"/>
    <col min="6" max="6" width="9.28515625" style="6" bestFit="1" customWidth="1"/>
    <col min="7" max="7" width="13.140625" style="6" bestFit="1" customWidth="1"/>
    <col min="8" max="8" width="14.5703125" style="6" bestFit="1" customWidth="1"/>
    <col min="9" max="9" width="12.7109375" style="6" bestFit="1" customWidth="1"/>
    <col min="10" max="10" width="9.28515625" style="6" hidden="1" customWidth="1"/>
    <col min="11" max="13" width="9.140625" style="6" hidden="1" customWidth="1"/>
    <col min="14" max="14" width="24.140625" style="6" hidden="1" customWidth="1"/>
    <col min="15" max="18" width="0" style="6" hidden="1" customWidth="1"/>
    <col min="19" max="16384" width="9.140625" style="6" hidden="1"/>
  </cols>
  <sheetData>
    <row r="1" spans="2:18" ht="20.25" x14ac:dyDescent="0.35">
      <c r="B1" s="165" t="s">
        <v>224</v>
      </c>
      <c r="C1" s="166"/>
      <c r="D1" s="166"/>
      <c r="E1" s="166"/>
      <c r="F1" s="166"/>
      <c r="G1" s="166"/>
      <c r="H1" s="167"/>
      <c r="I1" s="13"/>
      <c r="J1" s="13"/>
      <c r="K1" s="13"/>
      <c r="L1" s="13"/>
      <c r="M1" s="13"/>
      <c r="N1" s="13"/>
      <c r="O1" s="13"/>
      <c r="P1" s="13"/>
      <c r="Q1" s="13"/>
      <c r="R1" s="13"/>
    </row>
    <row r="2" spans="2:18" x14ac:dyDescent="0.3">
      <c r="B2" s="51" t="s">
        <v>163</v>
      </c>
      <c r="C2" s="29" t="s">
        <v>118</v>
      </c>
      <c r="D2" s="29" t="s">
        <v>119</v>
      </c>
      <c r="E2" s="29" t="s">
        <v>120</v>
      </c>
      <c r="F2" s="29"/>
      <c r="G2" s="29" t="s">
        <v>121</v>
      </c>
      <c r="H2" s="41" t="s">
        <v>46</v>
      </c>
      <c r="I2" s="30"/>
      <c r="J2" s="168" t="s">
        <v>122</v>
      </c>
      <c r="K2" s="168"/>
      <c r="L2" s="38" t="s">
        <v>123</v>
      </c>
      <c r="M2" s="13"/>
      <c r="N2" s="13"/>
      <c r="O2" s="13"/>
      <c r="P2" s="13"/>
      <c r="Q2" s="13"/>
      <c r="R2" s="13"/>
    </row>
    <row r="3" spans="2:18" x14ac:dyDescent="0.3">
      <c r="B3" s="20" t="s">
        <v>228</v>
      </c>
      <c r="C3" s="6" t="str">
        <f>Project!C4</f>
        <v>3 1/2" x 8' pipe</v>
      </c>
      <c r="D3" s="6">
        <f>SUM(Project!F30:F32,Project!F34)</f>
        <v>7</v>
      </c>
      <c r="E3" s="6" t="s">
        <v>47</v>
      </c>
      <c r="G3" s="43">
        <f>VLOOKUP(C3,'Material prices'!B4:E10,4,FALSE)</f>
        <v>52</v>
      </c>
      <c r="H3" s="78">
        <f>D3*G3</f>
        <v>364</v>
      </c>
      <c r="I3" s="13"/>
      <c r="J3" s="38" t="s">
        <v>124</v>
      </c>
      <c r="K3" s="38">
        <v>12</v>
      </c>
      <c r="L3" s="38"/>
      <c r="M3" s="13"/>
      <c r="N3" s="13"/>
      <c r="O3" s="13"/>
      <c r="P3" s="13"/>
      <c r="Q3" s="13"/>
      <c r="R3" s="13"/>
    </row>
    <row r="4" spans="2:18" x14ac:dyDescent="0.3">
      <c r="B4" s="20" t="s">
        <v>125</v>
      </c>
      <c r="C4" s="6" t="str">
        <f>Project!C5</f>
        <v>pipe h-bracing</v>
      </c>
      <c r="D4" s="6">
        <f>Project!F33</f>
        <v>3</v>
      </c>
      <c r="E4" s="6" t="s">
        <v>245</v>
      </c>
      <c r="G4" s="52">
        <f>IFERROR(H4/D4,"N/A")</f>
        <v>67.839999999999989</v>
      </c>
      <c r="H4" s="78">
        <f>IFERROR(VLOOKUP(C4,Project!K27:O32,5,FALSE),"N/A")</f>
        <v>203.51999999999998</v>
      </c>
      <c r="I4" s="13"/>
      <c r="J4" s="38" t="s">
        <v>126</v>
      </c>
      <c r="K4" s="38">
        <v>7</v>
      </c>
      <c r="L4" s="38"/>
      <c r="M4" s="13"/>
      <c r="N4" s="13"/>
      <c r="O4" s="13"/>
      <c r="P4" s="13"/>
      <c r="Q4" s="13"/>
      <c r="R4" s="13"/>
    </row>
    <row r="5" spans="2:18" x14ac:dyDescent="0.3">
      <c r="B5" s="20" t="s">
        <v>127</v>
      </c>
      <c r="C5" s="6" t="str">
        <f>'Material prices'!B49</f>
        <v>Pre-mix cement</v>
      </c>
      <c r="D5" s="45">
        <f>Project!H35</f>
        <v>29</v>
      </c>
      <c r="E5" s="6" t="s">
        <v>128</v>
      </c>
      <c r="G5" s="43">
        <f>'Material prices'!E49</f>
        <v>5.7</v>
      </c>
      <c r="H5" s="78">
        <f>D5*G5</f>
        <v>165.3</v>
      </c>
      <c r="I5" s="13"/>
      <c r="J5" s="38"/>
      <c r="K5" s="38"/>
      <c r="L5" s="38"/>
      <c r="M5" s="13"/>
      <c r="N5" s="13"/>
      <c r="O5" s="13"/>
      <c r="P5" s="13"/>
      <c r="Q5" s="13"/>
      <c r="R5" s="13"/>
    </row>
    <row r="6" spans="2:18" x14ac:dyDescent="0.3">
      <c r="B6" s="20" t="s">
        <v>129</v>
      </c>
      <c r="C6" s="6" t="str">
        <f>Project!C11&amp;"' pipe gate"</f>
        <v>20' pipe gate</v>
      </c>
      <c r="D6" s="6">
        <f>Project!C10</f>
        <v>1</v>
      </c>
      <c r="E6" s="6" t="s">
        <v>172</v>
      </c>
      <c r="G6" s="43">
        <f>IFERROR(VLOOKUP(C6,'Material prices'!$B$50:$E$53,4,FALSE),"")</f>
        <v>450</v>
      </c>
      <c r="H6" s="78">
        <f>IFERROR(D6*G6,"")</f>
        <v>450</v>
      </c>
      <c r="I6" s="13"/>
      <c r="J6" s="13"/>
      <c r="K6" s="13"/>
      <c r="L6" s="13"/>
      <c r="M6" s="13"/>
      <c r="N6" s="13"/>
      <c r="O6" s="13"/>
      <c r="P6" s="13"/>
      <c r="Q6" s="13"/>
      <c r="R6" s="13"/>
    </row>
    <row r="7" spans="2:18" x14ac:dyDescent="0.3">
      <c r="B7" s="20" t="s">
        <v>130</v>
      </c>
      <c r="C7" s="6" t="str">
        <f>Project!C15&amp;"' pipe gate"</f>
        <v>' pipe gate</v>
      </c>
      <c r="D7" s="6">
        <f>Project!C14</f>
        <v>0</v>
      </c>
      <c r="E7" s="6" t="s">
        <v>172</v>
      </c>
      <c r="G7" s="43" t="str">
        <f>IFERROR(VLOOKUP(C7,'Material prices'!$B$50:$E$53,4,FALSE),"")</f>
        <v/>
      </c>
      <c r="H7" s="78" t="str">
        <f>IFERROR(D7*G7,"")</f>
        <v/>
      </c>
      <c r="I7" s="13"/>
      <c r="J7" s="13"/>
      <c r="K7" s="13"/>
      <c r="L7" s="13"/>
      <c r="M7" s="13"/>
      <c r="N7" s="13"/>
      <c r="O7" s="13"/>
      <c r="P7" s="13"/>
      <c r="Q7" s="13"/>
      <c r="R7" s="13"/>
    </row>
    <row r="8" spans="2:18" x14ac:dyDescent="0.3">
      <c r="B8" s="20" t="s">
        <v>131</v>
      </c>
      <c r="C8" s="6" t="s">
        <v>132</v>
      </c>
      <c r="D8" s="6">
        <f>ROUNDUP((Project!C2-SUM(Project!C11*Project!C10,Project!C15*Project!C14))/'Material prices'!C40,0)</f>
        <v>4</v>
      </c>
      <c r="E8" s="6" t="s">
        <v>133</v>
      </c>
      <c r="G8" s="43">
        <f>'Material prices'!E40</f>
        <v>260</v>
      </c>
      <c r="H8" s="78">
        <f t="shared" ref="H8:H12" si="0">D8*G8</f>
        <v>1040</v>
      </c>
      <c r="I8" s="13"/>
      <c r="J8" s="13"/>
      <c r="K8" s="13"/>
      <c r="L8" s="13"/>
      <c r="M8" s="13"/>
      <c r="N8" s="13"/>
      <c r="O8" s="13"/>
      <c r="P8" s="13"/>
      <c r="Q8" s="13"/>
      <c r="R8" s="13"/>
    </row>
    <row r="9" spans="2:18" x14ac:dyDescent="0.3">
      <c r="B9" s="20" t="s">
        <v>134</v>
      </c>
      <c r="C9" s="6" t="s">
        <v>135</v>
      </c>
      <c r="D9" s="6">
        <f>ROUNDUP((Project!C2-SUM(Project!C11*Project!C10,Project!C15*Project!C14))/'Material prices'!C32,0)</f>
        <v>1</v>
      </c>
      <c r="E9" s="6" t="s">
        <v>133</v>
      </c>
      <c r="G9" s="43">
        <f>'Material prices'!E32</f>
        <v>130</v>
      </c>
      <c r="H9" s="78">
        <f t="shared" si="0"/>
        <v>130</v>
      </c>
      <c r="I9" s="13"/>
      <c r="J9" s="13"/>
      <c r="K9" s="13"/>
      <c r="L9" s="13"/>
      <c r="M9" s="13"/>
      <c r="N9" s="13"/>
      <c r="O9" s="13"/>
      <c r="P9" s="13"/>
      <c r="Q9" s="13"/>
      <c r="R9" s="13"/>
    </row>
    <row r="10" spans="2:18" x14ac:dyDescent="0.3">
      <c r="B10" s="20" t="s">
        <v>136</v>
      </c>
      <c r="C10" s="6" t="str">
        <f>Project!C18</f>
        <v>1.33 x 6' T-post</v>
      </c>
      <c r="D10" s="6">
        <f>ROUNDUP(Project!C2/100*Project!C19,0)</f>
        <v>132</v>
      </c>
      <c r="E10" s="6" t="s">
        <v>47</v>
      </c>
      <c r="G10" s="43">
        <f>VLOOKUP(C10,'Material prices'!$B$14:$E$27,4,FALSE)</f>
        <v>6</v>
      </c>
      <c r="H10" s="78">
        <f t="shared" si="0"/>
        <v>792</v>
      </c>
      <c r="I10" s="13"/>
      <c r="J10" s="13"/>
      <c r="K10" s="13"/>
      <c r="L10" s="13"/>
      <c r="M10" s="13"/>
      <c r="N10" s="13"/>
      <c r="O10" s="13"/>
      <c r="P10" s="13"/>
      <c r="Q10" s="13"/>
      <c r="R10" s="13"/>
    </row>
    <row r="11" spans="2:18" x14ac:dyDescent="0.3">
      <c r="B11" s="20" t="s">
        <v>137</v>
      </c>
      <c r="C11" s="6" t="str">
        <f>Project!C21</f>
        <v>Single post type</v>
      </c>
      <c r="D11" s="6">
        <f>ROUNDUP(Project!C2/100*Project!C22,0)</f>
        <v>0</v>
      </c>
      <c r="E11" s="6" t="s">
        <v>47</v>
      </c>
      <c r="G11" s="43" t="str">
        <f>IFERROR(VLOOKUP(C11,'Material prices'!$B$14:$E$27,4,FALSE),"")</f>
        <v/>
      </c>
      <c r="H11" s="78" t="str">
        <f>IFERROR(D11*G11,"")</f>
        <v/>
      </c>
      <c r="I11" s="13"/>
      <c r="J11" s="13"/>
      <c r="K11" s="13"/>
      <c r="L11" s="13"/>
      <c r="M11" s="13"/>
      <c r="N11" s="13"/>
      <c r="O11" s="13"/>
      <c r="P11" s="13"/>
      <c r="Q11" s="13"/>
      <c r="R11" s="13"/>
    </row>
    <row r="12" spans="2:18" x14ac:dyDescent="0.3">
      <c r="B12" s="20" t="s">
        <v>138</v>
      </c>
      <c r="C12" s="6" t="str">
        <f>VLOOKUP(C10,'Material prices'!$B$4:$F$19,5,FALSE)</f>
        <v>T-post clips</v>
      </c>
      <c r="D12" s="6">
        <f>ROUNDUP(D10*K4/(VLOOKUP(C12,'Material prices'!$I$21:$K$23,2,FALSE)),0)</f>
        <v>10</v>
      </c>
      <c r="E12" s="6" t="str">
        <f>VLOOKUP(C10,Project!$O$6:$Q$12,3,FALSE)</f>
        <v>bags</v>
      </c>
      <c r="G12" s="43">
        <f>VLOOKUP(C12,'Material prices'!$B$14:$E$27,4,FALSE)</f>
        <v>9</v>
      </c>
      <c r="H12" s="78">
        <f t="shared" si="0"/>
        <v>90</v>
      </c>
      <c r="I12" s="13"/>
      <c r="J12" s="13"/>
      <c r="K12" s="13"/>
      <c r="L12" s="13"/>
      <c r="M12" s="13"/>
      <c r="N12" s="13"/>
      <c r="O12" s="13"/>
      <c r="P12" s="13"/>
      <c r="Q12" s="13"/>
      <c r="R12" s="13"/>
    </row>
    <row r="13" spans="2:18" x14ac:dyDescent="0.3">
      <c r="B13" s="20"/>
      <c r="C13" s="6" t="str">
        <f>IFERROR(VLOOKUP(C11,'Material prices'!$B$4:$F$19,5,FALSE),"")</f>
        <v/>
      </c>
      <c r="D13" s="6" t="str">
        <f>IFERROR(ROUNDUP(D11*K4/(VLOOKUP(C13,'Material prices'!$I$21:$K$23,2,FALSE)),0),"")</f>
        <v/>
      </c>
      <c r="E13" s="6" t="str">
        <f>IFERROR(VLOOKUP(C11,Project!$O$6:$Q$12,3,FALSE),"")</f>
        <v/>
      </c>
      <c r="G13" s="43" t="str">
        <f>IFERROR(VLOOKUP(C13,'Material prices'!$B$14:$E$27,4,FALSE),"")</f>
        <v/>
      </c>
      <c r="H13" s="78" t="str">
        <f>IFERROR(D13*G13,"")</f>
        <v/>
      </c>
      <c r="I13" s="13"/>
      <c r="J13" s="13"/>
      <c r="K13" s="13"/>
      <c r="L13" s="13"/>
      <c r="M13" s="13"/>
      <c r="N13" s="13"/>
      <c r="O13" s="13"/>
      <c r="P13" s="13"/>
      <c r="Q13" s="13"/>
      <c r="R13" s="13"/>
    </row>
    <row r="14" spans="2:18" x14ac:dyDescent="0.3">
      <c r="B14" s="20" t="s">
        <v>231</v>
      </c>
      <c r="C14" s="6" t="str">
        <f>VLOOKUP(C3,'Material prices'!$B$4:$F$19,5,FALSE)</f>
        <v>Pipe post wire clips</v>
      </c>
      <c r="D14" s="6">
        <f>IFERROR(ROUNDUP(D3*K3/(VLOOKUP(C14,'Material prices'!$I$22:$K$24,2,FALSE)),0),"")</f>
        <v>1</v>
      </c>
      <c r="E14" s="6" t="str">
        <f>IFERROR(VLOOKUP(C14,Project!P6:Q12,2,FALSE),"")</f>
        <v>bags</v>
      </c>
      <c r="G14" s="43">
        <f>IFERROR(VLOOKUP(C14,'Material prices'!$B$14:$E$27,4,FALSE),"")</f>
        <v>20</v>
      </c>
      <c r="H14" s="78">
        <f>IFERROR(D14*G14,"")</f>
        <v>20</v>
      </c>
      <c r="I14" s="13"/>
      <c r="J14" s="13"/>
      <c r="K14" s="13"/>
      <c r="L14" s="13"/>
      <c r="M14" s="13"/>
      <c r="N14" s="13"/>
      <c r="O14" s="13"/>
      <c r="P14" s="13"/>
      <c r="Q14" s="13"/>
      <c r="R14" s="13"/>
    </row>
    <row r="15" spans="2:18" x14ac:dyDescent="0.3">
      <c r="B15" s="20" t="s">
        <v>215</v>
      </c>
      <c r="C15" s="6" t="s">
        <v>214</v>
      </c>
      <c r="D15" s="46">
        <f>D16</f>
        <v>44.1</v>
      </c>
      <c r="E15" s="6" t="s">
        <v>139</v>
      </c>
      <c r="G15" s="43">
        <f>'Material prices'!E54</f>
        <v>25</v>
      </c>
      <c r="H15" s="78">
        <f>D15*G15</f>
        <v>1102.5</v>
      </c>
      <c r="I15" s="13"/>
      <c r="J15" s="13"/>
      <c r="K15" s="13"/>
      <c r="L15" s="13"/>
      <c r="M15" s="13"/>
      <c r="N15" s="13"/>
      <c r="O15" s="13"/>
      <c r="P15" s="13"/>
      <c r="Q15" s="13"/>
      <c r="R15" s="13"/>
    </row>
    <row r="16" spans="2:18" x14ac:dyDescent="0.3">
      <c r="B16" s="55" t="s">
        <v>140</v>
      </c>
      <c r="C16" s="25"/>
      <c r="D16" s="26">
        <f>Project!$C$2/5280*VLOOKUP(Project!$C$23,'Material prices'!$H$3:$N$8,2,FALSE)</f>
        <v>44.1</v>
      </c>
      <c r="E16" s="25" t="s">
        <v>141</v>
      </c>
      <c r="F16" s="25"/>
      <c r="G16" s="31">
        <f>'Material prices'!E55</f>
        <v>20</v>
      </c>
      <c r="H16" s="79">
        <f>D16*G16</f>
        <v>882</v>
      </c>
      <c r="I16" s="13"/>
      <c r="J16" s="13"/>
      <c r="K16" s="13"/>
      <c r="L16" s="13"/>
      <c r="M16" s="13"/>
      <c r="N16" s="13"/>
      <c r="O16" s="13"/>
      <c r="P16" s="13"/>
      <c r="Q16" s="13"/>
      <c r="R16" s="13"/>
    </row>
    <row r="17" spans="2:18" x14ac:dyDescent="0.3">
      <c r="B17" s="20"/>
      <c r="D17" s="46"/>
      <c r="F17" s="48"/>
      <c r="G17" s="49" t="s">
        <v>142</v>
      </c>
      <c r="H17" s="50" t="s">
        <v>143</v>
      </c>
      <c r="I17" s="13"/>
      <c r="J17" s="13"/>
      <c r="K17" s="13"/>
      <c r="L17" s="13"/>
      <c r="M17" s="13"/>
      <c r="N17" s="13"/>
      <c r="O17" s="13"/>
      <c r="P17" s="13"/>
      <c r="Q17" s="13"/>
      <c r="R17" s="13"/>
    </row>
    <row r="18" spans="2:18" x14ac:dyDescent="0.3">
      <c r="B18" s="55" t="s">
        <v>144</v>
      </c>
      <c r="D18" s="46"/>
      <c r="E18" s="169" t="s">
        <v>145</v>
      </c>
      <c r="F18" s="169"/>
      <c r="G18" s="104">
        <f>SUM(H15:H16)</f>
        <v>1984.5</v>
      </c>
      <c r="H18" s="105">
        <f>G18/Project!$C$2</f>
        <v>1.5034090909090909</v>
      </c>
      <c r="I18" s="13"/>
      <c r="J18" s="13"/>
      <c r="K18" s="13"/>
      <c r="L18" s="13"/>
      <c r="M18" s="13"/>
      <c r="N18" s="13"/>
      <c r="O18" s="13"/>
      <c r="P18" s="13"/>
      <c r="Q18" s="13"/>
      <c r="R18" s="13"/>
    </row>
    <row r="19" spans="2:18" x14ac:dyDescent="0.3">
      <c r="B19" s="56">
        <f>VLOOKUP(Project!C23,'Material prices'!H4:N8,7,FALSE)-1</f>
        <v>5.0000000000000044E-2</v>
      </c>
      <c r="C19" s="6" t="s">
        <v>146</v>
      </c>
      <c r="D19" s="46"/>
      <c r="E19" s="169" t="s">
        <v>147</v>
      </c>
      <c r="F19" s="169"/>
      <c r="G19" s="104">
        <f>SUM(H3:H14)</f>
        <v>3254.8199999999997</v>
      </c>
      <c r="H19" s="105">
        <f>G19/Project!$C$2</f>
        <v>2.4657727272727272</v>
      </c>
      <c r="I19" s="13"/>
      <c r="J19" s="13"/>
      <c r="K19" s="13"/>
      <c r="L19" s="13"/>
      <c r="M19" s="13"/>
      <c r="N19" s="13"/>
      <c r="O19" s="13"/>
      <c r="P19" s="13"/>
      <c r="Q19" s="13"/>
      <c r="R19" s="13"/>
    </row>
    <row r="20" spans="2:18" x14ac:dyDescent="0.3">
      <c r="B20" s="55"/>
      <c r="C20" s="25"/>
      <c r="D20" s="26"/>
      <c r="E20" s="170" t="s">
        <v>142</v>
      </c>
      <c r="F20" s="170"/>
      <c r="G20" s="106">
        <f>SUM(G18:G19)</f>
        <v>5239.32</v>
      </c>
      <c r="H20" s="107">
        <f>G20/Project!$C$2</f>
        <v>3.9691818181818181</v>
      </c>
      <c r="I20" s="13"/>
      <c r="J20" s="13"/>
      <c r="K20" s="13"/>
      <c r="L20" s="13"/>
      <c r="M20" s="13"/>
      <c r="N20" s="13"/>
      <c r="O20" s="13"/>
      <c r="P20" s="13"/>
      <c r="Q20" s="13"/>
      <c r="R20" s="13"/>
    </row>
    <row r="21" spans="2:18" ht="27.75" customHeight="1" x14ac:dyDescent="0.3">
      <c r="B21" s="20"/>
      <c r="E21" s="164" t="s">
        <v>148</v>
      </c>
      <c r="F21" s="164"/>
      <c r="G21" s="110">
        <f>G19*(B19+1)+G18</f>
        <v>5402.0609999999997</v>
      </c>
      <c r="H21" s="111">
        <f>G21/Project!$C$2</f>
        <v>4.0924704545454542</v>
      </c>
      <c r="I21" s="13"/>
      <c r="J21" s="13"/>
      <c r="K21" s="13"/>
      <c r="L21" s="13"/>
      <c r="M21" s="13"/>
      <c r="N21" s="13"/>
      <c r="O21" s="13"/>
      <c r="P21" s="13"/>
      <c r="Q21" s="13"/>
      <c r="R21" s="13"/>
    </row>
    <row r="22" spans="2:18" ht="21" customHeight="1" x14ac:dyDescent="0.3">
      <c r="B22" s="158" t="s">
        <v>149</v>
      </c>
      <c r="C22" s="159"/>
      <c r="D22" s="159"/>
      <c r="E22" s="159"/>
      <c r="F22" s="159"/>
      <c r="G22" s="159"/>
      <c r="H22" s="160"/>
      <c r="I22" s="13"/>
      <c r="J22" s="13"/>
      <c r="K22" s="13"/>
      <c r="L22" s="13"/>
      <c r="M22" s="13"/>
      <c r="N22" s="13"/>
      <c r="O22" s="13"/>
      <c r="P22" s="13"/>
      <c r="Q22" s="13"/>
      <c r="R22" s="13"/>
    </row>
    <row r="23" spans="2:18" x14ac:dyDescent="0.3">
      <c r="B23" s="158"/>
      <c r="C23" s="159"/>
      <c r="D23" s="159"/>
      <c r="E23" s="159"/>
      <c r="F23" s="159"/>
      <c r="G23" s="159"/>
      <c r="H23" s="160"/>
      <c r="I23" s="13"/>
      <c r="J23" s="13"/>
      <c r="K23" s="13"/>
      <c r="L23" s="13"/>
      <c r="M23" s="13"/>
      <c r="N23" s="13"/>
      <c r="O23" s="13"/>
      <c r="P23" s="13"/>
      <c r="Q23" s="13"/>
      <c r="R23" s="13"/>
    </row>
    <row r="24" spans="2:18" ht="17.25" thickBot="1" x14ac:dyDescent="0.35">
      <c r="B24" s="161"/>
      <c r="C24" s="162"/>
      <c r="D24" s="162"/>
      <c r="E24" s="162"/>
      <c r="F24" s="162"/>
      <c r="G24" s="162"/>
      <c r="H24" s="163"/>
      <c r="I24" s="13"/>
      <c r="J24" s="13"/>
      <c r="K24" s="13"/>
      <c r="L24" s="13"/>
      <c r="M24" s="13"/>
      <c r="N24" s="13"/>
      <c r="O24" s="13"/>
      <c r="P24" s="13"/>
      <c r="Q24" s="13"/>
      <c r="R24" s="13"/>
    </row>
    <row r="25" spans="2:18" x14ac:dyDescent="0.3"/>
    <row r="27" spans="2:18" hidden="1" x14ac:dyDescent="0.3">
      <c r="I27" s="6" t="s">
        <v>150</v>
      </c>
    </row>
    <row r="28" spans="2:18" x14ac:dyDescent="0.3"/>
  </sheetData>
  <sheetProtection sheet="1" objects="1" scenarios="1"/>
  <mergeCells count="7">
    <mergeCell ref="B22:H24"/>
    <mergeCell ref="E21:F21"/>
    <mergeCell ref="B1:H1"/>
    <mergeCell ref="J2:K2"/>
    <mergeCell ref="E18:F18"/>
    <mergeCell ref="E19:F19"/>
    <mergeCell ref="E20:F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8B97-E7ED-4E6A-BEB5-83CA0D4504D6}">
  <dimension ref="A1:N25"/>
  <sheetViews>
    <sheetView showGridLines="0" workbookViewId="0">
      <selection activeCell="B19" sqref="B19"/>
    </sheetView>
  </sheetViews>
  <sheetFormatPr defaultColWidth="0" defaultRowHeight="16.5" zeroHeight="1" x14ac:dyDescent="0.3"/>
  <cols>
    <col min="1" max="1" width="9.140625" style="6" customWidth="1"/>
    <col min="2" max="2" width="34.140625" style="6" bestFit="1" customWidth="1"/>
    <col min="3" max="3" width="19.5703125" style="6" bestFit="1" customWidth="1"/>
    <col min="4" max="4" width="11.7109375" style="6" bestFit="1" customWidth="1"/>
    <col min="5" max="5" width="16.28515625" style="6" bestFit="1" customWidth="1"/>
    <col min="6" max="6" width="9.28515625" style="6" bestFit="1" customWidth="1"/>
    <col min="7" max="8" width="14.5703125" style="6" bestFit="1" customWidth="1"/>
    <col min="9" max="9" width="12.7109375" style="6" bestFit="1" customWidth="1"/>
    <col min="10" max="10" width="9.28515625" style="6" hidden="1" customWidth="1"/>
    <col min="11" max="13" width="9.140625" style="6" hidden="1" customWidth="1"/>
    <col min="14" max="14" width="24.140625" style="6" hidden="1" customWidth="1"/>
    <col min="15" max="16384" width="9.140625" style="6" hidden="1"/>
  </cols>
  <sheetData>
    <row r="1" spans="2:12" ht="20.25" x14ac:dyDescent="0.35">
      <c r="B1" s="165" t="s">
        <v>227</v>
      </c>
      <c r="C1" s="166"/>
      <c r="D1" s="166"/>
      <c r="E1" s="166"/>
      <c r="F1" s="166"/>
      <c r="G1" s="166"/>
      <c r="H1" s="167"/>
    </row>
    <row r="2" spans="2:12" x14ac:dyDescent="0.3">
      <c r="B2" s="51"/>
      <c r="C2" s="29" t="s">
        <v>118</v>
      </c>
      <c r="D2" s="29" t="s">
        <v>119</v>
      </c>
      <c r="E2" s="29" t="s">
        <v>120</v>
      </c>
      <c r="F2" s="29"/>
      <c r="G2" s="29" t="s">
        <v>121</v>
      </c>
      <c r="H2" s="41" t="s">
        <v>46</v>
      </c>
      <c r="I2" s="30"/>
      <c r="J2" s="168" t="s">
        <v>122</v>
      </c>
      <c r="K2" s="168"/>
      <c r="L2" s="38" t="s">
        <v>123</v>
      </c>
    </row>
    <row r="3" spans="2:12" x14ac:dyDescent="0.3">
      <c r="B3" s="20" t="s">
        <v>228</v>
      </c>
      <c r="C3" s="6" t="str">
        <f>Project!C4</f>
        <v>3 1/2" x 8' pipe</v>
      </c>
      <c r="D3" s="6">
        <f>SUM(Project!F30:F32,Project!F34)</f>
        <v>7</v>
      </c>
      <c r="E3" s="6" t="s">
        <v>47</v>
      </c>
      <c r="G3" s="43">
        <f>VLOOKUP(C3,'Material prices'!B4:E10,4,FALSE)</f>
        <v>52</v>
      </c>
      <c r="H3" s="78">
        <f>D3*G3</f>
        <v>364</v>
      </c>
      <c r="J3" s="38" t="s">
        <v>124</v>
      </c>
      <c r="K3" s="38">
        <v>5</v>
      </c>
      <c r="L3" s="38"/>
    </row>
    <row r="4" spans="2:12" x14ac:dyDescent="0.3">
      <c r="B4" s="20" t="s">
        <v>125</v>
      </c>
      <c r="C4" s="6" t="str">
        <f>Project!C5</f>
        <v>pipe h-bracing</v>
      </c>
      <c r="D4" s="6">
        <f>Project!F33</f>
        <v>3</v>
      </c>
      <c r="E4" s="6" t="s">
        <v>245</v>
      </c>
      <c r="G4" s="52">
        <f>H4/D4</f>
        <v>67.839999999999989</v>
      </c>
      <c r="H4" s="78">
        <f>VLOOKUP(C4,Project!K27:O32,5,FALSE)</f>
        <v>203.51999999999998</v>
      </c>
      <c r="J4" s="38" t="s">
        <v>126</v>
      </c>
      <c r="K4" s="38">
        <v>5</v>
      </c>
      <c r="L4" s="38"/>
    </row>
    <row r="5" spans="2:12" x14ac:dyDescent="0.3">
      <c r="B5" s="20" t="s">
        <v>127</v>
      </c>
      <c r="C5" s="6" t="str">
        <f>'Material prices'!B49</f>
        <v>Pre-mix cement</v>
      </c>
      <c r="D5" s="45">
        <f>Project!H35</f>
        <v>29</v>
      </c>
      <c r="E5" s="6" t="s">
        <v>128</v>
      </c>
      <c r="G5" s="43">
        <f>'Material prices'!E49</f>
        <v>5.7</v>
      </c>
      <c r="H5" s="78">
        <f>D5*G5</f>
        <v>165.3</v>
      </c>
    </row>
    <row r="6" spans="2:12" x14ac:dyDescent="0.3">
      <c r="B6" s="20" t="s">
        <v>129</v>
      </c>
      <c r="C6" s="6" t="str">
        <f>Project!C11&amp;"' pipe gate"</f>
        <v>20' pipe gate</v>
      </c>
      <c r="D6" s="6">
        <f>Project!C10</f>
        <v>1</v>
      </c>
      <c r="E6" s="6" t="s">
        <v>172</v>
      </c>
      <c r="G6" s="43">
        <f>IFERROR(VLOOKUP(C6,'Material prices'!$B$50:$E$53,4,FALSE),"")</f>
        <v>450</v>
      </c>
      <c r="H6" s="78">
        <f>IFERROR(D6*G6,"")</f>
        <v>450</v>
      </c>
    </row>
    <row r="7" spans="2:12" x14ac:dyDescent="0.3">
      <c r="B7" s="20" t="s">
        <v>130</v>
      </c>
      <c r="C7" s="6" t="str">
        <f>Project!C15&amp;"' pipe gate"</f>
        <v>' pipe gate</v>
      </c>
      <c r="D7" s="6">
        <f>Project!C14</f>
        <v>0</v>
      </c>
      <c r="E7" s="6" t="s">
        <v>172</v>
      </c>
      <c r="G7" s="43" t="str">
        <f>IFERROR(VLOOKUP(C7,'Material prices'!$B$50:$E$53,4,FALSE),"")</f>
        <v/>
      </c>
      <c r="H7" s="78" t="str">
        <f>IFERROR(D7*G7,"")</f>
        <v/>
      </c>
    </row>
    <row r="8" spans="2:12" x14ac:dyDescent="0.3">
      <c r="B8" s="20" t="s">
        <v>134</v>
      </c>
      <c r="C8" s="6" t="s">
        <v>135</v>
      </c>
      <c r="D8" s="6">
        <f>ROUNDUP((Project!C2-SUM(Project!C11*Project!C10,Project!C15*Project!C14))/'Material prices'!C32*5,0)</f>
        <v>5</v>
      </c>
      <c r="E8" s="6" t="s">
        <v>133</v>
      </c>
      <c r="G8" s="43">
        <f>'Material prices'!E32</f>
        <v>130</v>
      </c>
      <c r="H8" s="78">
        <f t="shared" ref="H8:H11" si="0">D8*G8</f>
        <v>650</v>
      </c>
    </row>
    <row r="9" spans="2:12" x14ac:dyDescent="0.3">
      <c r="B9" s="20" t="s">
        <v>136</v>
      </c>
      <c r="C9" s="6" t="str">
        <f>Project!C18</f>
        <v>1.33 x 6' T-post</v>
      </c>
      <c r="D9" s="6">
        <f>ROUNDUP(Project!C2/100*Project!C19,0)</f>
        <v>132</v>
      </c>
      <c r="E9" s="6" t="s">
        <v>47</v>
      </c>
      <c r="G9" s="43">
        <f>VLOOKUP(C9,'Material prices'!$B$14:$E$27,4,FALSE)</f>
        <v>6</v>
      </c>
      <c r="H9" s="78">
        <f t="shared" si="0"/>
        <v>792</v>
      </c>
    </row>
    <row r="10" spans="2:12" x14ac:dyDescent="0.3">
      <c r="B10" s="20" t="s">
        <v>137</v>
      </c>
      <c r="C10" s="6" t="str">
        <f>Project!C21</f>
        <v>Single post type</v>
      </c>
      <c r="D10" s="6">
        <f>ROUNDUP(Project!C2/100*Project!C22,0)</f>
        <v>0</v>
      </c>
      <c r="E10" s="6" t="s">
        <v>47</v>
      </c>
      <c r="G10" s="43" t="str">
        <f>IFERROR(VLOOKUP(C10,'Material prices'!$B$14:$E$27,4,FALSE),"")</f>
        <v/>
      </c>
      <c r="H10" s="78" t="str">
        <f>IFERROR(D10*G10,"")</f>
        <v/>
      </c>
    </row>
    <row r="11" spans="2:12" x14ac:dyDescent="0.3">
      <c r="B11" s="20" t="s">
        <v>138</v>
      </c>
      <c r="C11" s="6" t="str">
        <f>VLOOKUP(C9,'Material prices'!$B$4:$F$19,5,FALSE)</f>
        <v>T-post clips</v>
      </c>
      <c r="D11" s="6">
        <f>ROUNDUP(D9*K4/(VLOOKUP(C11,'Material prices'!$I$21:$K$23,2,FALSE)),0)</f>
        <v>7</v>
      </c>
      <c r="E11" s="6" t="str">
        <f>VLOOKUP(C9,Project!$O$6:$Q$12,3,FALSE)</f>
        <v>bags</v>
      </c>
      <c r="G11" s="43">
        <f>VLOOKUP(C11,'Material prices'!$B$14:$E$27,4,FALSE)</f>
        <v>9</v>
      </c>
      <c r="H11" s="78">
        <f t="shared" si="0"/>
        <v>63</v>
      </c>
    </row>
    <row r="12" spans="2:12" x14ac:dyDescent="0.3">
      <c r="B12" s="20"/>
      <c r="C12" s="6" t="str">
        <f>IFERROR(VLOOKUP(C10,'Material prices'!$B$4:$F$19,5,FALSE),"")</f>
        <v/>
      </c>
      <c r="D12" s="6" t="str">
        <f>IFERROR(ROUNDUP(D10*K4/(VLOOKUP(C12,'Material prices'!$I$21:$K$23,2,FALSE)),0),"")</f>
        <v/>
      </c>
      <c r="E12" s="6" t="str">
        <f>IFERROR(VLOOKUP(C10,Project!$O$6:$Q$12,3,FALSE),"")</f>
        <v/>
      </c>
      <c r="G12" s="43" t="str">
        <f>IFERROR(VLOOKUP(C12,'Material prices'!$B$14:$E$27,4,FALSE),"")</f>
        <v/>
      </c>
      <c r="H12" s="78" t="str">
        <f>IFERROR(D12*G12,"")</f>
        <v/>
      </c>
    </row>
    <row r="13" spans="2:12" x14ac:dyDescent="0.3">
      <c r="B13" s="20" t="s">
        <v>231</v>
      </c>
      <c r="C13" s="6" t="str">
        <f>VLOOKUP(C3,'Material prices'!$B$4:$F$19,5,FALSE)</f>
        <v>Pipe post wire clips</v>
      </c>
      <c r="D13" s="6">
        <f>IFERROR(ROUNDUP(D3*K3/(VLOOKUP(C13,'Material prices'!$I$22:$K$24,2,FALSE)),0),"")</f>
        <v>1</v>
      </c>
      <c r="E13" s="6" t="str">
        <f>IFERROR(VLOOKUP(C13,Project!P6:Q12,2,FALSE),"")</f>
        <v>bags</v>
      </c>
      <c r="G13" s="43">
        <f>IFERROR(VLOOKUP(C13,'Material prices'!$B$14:$E$27,4,FALSE),"")</f>
        <v>20</v>
      </c>
      <c r="H13" s="78">
        <f>IFERROR(D13*G13,"")</f>
        <v>20</v>
      </c>
    </row>
    <row r="14" spans="2:12" x14ac:dyDescent="0.3">
      <c r="B14" s="20" t="s">
        <v>215</v>
      </c>
      <c r="C14" s="6" t="s">
        <v>214</v>
      </c>
      <c r="D14" s="46">
        <f>D15</f>
        <v>40.950000000000003</v>
      </c>
      <c r="E14" s="6" t="s">
        <v>139</v>
      </c>
      <c r="G14" s="43">
        <f>'Material prices'!E54</f>
        <v>25</v>
      </c>
      <c r="H14" s="78">
        <f>D14*G14</f>
        <v>1023.7500000000001</v>
      </c>
    </row>
    <row r="15" spans="2:12" x14ac:dyDescent="0.3">
      <c r="B15" s="55" t="s">
        <v>140</v>
      </c>
      <c r="C15" s="25"/>
      <c r="D15" s="26">
        <f>Project!$C$2/5280*VLOOKUP(Project!$C$23,'Material prices'!$H$3:$N$8,3,FALSE)</f>
        <v>40.950000000000003</v>
      </c>
      <c r="E15" s="25" t="s">
        <v>141</v>
      </c>
      <c r="F15" s="25"/>
      <c r="G15" s="31">
        <f>'Material prices'!E55</f>
        <v>20</v>
      </c>
      <c r="H15" s="79">
        <f>D15*G15</f>
        <v>819</v>
      </c>
    </row>
    <row r="16" spans="2:12" x14ac:dyDescent="0.3">
      <c r="B16" s="20"/>
      <c r="D16" s="46"/>
      <c r="F16" s="48"/>
      <c r="G16" s="49" t="s">
        <v>142</v>
      </c>
      <c r="H16" s="50" t="s">
        <v>143</v>
      </c>
    </row>
    <row r="17" spans="2:8" x14ac:dyDescent="0.3">
      <c r="B17" s="55" t="s">
        <v>144</v>
      </c>
      <c r="D17" s="46"/>
      <c r="E17" s="169" t="s">
        <v>145</v>
      </c>
      <c r="F17" s="169"/>
      <c r="G17" s="104">
        <f>SUM(H14:H15)</f>
        <v>1842.75</v>
      </c>
      <c r="H17" s="105">
        <f>G17/Project!$C$2</f>
        <v>1.3960227272727272</v>
      </c>
    </row>
    <row r="18" spans="2:8" x14ac:dyDescent="0.3">
      <c r="B18" s="56">
        <f>VLOOKUP(Project!C23,'Material prices'!H4:N8,7,FALSE)-1</f>
        <v>5.0000000000000044E-2</v>
      </c>
      <c r="C18" s="6" t="s">
        <v>146</v>
      </c>
      <c r="D18" s="46"/>
      <c r="E18" s="169" t="s">
        <v>147</v>
      </c>
      <c r="F18" s="169"/>
      <c r="G18" s="104">
        <f>SUM(H2:H13)</f>
        <v>2707.8199999999997</v>
      </c>
      <c r="H18" s="105">
        <f>G18/Project!$C$2</f>
        <v>2.0513787878787877</v>
      </c>
    </row>
    <row r="19" spans="2:8" x14ac:dyDescent="0.3">
      <c r="B19" s="55"/>
      <c r="C19" s="25"/>
      <c r="D19" s="26"/>
      <c r="E19" s="170" t="s">
        <v>142</v>
      </c>
      <c r="F19" s="170"/>
      <c r="G19" s="106">
        <f>SUM(G17:G18)</f>
        <v>4550.57</v>
      </c>
      <c r="H19" s="107">
        <f>G19/Project!$C$2</f>
        <v>3.4474015151515149</v>
      </c>
    </row>
    <row r="20" spans="2:8" x14ac:dyDescent="0.3">
      <c r="B20" s="20"/>
      <c r="E20" s="169" t="s">
        <v>148</v>
      </c>
      <c r="F20" s="169"/>
      <c r="G20" s="108">
        <f>G18*(B18+1)+G17</f>
        <v>4685.9609999999993</v>
      </c>
      <c r="H20" s="109">
        <f>G20/Project!$C$2</f>
        <v>3.5499704545454542</v>
      </c>
    </row>
    <row r="21" spans="2:8" x14ac:dyDescent="0.3">
      <c r="B21" s="158" t="s">
        <v>149</v>
      </c>
      <c r="C21" s="159"/>
      <c r="D21" s="159"/>
      <c r="E21" s="159"/>
      <c r="F21" s="159"/>
      <c r="G21" s="159"/>
      <c r="H21" s="160"/>
    </row>
    <row r="22" spans="2:8" x14ac:dyDescent="0.3">
      <c r="B22" s="158"/>
      <c r="C22" s="159"/>
      <c r="D22" s="159"/>
      <c r="E22" s="159"/>
      <c r="F22" s="159"/>
      <c r="G22" s="159"/>
      <c r="H22" s="160"/>
    </row>
    <row r="23" spans="2:8" ht="17.25" thickBot="1" x14ac:dyDescent="0.35">
      <c r="B23" s="161"/>
      <c r="C23" s="162"/>
      <c r="D23" s="162"/>
      <c r="E23" s="162"/>
      <c r="F23" s="162"/>
      <c r="G23" s="162"/>
      <c r="H23" s="163"/>
    </row>
    <row r="24" spans="2:8" x14ac:dyDescent="0.3"/>
    <row r="25" spans="2:8" x14ac:dyDescent="0.3"/>
  </sheetData>
  <sheetProtection sheet="1" objects="1" scenarios="1"/>
  <mergeCells count="7">
    <mergeCell ref="B21:H23"/>
    <mergeCell ref="E20:F20"/>
    <mergeCell ref="B1:H1"/>
    <mergeCell ref="J2:K2"/>
    <mergeCell ref="E17:F17"/>
    <mergeCell ref="E18:F18"/>
    <mergeCell ref="E19:F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CE9C6-3502-4171-9A3B-199E172C6870}">
  <dimension ref="A1:N30"/>
  <sheetViews>
    <sheetView showGridLines="0" workbookViewId="0">
      <selection activeCell="I11" sqref="I11"/>
    </sheetView>
  </sheetViews>
  <sheetFormatPr defaultColWidth="0" defaultRowHeight="16.5" zeroHeight="1" x14ac:dyDescent="0.3"/>
  <cols>
    <col min="1" max="1" width="9.140625" style="6" customWidth="1"/>
    <col min="2" max="2" width="34.140625" style="6" bestFit="1" customWidth="1"/>
    <col min="3" max="3" width="34.7109375" style="6" bestFit="1" customWidth="1"/>
    <col min="4" max="4" width="11.7109375" style="6" bestFit="1" customWidth="1"/>
    <col min="5" max="5" width="16.28515625" style="6" bestFit="1" customWidth="1"/>
    <col min="6" max="6" width="9.28515625" style="6" bestFit="1" customWidth="1"/>
    <col min="7" max="8" width="14.5703125" style="6" bestFit="1" customWidth="1"/>
    <col min="9" max="9" width="12.7109375" style="6" bestFit="1" customWidth="1"/>
    <col min="10" max="10" width="9.28515625" style="6" hidden="1" customWidth="1"/>
    <col min="11" max="13" width="9.140625" style="6" hidden="1" customWidth="1"/>
    <col min="14" max="14" width="24.140625" style="6" hidden="1" customWidth="1"/>
    <col min="15" max="16384" width="9.140625" style="6" hidden="1"/>
  </cols>
  <sheetData>
    <row r="1" spans="2:14" ht="20.25" x14ac:dyDescent="0.35">
      <c r="B1" s="165" t="s">
        <v>248</v>
      </c>
      <c r="C1" s="166"/>
      <c r="D1" s="166"/>
      <c r="E1" s="166"/>
      <c r="F1" s="166"/>
      <c r="G1" s="166"/>
      <c r="H1" s="167"/>
      <c r="J1" s="13"/>
      <c r="K1" s="13"/>
      <c r="L1" s="13"/>
      <c r="M1" s="13"/>
      <c r="N1" s="13"/>
    </row>
    <row r="2" spans="2:14" x14ac:dyDescent="0.3">
      <c r="B2" s="51"/>
      <c r="C2" s="29" t="s">
        <v>118</v>
      </c>
      <c r="D2" s="29" t="s">
        <v>119</v>
      </c>
      <c r="E2" s="29" t="s">
        <v>120</v>
      </c>
      <c r="F2" s="29"/>
      <c r="G2" s="29" t="s">
        <v>121</v>
      </c>
      <c r="H2" s="41" t="s">
        <v>46</v>
      </c>
      <c r="I2" s="30"/>
      <c r="J2" s="171"/>
      <c r="K2" s="171"/>
      <c r="L2" s="13"/>
      <c r="M2" s="13"/>
      <c r="N2" s="13"/>
    </row>
    <row r="3" spans="2:14" x14ac:dyDescent="0.3">
      <c r="B3" s="20" t="s">
        <v>228</v>
      </c>
      <c r="C3" s="6" t="str">
        <f>Project!C4</f>
        <v>3 1/2" x 8' pipe</v>
      </c>
      <c r="D3" s="6">
        <f>SUM(Project!F30:F32,Project!F34)</f>
        <v>7</v>
      </c>
      <c r="E3" s="6" t="s">
        <v>47</v>
      </c>
      <c r="G3" s="43">
        <f>VLOOKUP(C3,'Material prices'!B4:E10,4,FALSE)</f>
        <v>52</v>
      </c>
      <c r="H3" s="44">
        <f>D3*G3</f>
        <v>364</v>
      </c>
      <c r="J3" s="13"/>
      <c r="K3" s="13"/>
      <c r="L3" s="13"/>
      <c r="M3" s="13"/>
      <c r="N3" s="13"/>
    </row>
    <row r="4" spans="2:14" x14ac:dyDescent="0.3">
      <c r="B4" s="20" t="s">
        <v>125</v>
      </c>
      <c r="C4" s="6" t="str">
        <f>Project!C5</f>
        <v>pipe h-bracing</v>
      </c>
      <c r="D4" s="6">
        <f>Project!F33</f>
        <v>3</v>
      </c>
      <c r="E4" s="6" t="s">
        <v>245</v>
      </c>
      <c r="G4" s="52">
        <f>H4/D4</f>
        <v>67.839999999999989</v>
      </c>
      <c r="H4" s="44">
        <f>VLOOKUP(C4,Project!K27:O32,5,FALSE)</f>
        <v>203.51999999999998</v>
      </c>
      <c r="J4" s="13"/>
      <c r="K4" s="13"/>
      <c r="L4" s="13"/>
      <c r="M4" s="13"/>
      <c r="N4" s="13"/>
    </row>
    <row r="5" spans="2:14" x14ac:dyDescent="0.3">
      <c r="B5" s="20" t="s">
        <v>127</v>
      </c>
      <c r="C5" s="6" t="str">
        <f>'Material prices'!B49</f>
        <v>Pre-mix cement</v>
      </c>
      <c r="D5" s="45">
        <f>Project!H35</f>
        <v>29</v>
      </c>
      <c r="E5" s="6" t="s">
        <v>128</v>
      </c>
      <c r="G5" s="43">
        <f>'Material prices'!E49</f>
        <v>5.7</v>
      </c>
      <c r="H5" s="44">
        <f>D5*G5</f>
        <v>165.3</v>
      </c>
      <c r="J5" s="13"/>
      <c r="K5" s="13"/>
      <c r="L5" s="13"/>
      <c r="M5" s="13"/>
      <c r="N5" s="13"/>
    </row>
    <row r="6" spans="2:14" x14ac:dyDescent="0.3">
      <c r="B6" s="20" t="s">
        <v>129</v>
      </c>
      <c r="C6" s="6" t="str">
        <f>Project!C11&amp;"' pipe gate"</f>
        <v>20' pipe gate</v>
      </c>
      <c r="D6" s="6">
        <f>Project!C10</f>
        <v>1</v>
      </c>
      <c r="E6" s="6" t="s">
        <v>172</v>
      </c>
      <c r="G6" s="43">
        <f>IFERROR(VLOOKUP(C6,'Material prices'!$B$50:$E$53,4,FALSE),"")</f>
        <v>450</v>
      </c>
      <c r="H6" s="44">
        <f>IFERROR(D6*G6,"")</f>
        <v>450</v>
      </c>
      <c r="J6" s="13"/>
      <c r="K6" s="13"/>
      <c r="L6" s="13"/>
      <c r="M6" s="13"/>
      <c r="N6" s="13"/>
    </row>
    <row r="7" spans="2:14" x14ac:dyDescent="0.3">
      <c r="B7" s="20" t="s">
        <v>130</v>
      </c>
      <c r="C7" s="6" t="str">
        <f>Project!C15&amp;"' pipe gate"</f>
        <v>' pipe gate</v>
      </c>
      <c r="D7" s="6">
        <f>Project!C14</f>
        <v>0</v>
      </c>
      <c r="E7" s="6" t="s">
        <v>172</v>
      </c>
      <c r="G7" s="43" t="str">
        <f>IFERROR(VLOOKUP(C7,'Material prices'!$B$50:$E$53,4,FALSE),"")</f>
        <v/>
      </c>
      <c r="H7" s="44" t="str">
        <f>IFERROR(D7*G7,"")</f>
        <v/>
      </c>
      <c r="J7" s="13"/>
      <c r="K7" s="13"/>
      <c r="L7" s="13"/>
      <c r="M7" s="13"/>
      <c r="N7" s="13"/>
    </row>
    <row r="8" spans="2:14" x14ac:dyDescent="0.3">
      <c r="B8" s="20" t="s">
        <v>151</v>
      </c>
      <c r="C8" s="6" t="s">
        <v>152</v>
      </c>
      <c r="D8" s="6">
        <f>ROUNDUP((Project!C2-SUM(Project!C11*Project!C10,Project!C15*Project!C14))/'Material prices'!C33*6,0)</f>
        <v>2</v>
      </c>
      <c r="E8" s="6" t="s">
        <v>133</v>
      </c>
      <c r="G8" s="43">
        <f>'Material prices'!E33</f>
        <v>170</v>
      </c>
      <c r="H8" s="44">
        <f t="shared" ref="H8:H11" si="0">D8*G8</f>
        <v>340</v>
      </c>
      <c r="J8" s="13"/>
      <c r="K8" s="13"/>
      <c r="L8" s="13"/>
      <c r="M8" s="13"/>
      <c r="N8" s="13"/>
    </row>
    <row r="9" spans="2:14" x14ac:dyDescent="0.3">
      <c r="B9" s="20" t="s">
        <v>136</v>
      </c>
      <c r="C9" s="6" t="str">
        <f>Project!C18</f>
        <v>1.33 x 6' T-post</v>
      </c>
      <c r="D9" s="6">
        <f>ROUNDUP(Project!C2/100*Project!C19*0.67,0)</f>
        <v>89</v>
      </c>
      <c r="E9" s="6" t="s">
        <v>47</v>
      </c>
      <c r="G9" s="43">
        <f>VLOOKUP(C9,'Material prices'!$B$14:$E$27,4,FALSE)</f>
        <v>6</v>
      </c>
      <c r="H9" s="44">
        <f t="shared" si="0"/>
        <v>534</v>
      </c>
      <c r="J9" s="13"/>
      <c r="K9" s="13"/>
      <c r="L9" s="13"/>
      <c r="M9" s="13"/>
      <c r="N9" s="13"/>
    </row>
    <row r="10" spans="2:14" x14ac:dyDescent="0.3">
      <c r="B10" s="20" t="s">
        <v>137</v>
      </c>
      <c r="C10" s="6" t="str">
        <f>Project!C21</f>
        <v>Single post type</v>
      </c>
      <c r="D10" s="6">
        <f>ROUNDUP(Project!C2/100*Project!C22,0)</f>
        <v>0</v>
      </c>
      <c r="E10" s="6" t="s">
        <v>47</v>
      </c>
      <c r="G10" s="43" t="str">
        <f>IFERROR(VLOOKUP(C10,'Material prices'!$B$14:$E$27,4,FALSE),"")</f>
        <v/>
      </c>
      <c r="H10" s="44" t="str">
        <f>IFERROR(D10*G10,"")</f>
        <v/>
      </c>
    </row>
    <row r="11" spans="2:14" x14ac:dyDescent="0.3">
      <c r="B11" s="20" t="s">
        <v>138</v>
      </c>
      <c r="C11" s="6" t="str">
        <f>VLOOKUP(C9,'Material prices'!$B$4:$F$20,5,FALSE)</f>
        <v>T-post clips</v>
      </c>
      <c r="D11" s="45">
        <f>ROUNDUP(D9*6/(VLOOKUP(C11,'Material prices'!$I$21:$K$23,2,FALSE)),0)</f>
        <v>6</v>
      </c>
      <c r="E11" s="6" t="s">
        <v>128</v>
      </c>
      <c r="G11" s="43">
        <f>VLOOKUP(C11,'Material prices'!$B$14:$E$27,4,FALSE)</f>
        <v>9</v>
      </c>
      <c r="H11" s="44">
        <f t="shared" si="0"/>
        <v>54</v>
      </c>
    </row>
    <row r="12" spans="2:14" x14ac:dyDescent="0.3">
      <c r="B12" s="20"/>
      <c r="C12" s="6" t="str">
        <f>IFERROR(VLOOKUP(C10,'Material prices'!$B$4:$F$19,5,FALSE),"")</f>
        <v/>
      </c>
      <c r="D12" s="6" t="str">
        <f>IFERROR(ROUNDUP(D10*2/(VLOOKUP(C12,'Material prices'!$I$21:$K$23,2,FALSE)),0),"")</f>
        <v/>
      </c>
      <c r="E12" s="6" t="str">
        <f>IFERROR(VLOOKUP(C10,Project!$O$6:$Q$12,3,FALSE),"")</f>
        <v/>
      </c>
      <c r="G12" s="43" t="str">
        <f>IFERROR(VLOOKUP(C12,'Material prices'!$B$14:$E$27,4,FALSE),"")</f>
        <v/>
      </c>
      <c r="H12" s="44" t="str">
        <f>IFERROR(D12*G12,"")</f>
        <v/>
      </c>
    </row>
    <row r="13" spans="2:14" x14ac:dyDescent="0.3">
      <c r="B13" s="20" t="s">
        <v>231</v>
      </c>
      <c r="C13" s="6" t="str">
        <f>VLOOKUP(C3,'Material prices'!$B$4:$F$19,5,FALSE)</f>
        <v>Pipe post wire clips</v>
      </c>
      <c r="D13" s="6">
        <f>IFERROR(ROUNDUP(D3*4/(VLOOKUP(C13,'Material prices'!$I$22:$K$24,2,FALSE)),0),"")</f>
        <v>1</v>
      </c>
      <c r="E13" s="6" t="str">
        <f>IFERROR(VLOOKUP(C13,Project!P6:Q12,2,FALSE),"")</f>
        <v>bags</v>
      </c>
      <c r="G13" s="43">
        <f>IFERROR(VLOOKUP(C13,'Material prices'!$B$14:$E$27,4,FALSE),"")</f>
        <v>20</v>
      </c>
      <c r="H13" s="44">
        <f>IFERROR(D13*G13,"")</f>
        <v>20</v>
      </c>
      <c r="K13" s="38" t="s">
        <v>194</v>
      </c>
      <c r="L13" s="38" t="s">
        <v>195</v>
      </c>
    </row>
    <row r="14" spans="2:14" x14ac:dyDescent="0.3">
      <c r="B14" s="20" t="str">
        <f>'Material prices'!B47</f>
        <v>High-tensile ratchet tensioners</v>
      </c>
      <c r="D14" s="6">
        <f>EVEN(D4/2)*6</f>
        <v>12</v>
      </c>
      <c r="E14" s="6" t="s">
        <v>216</v>
      </c>
      <c r="G14" s="43">
        <f>'Material prices'!E47</f>
        <v>5.35</v>
      </c>
      <c r="H14" s="44">
        <f>IFERROR(D14*G14,"")</f>
        <v>64.199999999999989</v>
      </c>
      <c r="K14" s="38">
        <f>IF(OR(C9='Material prices'!B16,'Material prices'!B17='6-wire HT'!C9,'6-wire HT'!C9='Material prices'!B18,'Material prices'!B19='6-wire HT'!C9,C9='Material prices'!B12),D9,0)</f>
        <v>89</v>
      </c>
      <c r="L14" s="38">
        <f>IF(OR(C9='Material prices'!B14,'Material prices'!B15='6-wire HT'!C9),'6-wire HT'!D9,0)</f>
        <v>0</v>
      </c>
    </row>
    <row r="15" spans="2:14" x14ac:dyDescent="0.3">
      <c r="B15" s="20" t="s">
        <v>215</v>
      </c>
      <c r="C15" s="6" t="s">
        <v>214</v>
      </c>
      <c r="D15" s="46">
        <f>D16</f>
        <v>32.8125</v>
      </c>
      <c r="E15" s="6" t="s">
        <v>139</v>
      </c>
      <c r="G15" s="43">
        <f>'Material prices'!E54</f>
        <v>25</v>
      </c>
      <c r="H15" s="44">
        <f>D15*G15</f>
        <v>820.3125</v>
      </c>
      <c r="K15" s="38">
        <f>IF(OR(C10='Material prices'!B16,'Material prices'!B17='6-wire HT'!C10,'6-wire HT'!C10='Material prices'!B18,'Material prices'!B19='6-wire HT'!C10,C10='Material prices'!B12),D10,0)</f>
        <v>0</v>
      </c>
      <c r="L15" s="38">
        <f>IF(OR(C10='Material prices'!B14,'Material prices'!B15='6-wire HT'!C10),'6-wire HT'!D10,0)</f>
        <v>0</v>
      </c>
    </row>
    <row r="16" spans="2:14" x14ac:dyDescent="0.3">
      <c r="B16" s="55" t="s">
        <v>140</v>
      </c>
      <c r="C16" s="25"/>
      <c r="D16" s="26">
        <f>Project!$C$2/5280*VLOOKUP(Project!$C$23,'Material prices'!$H$3:$N$8,4,FALSE)</f>
        <v>32.8125</v>
      </c>
      <c r="E16" s="25" t="s">
        <v>141</v>
      </c>
      <c r="F16" s="25"/>
      <c r="G16" s="31">
        <f>'Material prices'!E55</f>
        <v>20</v>
      </c>
      <c r="H16" s="47">
        <f>D16*G16</f>
        <v>656.25</v>
      </c>
    </row>
    <row r="17" spans="2:8" x14ac:dyDescent="0.3">
      <c r="B17" s="20"/>
      <c r="D17" s="46"/>
      <c r="F17" s="48"/>
      <c r="G17" s="49" t="s">
        <v>142</v>
      </c>
      <c r="H17" s="50" t="s">
        <v>143</v>
      </c>
    </row>
    <row r="18" spans="2:8" x14ac:dyDescent="0.3">
      <c r="B18" s="55" t="s">
        <v>144</v>
      </c>
      <c r="D18" s="46"/>
      <c r="E18" s="169" t="s">
        <v>145</v>
      </c>
      <c r="F18" s="169"/>
      <c r="G18" s="104">
        <f>SUM(H15:H16)</f>
        <v>1476.5625</v>
      </c>
      <c r="H18" s="105">
        <f>G18/Project!$C$2</f>
        <v>1.1186079545454546</v>
      </c>
    </row>
    <row r="19" spans="2:8" x14ac:dyDescent="0.3">
      <c r="B19" s="56">
        <f>VLOOKUP(Project!C23,'Material prices'!H6:N10,7,FALSE)-1</f>
        <v>5.0000000000000044E-2</v>
      </c>
      <c r="C19" s="6" t="s">
        <v>146</v>
      </c>
      <c r="D19" s="46"/>
      <c r="E19" s="169" t="s">
        <v>147</v>
      </c>
      <c r="F19" s="169"/>
      <c r="G19" s="104">
        <f>SUM(H3:H14)</f>
        <v>2195.0199999999995</v>
      </c>
      <c r="H19" s="105">
        <f>G19/Project!$C$2</f>
        <v>1.662893939393939</v>
      </c>
    </row>
    <row r="20" spans="2:8" x14ac:dyDescent="0.3">
      <c r="B20" s="55"/>
      <c r="C20" s="25"/>
      <c r="D20" s="26"/>
      <c r="E20" s="170" t="s">
        <v>142</v>
      </c>
      <c r="F20" s="170"/>
      <c r="G20" s="106">
        <f>SUM(G18:G19)</f>
        <v>3671.5824999999995</v>
      </c>
      <c r="H20" s="107">
        <f>G20/Project!$C$2</f>
        <v>2.7815018939393936</v>
      </c>
    </row>
    <row r="21" spans="2:8" x14ac:dyDescent="0.3">
      <c r="B21" s="20"/>
      <c r="E21" s="169" t="s">
        <v>148</v>
      </c>
      <c r="F21" s="169"/>
      <c r="G21" s="108">
        <f>G19*(B19+1)+G18</f>
        <v>3781.3334999999997</v>
      </c>
      <c r="H21" s="109">
        <f>G21/Project!C2</f>
        <v>2.8646465909090906</v>
      </c>
    </row>
    <row r="22" spans="2:8" x14ac:dyDescent="0.3">
      <c r="B22" s="158" t="s">
        <v>149</v>
      </c>
      <c r="C22" s="159"/>
      <c r="D22" s="159"/>
      <c r="E22" s="159"/>
      <c r="F22" s="159"/>
      <c r="G22" s="159"/>
      <c r="H22" s="160"/>
    </row>
    <row r="23" spans="2:8" x14ac:dyDescent="0.3">
      <c r="B23" s="158"/>
      <c r="C23" s="159"/>
      <c r="D23" s="159"/>
      <c r="E23" s="159"/>
      <c r="F23" s="159"/>
      <c r="G23" s="159"/>
      <c r="H23" s="160"/>
    </row>
    <row r="24" spans="2:8" ht="17.25" thickBot="1" x14ac:dyDescent="0.35">
      <c r="B24" s="161"/>
      <c r="C24" s="162"/>
      <c r="D24" s="162"/>
      <c r="E24" s="162"/>
      <c r="F24" s="162"/>
      <c r="G24" s="162"/>
      <c r="H24" s="163"/>
    </row>
    <row r="25" spans="2:8" x14ac:dyDescent="0.3"/>
    <row r="26" spans="2:8" x14ac:dyDescent="0.3"/>
    <row r="27" spans="2:8" x14ac:dyDescent="0.3"/>
    <row r="28" spans="2:8" x14ac:dyDescent="0.3"/>
    <row r="29" spans="2:8" x14ac:dyDescent="0.3"/>
    <row r="30" spans="2:8" x14ac:dyDescent="0.3"/>
  </sheetData>
  <sheetProtection sheet="1" objects="1" scenarios="1"/>
  <mergeCells count="7">
    <mergeCell ref="B22:H24"/>
    <mergeCell ref="E21:F21"/>
    <mergeCell ref="B1:H1"/>
    <mergeCell ref="J2:K2"/>
    <mergeCell ref="E18:F18"/>
    <mergeCell ref="E19:F19"/>
    <mergeCell ref="E20:F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F427-FD75-40E3-AC7B-13F7C5382CD2}">
  <dimension ref="A1:N41"/>
  <sheetViews>
    <sheetView showGridLines="0" workbookViewId="0">
      <selection activeCell="C18" sqref="C18"/>
    </sheetView>
  </sheetViews>
  <sheetFormatPr defaultColWidth="0" defaultRowHeight="0" customHeight="1" zeroHeight="1" x14ac:dyDescent="0.3"/>
  <cols>
    <col min="1" max="1" width="9.140625" style="6" customWidth="1"/>
    <col min="2" max="2" width="31.7109375" style="6" customWidth="1"/>
    <col min="3" max="3" width="34.7109375" style="6" bestFit="1" customWidth="1"/>
    <col min="4" max="4" width="11.7109375" style="6" bestFit="1" customWidth="1"/>
    <col min="5" max="5" width="16.28515625" style="6" bestFit="1" customWidth="1"/>
    <col min="6" max="6" width="9.28515625" style="6" bestFit="1" customWidth="1"/>
    <col min="7" max="8" width="14.5703125" style="6" bestFit="1" customWidth="1"/>
    <col min="9" max="9" width="12.7109375" style="6" bestFit="1" customWidth="1"/>
    <col min="10" max="10" width="9.28515625" style="6" hidden="1" customWidth="1"/>
    <col min="11" max="13" width="9.140625" style="6" hidden="1" customWidth="1"/>
    <col min="14" max="14" width="24.140625" style="6" hidden="1" customWidth="1"/>
    <col min="15" max="16384" width="9.140625" style="6" hidden="1"/>
  </cols>
  <sheetData>
    <row r="1" spans="2:14" ht="20.25" x14ac:dyDescent="0.35">
      <c r="B1" s="165" t="s">
        <v>242</v>
      </c>
      <c r="C1" s="166"/>
      <c r="D1" s="166"/>
      <c r="E1" s="166"/>
      <c r="F1" s="166"/>
      <c r="G1" s="166"/>
      <c r="H1" s="167"/>
      <c r="J1" s="13"/>
      <c r="K1" s="13"/>
      <c r="L1" s="13"/>
      <c r="M1" s="13"/>
      <c r="N1" s="13"/>
    </row>
    <row r="2" spans="2:14" ht="16.5" x14ac:dyDescent="0.3">
      <c r="B2" s="51"/>
      <c r="C2" s="29" t="s">
        <v>118</v>
      </c>
      <c r="D2" s="29" t="s">
        <v>119</v>
      </c>
      <c r="E2" s="29" t="s">
        <v>120</v>
      </c>
      <c r="F2" s="29"/>
      <c r="G2" s="29" t="s">
        <v>121</v>
      </c>
      <c r="H2" s="41" t="s">
        <v>46</v>
      </c>
      <c r="I2" s="30"/>
      <c r="J2" s="171"/>
      <c r="K2" s="171"/>
      <c r="L2" s="13"/>
      <c r="M2" s="13"/>
      <c r="N2" s="13"/>
    </row>
    <row r="3" spans="2:14" ht="16.5" x14ac:dyDescent="0.3">
      <c r="B3" s="20" t="s">
        <v>228</v>
      </c>
      <c r="C3" s="6" t="str">
        <f>Project!C4</f>
        <v>3 1/2" x 8' pipe</v>
      </c>
      <c r="D3" s="6">
        <f>SUM(Project!F30:F32,Project!F34)</f>
        <v>7</v>
      </c>
      <c r="E3" s="6" t="s">
        <v>47</v>
      </c>
      <c r="G3" s="43">
        <f>VLOOKUP(C3,'Material prices'!B4:E10,4,FALSE)</f>
        <v>52</v>
      </c>
      <c r="H3" s="44">
        <f>D3*G3</f>
        <v>364</v>
      </c>
      <c r="J3" s="13"/>
      <c r="K3" s="13"/>
      <c r="L3" s="13"/>
      <c r="M3" s="13"/>
      <c r="N3" s="13"/>
    </row>
    <row r="4" spans="2:14" ht="16.5" x14ac:dyDescent="0.3">
      <c r="B4" s="20" t="s">
        <v>125</v>
      </c>
      <c r="C4" s="6" t="str">
        <f>Project!C5</f>
        <v>pipe h-bracing</v>
      </c>
      <c r="D4" s="6">
        <f>Project!F33</f>
        <v>3</v>
      </c>
      <c r="E4" s="6" t="s">
        <v>245</v>
      </c>
      <c r="G4" s="52">
        <f>H4/D4</f>
        <v>67.839999999999989</v>
      </c>
      <c r="H4" s="44">
        <f>VLOOKUP(C4,Project!K27:O32,5,FALSE)</f>
        <v>203.51999999999998</v>
      </c>
      <c r="J4" s="13"/>
      <c r="K4" s="13"/>
      <c r="L4" s="13"/>
      <c r="M4" s="13"/>
      <c r="N4" s="13"/>
    </row>
    <row r="5" spans="2:14" ht="16.5" x14ac:dyDescent="0.3">
      <c r="B5" s="20" t="s">
        <v>127</v>
      </c>
      <c r="C5" s="6" t="str">
        <f>'Material prices'!B49</f>
        <v>Pre-mix cement</v>
      </c>
      <c r="D5" s="45">
        <f>Project!H35</f>
        <v>29</v>
      </c>
      <c r="E5" s="6" t="s">
        <v>128</v>
      </c>
      <c r="G5" s="43">
        <f>'Material prices'!E49</f>
        <v>5.7</v>
      </c>
      <c r="H5" s="44">
        <f>D5*G5</f>
        <v>165.3</v>
      </c>
      <c r="J5" s="13"/>
      <c r="K5" s="13"/>
      <c r="L5" s="13"/>
      <c r="M5" s="13"/>
      <c r="N5" s="13"/>
    </row>
    <row r="6" spans="2:14" ht="16.5" x14ac:dyDescent="0.3">
      <c r="B6" s="20" t="s">
        <v>129</v>
      </c>
      <c r="C6" s="6" t="str">
        <f>Project!C11&amp;"' pipe gate"</f>
        <v>20' pipe gate</v>
      </c>
      <c r="D6" s="6">
        <f>Project!C10</f>
        <v>1</v>
      </c>
      <c r="E6" s="6" t="s">
        <v>172</v>
      </c>
      <c r="G6" s="43">
        <f>IFERROR(VLOOKUP(C6,'Material prices'!$B$50:$E$53,4,FALSE),"")</f>
        <v>450</v>
      </c>
      <c r="H6" s="44">
        <f>IFERROR(D6*G6,"")</f>
        <v>450</v>
      </c>
      <c r="J6" s="13"/>
      <c r="K6" s="13"/>
      <c r="L6" s="13"/>
      <c r="M6" s="13"/>
      <c r="N6" s="13"/>
    </row>
    <row r="7" spans="2:14" ht="16.5" x14ac:dyDescent="0.3">
      <c r="B7" s="20" t="s">
        <v>130</v>
      </c>
      <c r="C7" s="6" t="str">
        <f>Project!C15&amp;"' pipe gate"</f>
        <v>' pipe gate</v>
      </c>
      <c r="D7" s="6">
        <f>Project!C14</f>
        <v>0</v>
      </c>
      <c r="E7" s="6" t="s">
        <v>172</v>
      </c>
      <c r="G7" s="43" t="str">
        <f>IFERROR(VLOOKUP(C7,'Material prices'!$B$50:$E$53,4,FALSE),"")</f>
        <v/>
      </c>
      <c r="H7" s="44" t="str">
        <f>IFERROR(D7*G7,"")</f>
        <v/>
      </c>
      <c r="J7" s="13"/>
      <c r="K7" s="13"/>
      <c r="L7" s="13"/>
      <c r="M7" s="13"/>
      <c r="N7" s="13"/>
    </row>
    <row r="8" spans="2:14" ht="16.5" x14ac:dyDescent="0.3">
      <c r="B8" s="20" t="s">
        <v>151</v>
      </c>
      <c r="C8" s="6" t="s">
        <v>152</v>
      </c>
      <c r="D8" s="6">
        <f>ROUNDUP((Project!C2-SUM(Project!C11*Project!C10,Project!C15*Project!C14))/'Material prices'!C33*5,0)</f>
        <v>2</v>
      </c>
      <c r="E8" s="6" t="s">
        <v>133</v>
      </c>
      <c r="G8" s="43">
        <f>'Material prices'!E33</f>
        <v>170</v>
      </c>
      <c r="H8" s="44">
        <f t="shared" ref="H8:H11" si="0">D8*G8</f>
        <v>340</v>
      </c>
      <c r="J8" s="13"/>
      <c r="K8" s="13"/>
      <c r="L8" s="13"/>
      <c r="M8" s="13"/>
      <c r="N8" s="13"/>
    </row>
    <row r="9" spans="2:14" ht="16.5" x14ac:dyDescent="0.3">
      <c r="B9" s="20" t="s">
        <v>136</v>
      </c>
      <c r="C9" s="6" t="str">
        <f>'Material prices'!B20</f>
        <v>1" x 5" fiberglass posts</v>
      </c>
      <c r="D9" s="6">
        <f>ROUNDUP(Project!C2/100*Project!C19*0.5,0)</f>
        <v>66</v>
      </c>
      <c r="E9" s="6" t="s">
        <v>47</v>
      </c>
      <c r="G9" s="43">
        <f>VLOOKUP(C9,'Material prices'!$B$14:$E$27,4,FALSE)</f>
        <v>7.5</v>
      </c>
      <c r="H9" s="44">
        <f t="shared" si="0"/>
        <v>495</v>
      </c>
      <c r="J9" s="13"/>
      <c r="K9" s="13"/>
      <c r="L9" s="13"/>
      <c r="M9" s="13"/>
      <c r="N9" s="13"/>
    </row>
    <row r="10" spans="2:14" ht="16.5" x14ac:dyDescent="0.3">
      <c r="B10" s="20" t="s">
        <v>137</v>
      </c>
      <c r="C10" s="6" t="str">
        <f>IF(Project!O5=Project!C21,Project!O7,Project!C21)</f>
        <v>5" x 7' treated wood posts</v>
      </c>
      <c r="D10" s="6">
        <f>ROUNDUP(IF(Project!C21=Project!O5,'Electrified HT'!D9*0.25,ROUNDUP(Project!C2/100*Project!C22*0.5,0)),0)</f>
        <v>17</v>
      </c>
      <c r="E10" s="6" t="s">
        <v>47</v>
      </c>
      <c r="G10" s="43">
        <f>IFERROR(VLOOKUP(C10,'Material prices'!$B$14:$E$27,4,FALSE),"")</f>
        <v>12.5</v>
      </c>
      <c r="H10" s="44">
        <f>IFERROR(D10*G10,"")</f>
        <v>212.5</v>
      </c>
    </row>
    <row r="11" spans="2:14" ht="16.5" x14ac:dyDescent="0.3">
      <c r="B11" s="20" t="s">
        <v>239</v>
      </c>
      <c r="C11" s="6" t="str">
        <f>VLOOKUP(C9,'Material prices'!$B$4:$F$20,5,FALSE)</f>
        <v>2" cotter pins</v>
      </c>
      <c r="D11" s="45">
        <f>ROUNDUP($D$9*2/(VLOOKUP(C11,'Material prices'!$I$21:$K$25,2,FALSE)),0)</f>
        <v>2</v>
      </c>
      <c r="E11" s="6" t="s">
        <v>128</v>
      </c>
      <c r="G11" s="43">
        <f>VLOOKUP(C11,'Material prices'!$B$14:$E$27,4,FALSE)</f>
        <v>13</v>
      </c>
      <c r="H11" s="44">
        <f t="shared" si="0"/>
        <v>26</v>
      </c>
    </row>
    <row r="12" spans="2:14" ht="16.5" x14ac:dyDescent="0.3">
      <c r="B12" s="20"/>
      <c r="C12" s="6" t="str">
        <f>IFERROR(VLOOKUP(C10,'Material prices'!$B$4:$F$19,5,FALSE),"")</f>
        <v>1 1/2" steeples</v>
      </c>
      <c r="D12" s="6">
        <f>IFERROR(ROUNDUP(D10*2/(VLOOKUP(C12,'Material prices'!$I$21:$K$23,2,FALSE)),0),"")</f>
        <v>1</v>
      </c>
      <c r="E12" s="6" t="str">
        <f>IFERROR(VLOOKUP(C10,Project!$O$6:$Q$12,3,FALSE),"")</f>
        <v>pounds</v>
      </c>
      <c r="G12" s="43">
        <f>IFERROR(VLOOKUP(C12,'Material prices'!$B$14:$E$27,4,FALSE),"")</f>
        <v>4</v>
      </c>
      <c r="H12" s="44">
        <f>IFERROR(D12*G12,"")</f>
        <v>4</v>
      </c>
    </row>
    <row r="13" spans="2:14" ht="16.5" x14ac:dyDescent="0.3">
      <c r="B13" s="20" t="s">
        <v>238</v>
      </c>
      <c r="C13" s="6" t="str">
        <f>VLOOKUP(C9,'Material prices'!$B$14:$G$20,6,FALSE)</f>
        <v>2" cotter pins</v>
      </c>
      <c r="D13" s="6">
        <f>ROUNDUP($D$9*3/(VLOOKUP(C11,'Material prices'!$I$21:$K$25,2,FALSE)),0)</f>
        <v>2</v>
      </c>
      <c r="E13" s="6" t="s">
        <v>128</v>
      </c>
      <c r="G13" s="43">
        <f>IFERROR(VLOOKUP(C13,'Material prices'!$B$14:$E$27,4,FALSE),"")</f>
        <v>13</v>
      </c>
      <c r="H13" s="44">
        <f t="shared" ref="H13:H14" si="1">IFERROR(D13*G13,"")</f>
        <v>26</v>
      </c>
    </row>
    <row r="14" spans="2:14" ht="16.5" x14ac:dyDescent="0.3">
      <c r="B14" s="20"/>
      <c r="C14" s="6" t="str">
        <f>VLOOKUP(C10,'Material prices'!$B$14:$G$20,6,FALSE)</f>
        <v>wood post insulators</v>
      </c>
      <c r="D14" s="6">
        <f>IFERROR(ROUNDUP(D10*3/(VLOOKUP(C12,'Material prices'!$I$21:$K$23,2,FALSE)),0),"")</f>
        <v>1</v>
      </c>
      <c r="E14" s="6" t="s">
        <v>128</v>
      </c>
      <c r="G14" s="43">
        <f>IFERROR(VLOOKUP(C14,'Material prices'!$B$14:$E$29,4,FALSE),"")</f>
        <v>15</v>
      </c>
      <c r="H14" s="44">
        <f t="shared" si="1"/>
        <v>15</v>
      </c>
    </row>
    <row r="15" spans="2:14" ht="16.5" x14ac:dyDescent="0.3">
      <c r="B15" s="20" t="s">
        <v>231</v>
      </c>
      <c r="C15" s="6" t="str">
        <f>VLOOKUP(C3,'Material prices'!$B$4:$F$19,5,FALSE)</f>
        <v>Pipe post wire clips</v>
      </c>
      <c r="D15" s="6">
        <f>IFERROR(ROUNDUP(D3*6/(VLOOKUP(C15,'Material prices'!$I$22:$K$24,2,FALSE)),0),"")</f>
        <v>1</v>
      </c>
      <c r="E15" s="6" t="str">
        <f>IFERROR(VLOOKUP(C15,Project!P6:Q12,2,FALSE),"")</f>
        <v>bags</v>
      </c>
      <c r="G15" s="43">
        <f>IFERROR(VLOOKUP(C15,'Material prices'!$B$14:$E$27,4,FALSE),"")</f>
        <v>20</v>
      </c>
      <c r="H15" s="44">
        <f>IFERROR(D15*G15,"")</f>
        <v>20</v>
      </c>
      <c r="K15" s="38" t="s">
        <v>194</v>
      </c>
      <c r="L15" s="38" t="s">
        <v>195</v>
      </c>
    </row>
    <row r="16" spans="2:14" ht="16.5" x14ac:dyDescent="0.3">
      <c r="B16" s="20" t="s">
        <v>234</v>
      </c>
      <c r="D16" s="6">
        <f>D3*3</f>
        <v>21</v>
      </c>
      <c r="E16" s="6" t="s">
        <v>74</v>
      </c>
      <c r="G16" s="43">
        <f>'Material prices'!E30</f>
        <v>1.25</v>
      </c>
      <c r="H16" s="44">
        <f>IFERROR(D16*G16,"")</f>
        <v>26.25</v>
      </c>
      <c r="K16" s="38"/>
      <c r="L16" s="38"/>
    </row>
    <row r="17" spans="2:12" ht="16.5" x14ac:dyDescent="0.3">
      <c r="B17" s="20" t="str">
        <f>'Material prices'!B47</f>
        <v>High-tensile ratchet tensioners</v>
      </c>
      <c r="D17" s="6">
        <f>EVEN(D4/2)*5</f>
        <v>10</v>
      </c>
      <c r="E17" s="6" t="s">
        <v>216</v>
      </c>
      <c r="G17" s="43">
        <f>'Material prices'!E47</f>
        <v>5.35</v>
      </c>
      <c r="H17" s="44">
        <f>IFERROR(D17*G17,"")</f>
        <v>53.5</v>
      </c>
      <c r="K17" s="38">
        <f>IF(OR(C9='Material prices'!B16,'Material prices'!B17='Electrified HT'!C9,'Electrified HT'!C9='Material prices'!B18,'Material prices'!B19='Electrified HT'!C9,C9='Material prices'!B12),D9,0)</f>
        <v>0</v>
      </c>
      <c r="L17" s="38">
        <f>IF(OR(C9='Material prices'!B14,'Material prices'!B15='Electrified HT'!C9),'Electrified HT'!D9,0)</f>
        <v>0</v>
      </c>
    </row>
    <row r="18" spans="2:12" ht="16.5" x14ac:dyDescent="0.3">
      <c r="B18" s="20" t="s">
        <v>235</v>
      </c>
      <c r="C18" s="122" t="s">
        <v>196</v>
      </c>
      <c r="D18" s="6">
        <f>IF(C18='Electric interior'!B19,0,1)</f>
        <v>1</v>
      </c>
      <c r="E18" s="6" t="s">
        <v>156</v>
      </c>
      <c r="G18" s="43">
        <f>IFERROR(VLOOKUP(C18,'Material prices'!B45:E46,4,FALSE),"N/A")</f>
        <v>260</v>
      </c>
      <c r="H18" s="44">
        <f t="shared" ref="H18:H19" si="2">IFERROR(D18*G18,"")</f>
        <v>260</v>
      </c>
      <c r="K18" s="38">
        <f>IF(OR(C10='Material prices'!B16,'Material prices'!B17='Electrified HT'!C10,'Electrified HT'!C10='Material prices'!B18,'Material prices'!B19='Electrified HT'!C10,C10='Material prices'!B12),D10,0)</f>
        <v>0</v>
      </c>
      <c r="L18" s="38">
        <f>IF(OR(C10='Material prices'!B14,'Material prices'!B15='Electrified HT'!C10),'Electrified HT'!D10,0)</f>
        <v>17</v>
      </c>
    </row>
    <row r="19" spans="2:12" ht="16.5" x14ac:dyDescent="0.3">
      <c r="B19" s="20" t="s">
        <v>154</v>
      </c>
      <c r="C19" s="6" t="str">
        <f>'Material prices'!B38</f>
        <v>6' ground rods</v>
      </c>
      <c r="D19" s="6">
        <f>ROUNDUP(Project!C2/400,0)</f>
        <v>4</v>
      </c>
      <c r="E19" s="6" t="s">
        <v>244</v>
      </c>
      <c r="G19" s="43">
        <f>'Material prices'!E38</f>
        <v>15</v>
      </c>
      <c r="H19" s="44">
        <f t="shared" si="2"/>
        <v>60</v>
      </c>
    </row>
    <row r="20" spans="2:12" ht="16.5" x14ac:dyDescent="0.3">
      <c r="B20" s="20" t="s">
        <v>215</v>
      </c>
      <c r="C20" s="6" t="s">
        <v>214</v>
      </c>
      <c r="D20" s="46">
        <f>D21</f>
        <v>30.975000000000001</v>
      </c>
      <c r="E20" s="6" t="s">
        <v>139</v>
      </c>
      <c r="G20" s="43">
        <f>'Material prices'!E54</f>
        <v>25</v>
      </c>
      <c r="H20" s="44">
        <f>D20*G20</f>
        <v>774.375</v>
      </c>
    </row>
    <row r="21" spans="2:12" ht="16.5" x14ac:dyDescent="0.3">
      <c r="B21" s="55" t="s">
        <v>140</v>
      </c>
      <c r="C21" s="25"/>
      <c r="D21" s="26">
        <f>Project!$C$2/5280*VLOOKUP(Project!$C$23,'Material prices'!$H$3:$N$8,5,FALSE)</f>
        <v>30.975000000000001</v>
      </c>
      <c r="E21" s="25" t="s">
        <v>141</v>
      </c>
      <c r="F21" s="25"/>
      <c r="G21" s="31">
        <f>'Material prices'!E55</f>
        <v>20</v>
      </c>
      <c r="H21" s="47">
        <f>D21*G21</f>
        <v>619.5</v>
      </c>
    </row>
    <row r="22" spans="2:12" ht="16.5" x14ac:dyDescent="0.3">
      <c r="B22" s="20"/>
      <c r="D22" s="46"/>
      <c r="F22" s="48"/>
      <c r="G22" s="49" t="s">
        <v>142</v>
      </c>
      <c r="H22" s="50" t="s">
        <v>143</v>
      </c>
    </row>
    <row r="23" spans="2:12" ht="16.5" x14ac:dyDescent="0.3">
      <c r="B23" s="55" t="s">
        <v>144</v>
      </c>
      <c r="D23" s="46"/>
      <c r="E23" s="169" t="s">
        <v>145</v>
      </c>
      <c r="F23" s="169"/>
      <c r="G23" s="104">
        <f>SUM(H20:H21)</f>
        <v>1393.875</v>
      </c>
      <c r="H23" s="105">
        <f>G23/Project!$C$2</f>
        <v>1.055965909090909</v>
      </c>
    </row>
    <row r="24" spans="2:12" ht="16.5" x14ac:dyDescent="0.3">
      <c r="B24" s="56">
        <f>VLOOKUP(Project!C23,'Material prices'!H6:N10,7,FALSE)-1</f>
        <v>5.0000000000000044E-2</v>
      </c>
      <c r="C24" s="6" t="s">
        <v>146</v>
      </c>
      <c r="D24" s="46"/>
      <c r="E24" s="169" t="s">
        <v>147</v>
      </c>
      <c r="F24" s="169"/>
      <c r="G24" s="104">
        <f>SUM(H3:H17)</f>
        <v>2401.0699999999997</v>
      </c>
      <c r="H24" s="105">
        <f>G24/Project!$C$2</f>
        <v>1.818992424242424</v>
      </c>
    </row>
    <row r="25" spans="2:12" ht="16.5" x14ac:dyDescent="0.3">
      <c r="B25" s="55"/>
      <c r="C25" s="25"/>
      <c r="D25" s="26"/>
      <c r="E25" s="170" t="s">
        <v>142</v>
      </c>
      <c r="F25" s="170"/>
      <c r="G25" s="106">
        <f>SUM(G23:G24)</f>
        <v>3794.9449999999997</v>
      </c>
      <c r="H25" s="107">
        <f>G25/Project!$C$2</f>
        <v>2.8749583333333333</v>
      </c>
    </row>
    <row r="26" spans="2:12" ht="16.5" x14ac:dyDescent="0.3">
      <c r="B26" s="20"/>
      <c r="E26" s="169" t="s">
        <v>148</v>
      </c>
      <c r="F26" s="169"/>
      <c r="G26" s="108">
        <f>G24*(B24+1)+G23</f>
        <v>3914.9984999999997</v>
      </c>
      <c r="H26" s="109">
        <f>G26/Project!C2</f>
        <v>2.9659079545454543</v>
      </c>
    </row>
    <row r="27" spans="2:12" ht="16.5" x14ac:dyDescent="0.3">
      <c r="B27" s="158" t="s">
        <v>149</v>
      </c>
      <c r="C27" s="159"/>
      <c r="D27" s="159"/>
      <c r="E27" s="159"/>
      <c r="F27" s="159"/>
      <c r="G27" s="159"/>
      <c r="H27" s="160"/>
    </row>
    <row r="28" spans="2:12" ht="16.5" x14ac:dyDescent="0.3">
      <c r="B28" s="158"/>
      <c r="C28" s="159"/>
      <c r="D28" s="159"/>
      <c r="E28" s="159"/>
      <c r="F28" s="159"/>
      <c r="G28" s="159"/>
      <c r="H28" s="160"/>
    </row>
    <row r="29" spans="2:12" ht="17.25" thickBot="1" x14ac:dyDescent="0.35">
      <c r="B29" s="161"/>
      <c r="C29" s="162"/>
      <c r="D29" s="162"/>
      <c r="E29" s="162"/>
      <c r="F29" s="162"/>
      <c r="G29" s="162"/>
      <c r="H29" s="163"/>
    </row>
    <row r="30" spans="2:12" ht="16.5" x14ac:dyDescent="0.3"/>
    <row r="31" spans="2:12" ht="16.5" x14ac:dyDescent="0.3"/>
    <row r="32" spans="2:12" ht="16.5" x14ac:dyDescent="0.3"/>
    <row r="33" s="6" customFormat="1" ht="16.5" x14ac:dyDescent="0.3"/>
    <row r="34" s="6" customFormat="1" ht="16.5" hidden="1" customHeight="1" x14ac:dyDescent="0.3"/>
    <row r="35" s="6" customFormat="1" ht="16.5" hidden="1" customHeight="1" x14ac:dyDescent="0.3"/>
    <row r="36" s="6" customFormat="1" ht="0" hidden="1" customHeight="1" x14ac:dyDescent="0.3"/>
    <row r="37" s="6" customFormat="1" ht="0" hidden="1" customHeight="1" x14ac:dyDescent="0.3"/>
    <row r="38" s="6" customFormat="1" ht="0" hidden="1" customHeight="1" x14ac:dyDescent="0.3"/>
    <row r="39" s="6" customFormat="1" ht="0" hidden="1" customHeight="1" x14ac:dyDescent="0.3"/>
    <row r="40" s="6" customFormat="1" ht="0" hidden="1" customHeight="1" x14ac:dyDescent="0.3"/>
    <row r="41" s="6" customFormat="1" ht="0" hidden="1" customHeight="1" x14ac:dyDescent="0.3"/>
  </sheetData>
  <sheetProtection sheet="1" objects="1" scenarios="1"/>
  <protectedRanges>
    <protectedRange sqref="C18" name="grey cell"/>
  </protectedRanges>
  <mergeCells count="7">
    <mergeCell ref="B27:H29"/>
    <mergeCell ref="B1:H1"/>
    <mergeCell ref="J2:K2"/>
    <mergeCell ref="E23:F23"/>
    <mergeCell ref="E24:F24"/>
    <mergeCell ref="E25:F25"/>
    <mergeCell ref="E26:F2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CCDC5B5-931E-4FE1-A8D4-CA6A7B92359C}">
          <x14:formula1>
            <xm:f>'Electric interior'!$B$17:$B$19</xm:f>
          </x14:formula1>
          <xm:sqref>C18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F7CC1-9B03-4CEB-A18A-E2837204893C}">
  <dimension ref="A1:G8"/>
  <sheetViews>
    <sheetView showGridLines="0" workbookViewId="0">
      <selection activeCell="F8" sqref="F8"/>
    </sheetView>
  </sheetViews>
  <sheetFormatPr defaultColWidth="0" defaultRowHeight="16.5" zeroHeight="1" x14ac:dyDescent="0.3"/>
  <cols>
    <col min="1" max="1" width="9.140625" style="6" customWidth="1"/>
    <col min="2" max="2" width="14.28515625" style="6" bestFit="1" customWidth="1"/>
    <col min="3" max="3" width="20.7109375" style="6" bestFit="1" customWidth="1"/>
    <col min="4" max="4" width="12.42578125" style="6" bestFit="1" customWidth="1"/>
    <col min="5" max="5" width="12.42578125" style="6" customWidth="1"/>
    <col min="6" max="6" width="12.42578125" style="6" bestFit="1" customWidth="1"/>
    <col min="7" max="7" width="9.140625" style="6" customWidth="1"/>
    <col min="8" max="16384" width="9.140625" style="6" hidden="1"/>
  </cols>
  <sheetData>
    <row r="1" spans="2:6" ht="20.25" x14ac:dyDescent="0.35">
      <c r="B1" s="172" t="s">
        <v>157</v>
      </c>
      <c r="C1" s="173"/>
      <c r="D1" s="173"/>
      <c r="E1" s="173"/>
      <c r="F1" s="174"/>
    </row>
    <row r="2" spans="2:6" x14ac:dyDescent="0.3">
      <c r="B2" s="55" t="s">
        <v>158</v>
      </c>
      <c r="C2" s="67" t="s">
        <v>159</v>
      </c>
      <c r="D2" s="67" t="s">
        <v>226</v>
      </c>
      <c r="E2" s="67" t="s">
        <v>160</v>
      </c>
      <c r="F2" s="68" t="s">
        <v>246</v>
      </c>
    </row>
    <row r="3" spans="2:6" x14ac:dyDescent="0.3">
      <c r="B3" s="69" t="s">
        <v>147</v>
      </c>
      <c r="C3" s="112">
        <f>'Woven wire'!G19</f>
        <v>3254.8199999999997</v>
      </c>
      <c r="D3" s="112">
        <f>'5-barb'!G18</f>
        <v>2707.8199999999997</v>
      </c>
      <c r="E3" s="112">
        <f>'6-wire HT'!G19</f>
        <v>2195.0199999999995</v>
      </c>
      <c r="F3" s="105">
        <f>'Electrified HT'!G24</f>
        <v>2401.0699999999997</v>
      </c>
    </row>
    <row r="4" spans="2:6" x14ac:dyDescent="0.3">
      <c r="B4" s="69" t="s">
        <v>161</v>
      </c>
      <c r="C4" s="112">
        <f>'Woven wire'!G18</f>
        <v>1984.5</v>
      </c>
      <c r="D4" s="112">
        <f>'5-barb'!G17</f>
        <v>1842.75</v>
      </c>
      <c r="E4" s="112">
        <f>'6-wire HT'!G18</f>
        <v>1476.5625</v>
      </c>
      <c r="F4" s="105">
        <f>'Electrified HT'!G23</f>
        <v>1393.875</v>
      </c>
    </row>
    <row r="5" spans="2:6" x14ac:dyDescent="0.3">
      <c r="B5" s="70" t="s">
        <v>232</v>
      </c>
      <c r="C5" s="106">
        <f>'Woven wire'!G21</f>
        <v>5402.0609999999997</v>
      </c>
      <c r="D5" s="106">
        <f>'5-barb'!G20</f>
        <v>4685.9609999999993</v>
      </c>
      <c r="E5" s="106">
        <f>'6-wire HT'!G21</f>
        <v>3781.3334999999997</v>
      </c>
      <c r="F5" s="107">
        <f>'Electrified HT'!G26</f>
        <v>3914.9984999999997</v>
      </c>
    </row>
    <row r="6" spans="2:6" ht="17.25" thickBot="1" x14ac:dyDescent="0.35">
      <c r="B6" s="71" t="s">
        <v>143</v>
      </c>
      <c r="C6" s="113">
        <f>'Woven wire'!H21</f>
        <v>4.0924704545454542</v>
      </c>
      <c r="D6" s="113">
        <f>'5-barb'!H20</f>
        <v>3.5499704545454542</v>
      </c>
      <c r="E6" s="113">
        <f>'6-wire HT'!H21</f>
        <v>2.8646465909090906</v>
      </c>
      <c r="F6" s="114">
        <f>'Electrified HT'!H26</f>
        <v>2.9659079545454543</v>
      </c>
    </row>
    <row r="7" spans="2:6" ht="36" customHeight="1" x14ac:dyDescent="0.3">
      <c r="B7" s="175" t="s">
        <v>211</v>
      </c>
      <c r="C7" s="175"/>
      <c r="D7" s="175"/>
      <c r="E7" s="175"/>
      <c r="F7" s="175"/>
    </row>
    <row r="8" spans="2:6" x14ac:dyDescent="0.3"/>
  </sheetData>
  <sheetProtection sheet="1" objects="1" scenarios="1"/>
  <mergeCells count="2">
    <mergeCell ref="B1:F1"/>
    <mergeCell ref="B7:F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3ED91-6A65-4DC5-9B34-794C3E7FF148}">
  <dimension ref="A1:P24"/>
  <sheetViews>
    <sheetView showGridLines="0" workbookViewId="0">
      <selection activeCell="D16" sqref="D16"/>
    </sheetView>
  </sheetViews>
  <sheetFormatPr defaultColWidth="0" defaultRowHeight="16.5" zeroHeight="1" x14ac:dyDescent="0.3"/>
  <cols>
    <col min="1" max="1" width="9.140625" style="6" customWidth="1"/>
    <col min="2" max="2" width="21.5703125" style="6" bestFit="1" customWidth="1"/>
    <col min="3" max="3" width="9.5703125" style="6" bestFit="1" customWidth="1"/>
    <col min="4" max="4" width="14.7109375" style="6" bestFit="1" customWidth="1"/>
    <col min="5" max="5" width="9.140625" style="6" customWidth="1"/>
    <col min="6" max="6" width="31.5703125" style="6" bestFit="1" customWidth="1"/>
    <col min="7" max="7" width="34.7109375" style="6" bestFit="1" customWidth="1"/>
    <col min="8" max="8" width="10" style="6" bestFit="1" customWidth="1"/>
    <col min="9" max="9" width="10.85546875" style="6" bestFit="1" customWidth="1"/>
    <col min="10" max="10" width="9.140625" style="6" customWidth="1"/>
    <col min="11" max="11" width="13.140625" style="6" bestFit="1" customWidth="1"/>
    <col min="12" max="12" width="14.5703125" style="6" bestFit="1" customWidth="1"/>
    <col min="13" max="13" width="9.140625" style="6" customWidth="1"/>
    <col min="14" max="16" width="0" style="6" hidden="1" customWidth="1"/>
    <col min="17" max="16384" width="9.140625" style="6" hidden="1"/>
  </cols>
  <sheetData>
    <row r="1" spans="2:16" ht="21" thickBot="1" x14ac:dyDescent="0.4">
      <c r="B1" s="176" t="s">
        <v>225</v>
      </c>
      <c r="C1" s="177"/>
      <c r="D1" s="177"/>
      <c r="E1" s="126"/>
      <c r="F1" s="176" t="s">
        <v>162</v>
      </c>
      <c r="G1" s="177"/>
      <c r="H1" s="177"/>
      <c r="I1" s="177"/>
      <c r="J1" s="177"/>
      <c r="K1" s="177"/>
      <c r="L1" s="178"/>
    </row>
    <row r="2" spans="2:16" x14ac:dyDescent="0.3">
      <c r="B2" s="80" t="s">
        <v>163</v>
      </c>
      <c r="C2" s="81" t="s">
        <v>33</v>
      </c>
      <c r="D2" s="83" t="s">
        <v>41</v>
      </c>
      <c r="E2" s="119"/>
      <c r="F2" s="72"/>
      <c r="G2" s="73" t="s">
        <v>118</v>
      </c>
      <c r="H2" s="73" t="s">
        <v>119</v>
      </c>
      <c r="I2" s="73" t="s">
        <v>120</v>
      </c>
      <c r="J2" s="73"/>
      <c r="K2" s="73" t="s">
        <v>121</v>
      </c>
      <c r="L2" s="74" t="s">
        <v>46</v>
      </c>
      <c r="M2" s="30"/>
      <c r="N2" s="171"/>
      <c r="O2" s="171"/>
      <c r="P2" s="13"/>
    </row>
    <row r="3" spans="2:16" x14ac:dyDescent="0.3">
      <c r="B3" s="20" t="s">
        <v>165</v>
      </c>
      <c r="C3" s="42">
        <v>1320</v>
      </c>
      <c r="D3" s="100" t="s">
        <v>5</v>
      </c>
      <c r="F3" s="20" t="s">
        <v>164</v>
      </c>
      <c r="G3" s="42" t="s">
        <v>71</v>
      </c>
      <c r="H3" s="6">
        <f>IF(OR(G3='Material prices'!B15,'Electric interior'!G3='Material prices'!B14),'Electric interior'!C4+C6,IF(OR(G3='Material prices'!B12,'Material prices'!B13='Electric interior'!G3),('Electric interior'!C4+'Electric interior'!C6)*8,('Electric interior'!C4+C6)*2))</f>
        <v>3</v>
      </c>
      <c r="I3" s="102" t="str">
        <f>IF(OR(G3='Material prices'!B12,'Electric interior'!G3='Material prices'!B13),"feet of pipe", "posts")</f>
        <v>posts</v>
      </c>
      <c r="K3" s="43">
        <f>VLOOKUP(G3,'Material prices'!B12:E19,4,FALSE)</f>
        <v>12.5</v>
      </c>
      <c r="L3" s="44">
        <f>H3*K3</f>
        <v>37.5</v>
      </c>
      <c r="N3" s="13"/>
      <c r="O3" s="13"/>
      <c r="P3" s="13"/>
    </row>
    <row r="4" spans="2:16" x14ac:dyDescent="0.3">
      <c r="B4" s="20" t="s">
        <v>167</v>
      </c>
      <c r="C4" s="42">
        <v>2</v>
      </c>
      <c r="D4" s="100" t="s">
        <v>168</v>
      </c>
      <c r="F4" s="20" t="s">
        <v>166</v>
      </c>
      <c r="H4" s="6">
        <f>H3*C5</f>
        <v>6</v>
      </c>
      <c r="I4" s="102" t="s">
        <v>74</v>
      </c>
      <c r="K4" s="43">
        <f>'Material prices'!E30</f>
        <v>1.25</v>
      </c>
      <c r="L4" s="44">
        <f>K4*H4</f>
        <v>7.5</v>
      </c>
      <c r="N4" s="13"/>
      <c r="O4" s="13"/>
      <c r="P4" s="13"/>
    </row>
    <row r="5" spans="2:16" x14ac:dyDescent="0.3">
      <c r="B5" s="20" t="s">
        <v>169</v>
      </c>
      <c r="C5" s="42">
        <v>2</v>
      </c>
      <c r="D5" s="100" t="s">
        <v>170</v>
      </c>
      <c r="F5" s="20" t="s">
        <v>151</v>
      </c>
      <c r="G5" s="42" t="s">
        <v>94</v>
      </c>
      <c r="H5" s="6">
        <f>ROUNDUP(C3*C5/(VLOOKUP(G5,'Material prices'!B32:C37,2,FALSE)),0)</f>
        <v>2</v>
      </c>
      <c r="I5" s="102" t="s">
        <v>133</v>
      </c>
      <c r="K5" s="43">
        <f>VLOOKUP(G5,'Material prices'!B32:E37,4,FALSE)</f>
        <v>68</v>
      </c>
      <c r="L5" s="44">
        <f t="shared" ref="L5:L6" si="0">H5*K5</f>
        <v>136</v>
      </c>
    </row>
    <row r="6" spans="2:16" x14ac:dyDescent="0.3">
      <c r="B6" s="20" t="s">
        <v>171</v>
      </c>
      <c r="C6" s="42">
        <v>1</v>
      </c>
      <c r="D6" s="100" t="s">
        <v>172</v>
      </c>
      <c r="F6" s="20" t="s">
        <v>67</v>
      </c>
      <c r="G6" s="42" t="s">
        <v>82</v>
      </c>
      <c r="H6" s="6">
        <f>ROUND(C3/100*C7,0)</f>
        <v>40</v>
      </c>
      <c r="I6" s="102" t="s">
        <v>47</v>
      </c>
      <c r="K6" s="43">
        <f>VLOOKUP(G6,'Material prices'!$B$14:$E$27,4,FALSE)</f>
        <v>3.75</v>
      </c>
      <c r="L6" s="44">
        <f t="shared" si="0"/>
        <v>150</v>
      </c>
    </row>
    <row r="7" spans="2:16" x14ac:dyDescent="0.3">
      <c r="B7" s="20" t="s">
        <v>233</v>
      </c>
      <c r="C7" s="42">
        <v>3</v>
      </c>
      <c r="D7" s="100" t="s">
        <v>26</v>
      </c>
      <c r="F7" s="20" t="s">
        <v>138</v>
      </c>
      <c r="G7" s="6" t="str">
        <f>IFERROR(VLOOKUP(G6,'Material prices'!$B$4:$G$22,6,FALSE),"No fastener needed")</f>
        <v>no fastener needed</v>
      </c>
      <c r="H7" s="45" t="str">
        <f>IF(G7='Material prices'!G22,"N/A",ROUNDUP(H6*C5/VLOOKUP(G7,'Material prices'!I21:J26,2,FALSE),0))</f>
        <v>N/A</v>
      </c>
      <c r="I7" s="102" t="s">
        <v>128</v>
      </c>
      <c r="K7" s="43" t="str">
        <f>IFERROR(VLOOKUP(G7,'Material prices'!$B$14:$E$35,4,FALSE),"N/A")</f>
        <v>N/A</v>
      </c>
      <c r="L7" s="44" t="str">
        <f>IFERROR(H7*K7,"N/A")</f>
        <v>N/A</v>
      </c>
    </row>
    <row r="8" spans="2:16" ht="17.25" x14ac:dyDescent="0.3">
      <c r="B8" s="20" t="s">
        <v>176</v>
      </c>
      <c r="C8" s="42">
        <v>2</v>
      </c>
      <c r="D8" s="100"/>
      <c r="F8" s="20" t="s">
        <v>173</v>
      </c>
      <c r="G8" s="6" t="s">
        <v>174</v>
      </c>
      <c r="H8" s="45">
        <f>C6</f>
        <v>1</v>
      </c>
      <c r="I8" s="102" t="s">
        <v>175</v>
      </c>
      <c r="K8" s="43">
        <f>'Material prices'!E48</f>
        <v>13.25</v>
      </c>
      <c r="L8" s="44">
        <f>K8*H8</f>
        <v>13.25</v>
      </c>
    </row>
    <row r="9" spans="2:16" x14ac:dyDescent="0.3">
      <c r="B9" s="20" t="s">
        <v>252</v>
      </c>
      <c r="C9" s="42" t="s">
        <v>249</v>
      </c>
      <c r="D9" s="100"/>
      <c r="F9" s="20" t="s">
        <v>215</v>
      </c>
      <c r="G9" s="6" t="s">
        <v>214</v>
      </c>
      <c r="H9" s="46">
        <f>H10</f>
        <v>3.8940625000000004</v>
      </c>
      <c r="I9" s="102" t="s">
        <v>139</v>
      </c>
      <c r="K9" s="43">
        <f>'Material prices'!E54</f>
        <v>25</v>
      </c>
      <c r="L9" s="44">
        <f>H9*K9</f>
        <v>97.351562500000014</v>
      </c>
    </row>
    <row r="10" spans="2:16" ht="18" customHeight="1" x14ac:dyDescent="0.3">
      <c r="B10" s="179" t="s">
        <v>212</v>
      </c>
      <c r="C10" s="180"/>
      <c r="D10" s="181"/>
      <c r="F10" s="20" t="s">
        <v>140</v>
      </c>
      <c r="H10" s="46">
        <f>VLOOKUP(C8,'Material prices'!H4:N8,7,FALSE)/5280*'Electric interior'!C3*VLOOKUP('Electric interior'!C8,'Material prices'!H4:N8,6,FALSE)+(C5-1)</f>
        <v>3.8940625000000004</v>
      </c>
      <c r="I10" s="102" t="s">
        <v>141</v>
      </c>
      <c r="K10" s="43">
        <f>'Material prices'!E55</f>
        <v>20</v>
      </c>
      <c r="L10" s="44">
        <f>H10*K10</f>
        <v>77.881250000000009</v>
      </c>
    </row>
    <row r="11" spans="2:16" ht="17.25" customHeight="1" x14ac:dyDescent="0.3">
      <c r="B11" s="179"/>
      <c r="C11" s="180"/>
      <c r="D11" s="181"/>
      <c r="F11" s="53" t="s">
        <v>153</v>
      </c>
      <c r="G11" s="7" t="s">
        <v>154</v>
      </c>
      <c r="H11" s="6">
        <f>IF(C3/660&gt;3,ROUND(C3/660,0),3)</f>
        <v>3</v>
      </c>
      <c r="I11" s="102" t="s">
        <v>155</v>
      </c>
      <c r="K11" s="43">
        <f>'Material prices'!E38</f>
        <v>15</v>
      </c>
      <c r="L11" s="44">
        <f>K11*H11</f>
        <v>45</v>
      </c>
    </row>
    <row r="12" spans="2:16" ht="18" thickBot="1" x14ac:dyDescent="0.35">
      <c r="B12" s="182"/>
      <c r="C12" s="183"/>
      <c r="D12" s="184"/>
      <c r="F12" s="53"/>
      <c r="G12" s="7" t="s">
        <v>192</v>
      </c>
      <c r="H12" s="6">
        <f>IF(C9=D14,C5,0)</f>
        <v>2</v>
      </c>
      <c r="I12" s="102" t="s">
        <v>193</v>
      </c>
      <c r="K12" s="43">
        <f>'Material prices'!E39</f>
        <v>100</v>
      </c>
      <c r="L12" s="44">
        <f>K12*H12</f>
        <v>200</v>
      </c>
    </row>
    <row r="13" spans="2:16" ht="17.25" x14ac:dyDescent="0.3">
      <c r="F13" s="54"/>
      <c r="G13" s="33" t="s">
        <v>196</v>
      </c>
      <c r="H13" s="25">
        <f>IF(G13=B19,0,1)</f>
        <v>1</v>
      </c>
      <c r="I13" s="115" t="s">
        <v>156</v>
      </c>
      <c r="J13" s="25"/>
      <c r="K13" s="31">
        <f>IFERROR(VLOOKUP(G13,'Material prices'!B45:E46,4,FALSE),"N/A")</f>
        <v>260</v>
      </c>
      <c r="L13" s="47">
        <f>IFERROR(K13*H13,"N/A")</f>
        <v>260</v>
      </c>
    </row>
    <row r="14" spans="2:16" x14ac:dyDescent="0.3">
      <c r="B14" s="38"/>
      <c r="C14" s="38"/>
      <c r="D14" s="38" t="s">
        <v>249</v>
      </c>
      <c r="F14" s="20"/>
      <c r="H14" s="46"/>
      <c r="J14" s="48"/>
      <c r="K14" s="49" t="s">
        <v>142</v>
      </c>
      <c r="L14" s="50" t="s">
        <v>143</v>
      </c>
    </row>
    <row r="15" spans="2:16" x14ac:dyDescent="0.3">
      <c r="B15" s="38"/>
      <c r="C15" s="38"/>
      <c r="D15" s="38" t="s">
        <v>250</v>
      </c>
      <c r="F15" s="55" t="s">
        <v>144</v>
      </c>
      <c r="H15" s="46"/>
      <c r="I15" s="169" t="s">
        <v>145</v>
      </c>
      <c r="J15" s="169"/>
      <c r="K15" s="104">
        <f>SUM(L9:L10)</f>
        <v>175.23281250000002</v>
      </c>
      <c r="L15" s="105">
        <f>K15/$C$3</f>
        <v>0.13275213068181821</v>
      </c>
    </row>
    <row r="16" spans="2:16" x14ac:dyDescent="0.3">
      <c r="B16" s="38"/>
      <c r="C16" s="38"/>
      <c r="D16" s="38"/>
      <c r="F16" s="56">
        <f>VLOOKUP(C8,'Material prices'!H6:N10,7,FALSE)-1</f>
        <v>5.0000000000000044E-2</v>
      </c>
      <c r="G16" s="6" t="s">
        <v>146</v>
      </c>
      <c r="H16" s="46"/>
      <c r="I16" s="169" t="s">
        <v>147</v>
      </c>
      <c r="J16" s="169"/>
      <c r="K16" s="104">
        <f>SUM(L3:L8,L11:L13)</f>
        <v>849.25</v>
      </c>
      <c r="L16" s="105">
        <f t="shared" ref="L16:L17" si="1">K16/$C$3</f>
        <v>0.64337121212121207</v>
      </c>
    </row>
    <row r="17" spans="2:12" x14ac:dyDescent="0.3">
      <c r="B17" s="38" t="str">
        <f>'Material prices'!B45</f>
        <v>110v fence charger, 5 joule</v>
      </c>
      <c r="C17" s="38"/>
      <c r="D17" s="38"/>
      <c r="F17" s="55"/>
      <c r="G17" s="25"/>
      <c r="H17" s="26"/>
      <c r="I17" s="170" t="s">
        <v>142</v>
      </c>
      <c r="J17" s="170"/>
      <c r="K17" s="106">
        <f>SUM(K15:K16)</f>
        <v>1024.4828124999999</v>
      </c>
      <c r="L17" s="107">
        <f t="shared" si="1"/>
        <v>0.77612334280303019</v>
      </c>
    </row>
    <row r="18" spans="2:12" ht="16.5" customHeight="1" x14ac:dyDescent="0.3">
      <c r="B18" s="38" t="str">
        <f>'Material prices'!B46</f>
        <v>Solar fence charge, 4 joule</v>
      </c>
      <c r="C18" s="38"/>
      <c r="D18" s="38"/>
      <c r="F18" s="20"/>
      <c r="I18" s="169" t="s">
        <v>148</v>
      </c>
      <c r="J18" s="169"/>
      <c r="K18" s="116">
        <f>K16*(F16+1)+K15</f>
        <v>1066.9453125</v>
      </c>
      <c r="L18" s="109">
        <f>K18/$C$3</f>
        <v>0.80829190340909096</v>
      </c>
    </row>
    <row r="19" spans="2:12" x14ac:dyDescent="0.3">
      <c r="B19" s="38" t="s">
        <v>251</v>
      </c>
      <c r="C19" s="38"/>
      <c r="D19" s="38"/>
      <c r="F19" s="185" t="s">
        <v>149</v>
      </c>
      <c r="G19" s="157"/>
      <c r="H19" s="157"/>
      <c r="I19" s="157"/>
      <c r="J19" s="157"/>
      <c r="K19" s="157"/>
      <c r="L19" s="186"/>
    </row>
    <row r="20" spans="2:12" ht="16.5" customHeight="1" x14ac:dyDescent="0.3">
      <c r="F20" s="185"/>
      <c r="G20" s="157"/>
      <c r="H20" s="157"/>
      <c r="I20" s="157"/>
      <c r="J20" s="157"/>
      <c r="K20" s="157"/>
      <c r="L20" s="186"/>
    </row>
    <row r="21" spans="2:12" ht="16.5" customHeight="1" thickBot="1" x14ac:dyDescent="0.35">
      <c r="F21" s="187"/>
      <c r="G21" s="188"/>
      <c r="H21" s="188"/>
      <c r="I21" s="188"/>
      <c r="J21" s="188"/>
      <c r="K21" s="188"/>
      <c r="L21" s="189"/>
    </row>
    <row r="22" spans="2:12" x14ac:dyDescent="0.3"/>
    <row r="23" spans="2:12" x14ac:dyDescent="0.3"/>
    <row r="24" spans="2:12" x14ac:dyDescent="0.3"/>
  </sheetData>
  <sheetProtection sheet="1" objects="1" scenarios="1"/>
  <protectedRanges>
    <protectedRange sqref="G3 G5:G6 G13 C3:C9" name="grey cells"/>
  </protectedRanges>
  <mergeCells count="9">
    <mergeCell ref="F1:L1"/>
    <mergeCell ref="I18:J18"/>
    <mergeCell ref="B10:D12"/>
    <mergeCell ref="F19:L21"/>
    <mergeCell ref="N2:O2"/>
    <mergeCell ref="I15:J15"/>
    <mergeCell ref="I16:J16"/>
    <mergeCell ref="I17:J17"/>
    <mergeCell ref="B1:D1"/>
  </mergeCells>
  <dataValidations count="2">
    <dataValidation type="list" allowBlank="1" showInputMessage="1" showErrorMessage="1" sqref="G13" xr:uid="{5961073F-1A21-4DEB-92D8-730F9D169107}">
      <formula1>$B$17:$B$19</formula1>
    </dataValidation>
    <dataValidation type="list" allowBlank="1" showInputMessage="1" showErrorMessage="1" sqref="C9" xr:uid="{05874990-A618-45A1-8E7F-F2DC8A235662}">
      <formula1>$D$14:$D$15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C33D4E12-7A1A-4058-87D2-4DF4E51B6D9F}">
          <x14:formula1>
            <xm:f>'Material prices'!$B$12:$B$19</xm:f>
          </x14:formula1>
          <xm:sqref>G3</xm:sqref>
        </x14:dataValidation>
        <x14:dataValidation type="list" allowBlank="1" showInputMessage="1" showErrorMessage="1" xr:uid="{D75AD4B8-A97A-43E2-8A13-563BBE3243F8}">
          <x14:formula1>
            <xm:f>'Material prices'!$B$16:$B$22</xm:f>
          </x14:formula1>
          <xm:sqref>G6</xm:sqref>
        </x14:dataValidation>
        <x14:dataValidation type="list" allowBlank="1" showInputMessage="1" showErrorMessage="1" xr:uid="{D400D6CE-A835-4974-BEE4-377667FD3398}">
          <x14:formula1>
            <xm:f>'Material prices'!$H$4:$H$8</xm:f>
          </x14:formula1>
          <xm:sqref>C8</xm:sqref>
        </x14:dataValidation>
        <x14:dataValidation type="list" allowBlank="1" showInputMessage="1" showErrorMessage="1" xr:uid="{C372E83C-1B31-415D-AF8E-57B3CFA4BD15}">
          <x14:formula1>
            <xm:f>'Material prices'!$B$33:$B$37</xm:f>
          </x14:formula1>
          <xm:sqref>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Project</vt:lpstr>
      <vt:lpstr>Material prices</vt:lpstr>
      <vt:lpstr>Woven wire</vt:lpstr>
      <vt:lpstr>5-barb</vt:lpstr>
      <vt:lpstr>6-wire HT</vt:lpstr>
      <vt:lpstr>Electrified HT</vt:lpstr>
      <vt:lpstr>Summary</vt:lpstr>
      <vt:lpstr>Electric interior</vt:lpstr>
      <vt:lpstr>Corral fencing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Kientzy, Andrew</dc:creator>
  <cp:keywords/>
  <dc:description/>
  <cp:lastModifiedBy>Kientzy, Andrew</cp:lastModifiedBy>
  <cp:revision/>
  <dcterms:created xsi:type="dcterms:W3CDTF">2023-07-19T16:00:22Z</dcterms:created>
  <dcterms:modified xsi:type="dcterms:W3CDTF">2024-02-19T16:53:24Z</dcterms:modified>
  <cp:category/>
  <cp:contentStatus/>
</cp:coreProperties>
</file>