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mailmissouri.sharepoint.com/sites/MUEXTPlantSciences-Ogrp-ABPInternalMaterials/Shared Documents/ABP Internal Materials/ABP Publications/"/>
    </mc:Choice>
  </mc:AlternateContent>
  <xr:revisionPtr revIDLastSave="0" documentId="8_{3C1B918A-E727-4799-83E7-81D216E105CC}" xr6:coauthVersionLast="47" xr6:coauthVersionMax="47" xr10:uidLastSave="{00000000-0000-0000-0000-000000000000}"/>
  <bookViews>
    <workbookView xWindow="57480" yWindow="-5280" windowWidth="29040" windowHeight="16440" activeTab="6" xr2:uid="{A3128A76-7503-4CF2-8A06-5CDA2B835BDE}"/>
  </bookViews>
  <sheets>
    <sheet name="Introduction" sheetId="32" r:id="rId1"/>
    <sheet name="Input prices" sheetId="8" r:id="rId2"/>
    <sheet name="Input quantities" sheetId="24" r:id="rId3"/>
    <sheet name="Irrigation costs" sheetId="25" state="hidden" r:id="rId4"/>
    <sheet name="Equipment" sheetId="22" state="hidden" r:id="rId5"/>
    <sheet name="Custom hire" sheetId="23" r:id="rId6"/>
    <sheet name="Organic Corn" sheetId="30" r:id="rId7"/>
    <sheet name="Organic Soybeans" sheetId="31" r:id="rId8"/>
    <sheet name="Machinery Input Tables" sheetId="28" state="hidden" r:id="rId9"/>
  </sheets>
  <externalReferences>
    <externalReference r:id="rId10"/>
    <externalReference r:id="rId11"/>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 localSheetId="0">[1]!Table4[Activity]</definedName>
    <definedName name="CustomImps">#REF!</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Sel">#REF!</definedName>
    <definedName name="import">#REF!</definedName>
    <definedName name="income">#REF!</definedName>
    <definedName name="insecticide2">#REF!,#REF!</definedName>
    <definedName name="Introduction">#REF!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 localSheetId="0">#REF!</definedName>
    <definedName name="power">#REF!,#REF!,#REF!,#REF!,#REF!,#REF!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6">'Organic Corn'!$B$3:$H$54</definedName>
    <definedName name="_xlnm.Print_Area" localSheetId="7">'Organic Soybeans'!$B$3:$H$53</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localSheetId="0" hidden="1">{"detail",#N/A,FALSE,"Trac_Table";"tractable",#N/A,FALSE,"Trac_Table";"sensitivity",#N/A,FALSE,"Trac_Table"}</definedName>
    <definedName name="wrn.all." hidden="1">{"detail",#N/A,FALSE,"Trac_Table";"tractable",#N/A,FALSE,"Trac_Table";"sensitivity",#N/A,FALSE,"Trac_Table"}</definedName>
    <definedName name="ww" localSheetId="0">[1]!Table4[Activity]</definedName>
    <definedName name="ww">#REF!</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75" i="31" l="1"/>
  <c r="C75" i="31"/>
  <c r="B76" i="31"/>
  <c r="C76" i="31"/>
  <c r="C74" i="31"/>
  <c r="B74" i="31"/>
  <c r="D6" i="31"/>
  <c r="D6" i="30"/>
  <c r="K14" i="24"/>
  <c r="J14" i="24"/>
  <c r="K13" i="24"/>
  <c r="J13" i="24"/>
  <c r="E44" i="22" l="1"/>
  <c r="F44" i="22"/>
  <c r="H44" i="22"/>
  <c r="E45" i="22"/>
  <c r="E74" i="31" s="1"/>
  <c r="F45" i="22"/>
  <c r="H45" i="22"/>
  <c r="G74" i="31" s="1"/>
  <c r="E46" i="22"/>
  <c r="F46" i="22"/>
  <c r="D75" i="31" s="1"/>
  <c r="H46" i="22"/>
  <c r="G75" i="31" s="1"/>
  <c r="E10" i="22"/>
  <c r="F10" i="22"/>
  <c r="H10" i="22"/>
  <c r="G46" i="22" l="1"/>
  <c r="E75" i="31"/>
  <c r="G44" i="22"/>
  <c r="I44" i="22" s="1"/>
  <c r="G45" i="22"/>
  <c r="F74" i="31" s="1"/>
  <c r="D74" i="31"/>
  <c r="G10" i="22"/>
  <c r="I10" i="22" s="1"/>
  <c r="I46" i="22" l="1"/>
  <c r="F75" i="31"/>
  <c r="H75" i="31" s="1"/>
  <c r="I45" i="22"/>
  <c r="AD118" i="28" l="1"/>
  <c r="AC118" i="28"/>
  <c r="AB118" i="28"/>
  <c r="AA118" i="28"/>
  <c r="Z118" i="28"/>
  <c r="AB117" i="28"/>
  <c r="AB116" i="28"/>
  <c r="AB115" i="28"/>
  <c r="AB114" i="28"/>
  <c r="AB113" i="28"/>
  <c r="AB112" i="28"/>
  <c r="AB111" i="28"/>
  <c r="AB110" i="28"/>
  <c r="AB109" i="28"/>
  <c r="AB108" i="28"/>
  <c r="AB107" i="28"/>
  <c r="AB106" i="28"/>
  <c r="AB105" i="28"/>
  <c r="AB104" i="28"/>
  <c r="AB103" i="28"/>
  <c r="AB102" i="28"/>
  <c r="AB101" i="28"/>
  <c r="AB100" i="28"/>
  <c r="AB99" i="28"/>
  <c r="AB7" i="28"/>
  <c r="AB8" i="28"/>
  <c r="AB9" i="28"/>
  <c r="AB10" i="28"/>
  <c r="AB11" i="28"/>
  <c r="AB12" i="28"/>
  <c r="AB13" i="28"/>
  <c r="AB14" i="28"/>
  <c r="AB15" i="28"/>
  <c r="AB16" i="28"/>
  <c r="AB17" i="28"/>
  <c r="AB18" i="28"/>
  <c r="AB19" i="28"/>
  <c r="AB20" i="28"/>
  <c r="AB21" i="28"/>
  <c r="AB22" i="28"/>
  <c r="AB23" i="28"/>
  <c r="AB24" i="28"/>
  <c r="AB25" i="28"/>
  <c r="AB26" i="28"/>
  <c r="AB27" i="28"/>
  <c r="AB28" i="28"/>
  <c r="AB29" i="28"/>
  <c r="AB30" i="28"/>
  <c r="AB31" i="28"/>
  <c r="AB32" i="28"/>
  <c r="AB33" i="28"/>
  <c r="AB34" i="28"/>
  <c r="AB35" i="28"/>
  <c r="AB36" i="28"/>
  <c r="AB37" i="28"/>
  <c r="AB38" i="28"/>
  <c r="AB39" i="28"/>
  <c r="AB40" i="28"/>
  <c r="AB41" i="28"/>
  <c r="AB42" i="28"/>
  <c r="AB43" i="28"/>
  <c r="AB44" i="28"/>
  <c r="AB45" i="28"/>
  <c r="AB46" i="28"/>
  <c r="AB47" i="28"/>
  <c r="AB48" i="28"/>
  <c r="AB49" i="28"/>
  <c r="AB50" i="28"/>
  <c r="AB51" i="28"/>
  <c r="AB52" i="28"/>
  <c r="AB53" i="28"/>
  <c r="AB54" i="28"/>
  <c r="AB55" i="28"/>
  <c r="AB56" i="28"/>
  <c r="AB57" i="28"/>
  <c r="AB58" i="28"/>
  <c r="AB59" i="28"/>
  <c r="AB60" i="28"/>
  <c r="AB61" i="28"/>
  <c r="AB62" i="28"/>
  <c r="AB63" i="28"/>
  <c r="AB64" i="28"/>
  <c r="AB65" i="28"/>
  <c r="AB66" i="28"/>
  <c r="AB67" i="28"/>
  <c r="AB68" i="28"/>
  <c r="AB69" i="28"/>
  <c r="AB70" i="28"/>
  <c r="AB71" i="28"/>
  <c r="AB72" i="28"/>
  <c r="AB73" i="28"/>
  <c r="AB74" i="28"/>
  <c r="AB75" i="28"/>
  <c r="AB76" i="28"/>
  <c r="AB77" i="28"/>
  <c r="AB78" i="28"/>
  <c r="AB79" i="28"/>
  <c r="AB80" i="28"/>
  <c r="AB81" i="28"/>
  <c r="AB82" i="28"/>
  <c r="AB83" i="28"/>
  <c r="AB84" i="28"/>
  <c r="AB85" i="28"/>
  <c r="AB86" i="28"/>
  <c r="AB87" i="28"/>
  <c r="AB88" i="28"/>
  <c r="AB89" i="28"/>
  <c r="AB90" i="28"/>
  <c r="AB91" i="28"/>
  <c r="AB92" i="28"/>
  <c r="AB93" i="28"/>
  <c r="AB94" i="28"/>
  <c r="AB95" i="28"/>
  <c r="AB96" i="28"/>
  <c r="AB97" i="28"/>
  <c r="AB98" i="28"/>
  <c r="AB119" i="28"/>
  <c r="AB120" i="28"/>
  <c r="AB121" i="28"/>
  <c r="AB6" i="28"/>
  <c r="E106" i="22"/>
  <c r="E105" i="22"/>
  <c r="E104" i="22"/>
  <c r="E103" i="22"/>
  <c r="E102" i="22"/>
  <c r="E101" i="22"/>
  <c r="E100" i="22"/>
  <c r="E99" i="22"/>
  <c r="E98" i="22"/>
  <c r="E97" i="22"/>
  <c r="E90" i="22"/>
  <c r="E89" i="22"/>
  <c r="E88" i="22"/>
  <c r="E87" i="22"/>
  <c r="E86" i="22"/>
  <c r="E85" i="22"/>
  <c r="E84" i="22"/>
  <c r="E83" i="22"/>
  <c r="E82" i="22"/>
  <c r="E81" i="22"/>
  <c r="E72" i="22"/>
  <c r="E71" i="22"/>
  <c r="E70" i="22"/>
  <c r="E69" i="22"/>
  <c r="E68" i="22"/>
  <c r="E67" i="22"/>
  <c r="E66" i="22"/>
  <c r="E65" i="22"/>
  <c r="E64" i="22"/>
  <c r="E63" i="22"/>
  <c r="E62" i="22"/>
  <c r="E54" i="22"/>
  <c r="E53" i="22"/>
  <c r="E52" i="22"/>
  <c r="E51" i="22"/>
  <c r="E50" i="22"/>
  <c r="E49" i="22"/>
  <c r="E48" i="22"/>
  <c r="E47" i="22"/>
  <c r="E76" i="31" s="1"/>
  <c r="E43" i="22"/>
  <c r="E17" i="22"/>
  <c r="E16" i="22"/>
  <c r="E15" i="22"/>
  <c r="E14" i="22"/>
  <c r="E13" i="22"/>
  <c r="E12" i="22"/>
  <c r="E9" i="22"/>
  <c r="E35" i="22"/>
  <c r="E34" i="22"/>
  <c r="E33" i="22"/>
  <c r="E32" i="22"/>
  <c r="E31" i="22"/>
  <c r="E30" i="22"/>
  <c r="E29" i="22"/>
  <c r="E28" i="22"/>
  <c r="E27" i="22"/>
  <c r="E26" i="22"/>
  <c r="E25" i="22"/>
  <c r="E24" i="22"/>
  <c r="G106" i="22"/>
  <c r="G105" i="22"/>
  <c r="G90" i="22"/>
  <c r="G89" i="22"/>
  <c r="G88" i="22"/>
  <c r="G72" i="22"/>
  <c r="G71" i="22"/>
  <c r="G70" i="22"/>
  <c r="G69" i="22"/>
  <c r="G54" i="22"/>
  <c r="G53" i="22"/>
  <c r="G52" i="22"/>
  <c r="G35" i="22"/>
  <c r="BP6" i="28"/>
  <c r="BP10" i="28"/>
  <c r="E8" i="22"/>
  <c r="H106" i="22"/>
  <c r="H105" i="22"/>
  <c r="H104" i="22"/>
  <c r="H103" i="22"/>
  <c r="H102" i="22"/>
  <c r="H101" i="22"/>
  <c r="H100" i="22"/>
  <c r="H99" i="22"/>
  <c r="H98" i="22"/>
  <c r="H97" i="22"/>
  <c r="H90" i="22"/>
  <c r="H89" i="22"/>
  <c r="H88" i="22"/>
  <c r="H87" i="22"/>
  <c r="H86" i="22"/>
  <c r="H85" i="22"/>
  <c r="H84" i="22"/>
  <c r="H83" i="22"/>
  <c r="H82" i="22"/>
  <c r="H81" i="22"/>
  <c r="H72" i="22"/>
  <c r="H71" i="22"/>
  <c r="H70" i="22"/>
  <c r="H69" i="22"/>
  <c r="H68" i="22"/>
  <c r="H67" i="22"/>
  <c r="H66" i="22"/>
  <c r="H65" i="22"/>
  <c r="H64" i="22"/>
  <c r="H63" i="22"/>
  <c r="H62" i="22"/>
  <c r="H54" i="22"/>
  <c r="H53" i="22"/>
  <c r="H52" i="22"/>
  <c r="H51" i="22"/>
  <c r="H50" i="22"/>
  <c r="H49" i="22"/>
  <c r="H48" i="22"/>
  <c r="H47" i="22"/>
  <c r="G76" i="31" s="1"/>
  <c r="H43" i="22"/>
  <c r="H35" i="22"/>
  <c r="H34" i="22"/>
  <c r="H33" i="22"/>
  <c r="H32" i="22"/>
  <c r="H31" i="22"/>
  <c r="H30" i="22"/>
  <c r="H29" i="22"/>
  <c r="H28" i="22"/>
  <c r="H27" i="22"/>
  <c r="H26" i="22"/>
  <c r="H25" i="22"/>
  <c r="H24" i="22"/>
  <c r="H17" i="22"/>
  <c r="H16" i="22"/>
  <c r="H15" i="22"/>
  <c r="H14" i="22"/>
  <c r="H13" i="22"/>
  <c r="H12" i="22"/>
  <c r="H9" i="22"/>
  <c r="H8" i="22"/>
  <c r="F106" i="22"/>
  <c r="F105" i="22"/>
  <c r="F104" i="22"/>
  <c r="F103" i="22"/>
  <c r="F102" i="22"/>
  <c r="F101" i="22"/>
  <c r="F100" i="22"/>
  <c r="F99" i="22"/>
  <c r="F98" i="22"/>
  <c r="F97" i="22"/>
  <c r="G97" i="22" s="1"/>
  <c r="F90" i="22"/>
  <c r="F89" i="22"/>
  <c r="F88" i="22"/>
  <c r="F87" i="22"/>
  <c r="F86" i="22"/>
  <c r="G86" i="22" s="1"/>
  <c r="F85" i="22"/>
  <c r="F84" i="22"/>
  <c r="F83" i="22"/>
  <c r="F82" i="22"/>
  <c r="F81" i="22"/>
  <c r="F72" i="22"/>
  <c r="F71" i="22"/>
  <c r="F70" i="22"/>
  <c r="F69" i="22"/>
  <c r="F68" i="22"/>
  <c r="F67" i="22"/>
  <c r="F66" i="22"/>
  <c r="F65" i="22"/>
  <c r="F64" i="22"/>
  <c r="F63" i="22"/>
  <c r="F62" i="22"/>
  <c r="F54" i="22"/>
  <c r="F53" i="22"/>
  <c r="F52" i="22"/>
  <c r="F51" i="22"/>
  <c r="F50" i="22"/>
  <c r="F49" i="22"/>
  <c r="F48" i="22"/>
  <c r="F47" i="22"/>
  <c r="D76" i="31" s="1"/>
  <c r="F43" i="22"/>
  <c r="F35" i="22"/>
  <c r="F34" i="22"/>
  <c r="F33" i="22"/>
  <c r="F32" i="22"/>
  <c r="F31" i="22"/>
  <c r="F30" i="22"/>
  <c r="F29" i="22"/>
  <c r="F28" i="22"/>
  <c r="F27" i="22"/>
  <c r="F26" i="22"/>
  <c r="F25" i="22"/>
  <c r="F24" i="22"/>
  <c r="F17" i="22"/>
  <c r="F16" i="22"/>
  <c r="F15" i="22"/>
  <c r="F14" i="22"/>
  <c r="F13" i="22"/>
  <c r="F12" i="22"/>
  <c r="F9" i="22"/>
  <c r="F8" i="22"/>
  <c r="AC121" i="28"/>
  <c r="M121" i="28"/>
  <c r="K121" i="28"/>
  <c r="J121" i="28"/>
  <c r="AC120" i="28"/>
  <c r="M120" i="28"/>
  <c r="K120" i="28"/>
  <c r="J120" i="28"/>
  <c r="B120" i="28"/>
  <c r="AC119" i="28"/>
  <c r="M119" i="28"/>
  <c r="K119" i="28"/>
  <c r="J119" i="28"/>
  <c r="X119" i="28" s="1"/>
  <c r="B119" i="28"/>
  <c r="M118" i="28"/>
  <c r="K118" i="28"/>
  <c r="J118" i="28"/>
  <c r="B118" i="28"/>
  <c r="AC117" i="28"/>
  <c r="M117" i="28"/>
  <c r="K117" i="28"/>
  <c r="J117" i="28"/>
  <c r="B117" i="28"/>
  <c r="AC116" i="28"/>
  <c r="M116" i="28"/>
  <c r="K116" i="28"/>
  <c r="J116" i="28"/>
  <c r="X116" i="28" s="1"/>
  <c r="B116" i="28"/>
  <c r="AC115" i="28"/>
  <c r="M115" i="28"/>
  <c r="K115" i="28"/>
  <c r="X115" i="28" s="1"/>
  <c r="J115" i="28"/>
  <c r="B115" i="28"/>
  <c r="AC114" i="28"/>
  <c r="X114" i="28"/>
  <c r="M114" i="28"/>
  <c r="K114" i="28"/>
  <c r="J114" i="28"/>
  <c r="B114" i="28"/>
  <c r="AC113" i="28"/>
  <c r="M113" i="28"/>
  <c r="K113" i="28"/>
  <c r="J113" i="28"/>
  <c r="B113" i="28"/>
  <c r="AC112" i="28"/>
  <c r="M112" i="28"/>
  <c r="K112" i="28"/>
  <c r="J112" i="28"/>
  <c r="X112" i="28" s="1"/>
  <c r="B112" i="28"/>
  <c r="AC111" i="28"/>
  <c r="M111" i="28"/>
  <c r="K111" i="28"/>
  <c r="J111" i="28"/>
  <c r="B111" i="28"/>
  <c r="AC110" i="28"/>
  <c r="X110" i="28"/>
  <c r="M110" i="28"/>
  <c r="K110" i="28"/>
  <c r="J110" i="28"/>
  <c r="B110" i="28"/>
  <c r="AC109" i="28"/>
  <c r="M109" i="28"/>
  <c r="K109" i="28"/>
  <c r="J109" i="28"/>
  <c r="B109" i="28"/>
  <c r="AC108" i="28"/>
  <c r="M108" i="28"/>
  <c r="K108" i="28"/>
  <c r="J108" i="28"/>
  <c r="B108" i="28"/>
  <c r="AC107" i="28"/>
  <c r="M107" i="28"/>
  <c r="K107" i="28"/>
  <c r="X107" i="28" s="1"/>
  <c r="J107" i="28"/>
  <c r="B107" i="28"/>
  <c r="AC106" i="28"/>
  <c r="X106" i="28"/>
  <c r="M106" i="28"/>
  <c r="K106" i="28"/>
  <c r="J106" i="28"/>
  <c r="E106" i="28"/>
  <c r="B106" i="28" s="1"/>
  <c r="AC105" i="28"/>
  <c r="M105" i="28"/>
  <c r="K105" i="28"/>
  <c r="J105" i="28"/>
  <c r="E105" i="28"/>
  <c r="B105" i="28" s="1"/>
  <c r="AC104" i="28"/>
  <c r="M104" i="28"/>
  <c r="K104" i="28"/>
  <c r="J104" i="28"/>
  <c r="E104" i="28"/>
  <c r="B104" i="28"/>
  <c r="AC103" i="28"/>
  <c r="M103" i="28"/>
  <c r="K103" i="28"/>
  <c r="X103" i="28" s="1"/>
  <c r="J103" i="28"/>
  <c r="E103" i="28"/>
  <c r="B103" i="28" s="1"/>
  <c r="AC102" i="28"/>
  <c r="X102" i="28"/>
  <c r="M102" i="28"/>
  <c r="K102" i="28"/>
  <c r="J102" i="28"/>
  <c r="E102" i="28"/>
  <c r="B102" i="28" s="1"/>
  <c r="AC101" i="28"/>
  <c r="M101" i="28"/>
  <c r="K101" i="28"/>
  <c r="J101" i="28"/>
  <c r="E101" i="28"/>
  <c r="B101" i="28" s="1"/>
  <c r="AC100" i="28"/>
  <c r="X100" i="28"/>
  <c r="M100" i="28"/>
  <c r="K100" i="28"/>
  <c r="J100" i="28"/>
  <c r="E100" i="28"/>
  <c r="B100" i="28" s="1"/>
  <c r="AC99" i="28"/>
  <c r="M99" i="28"/>
  <c r="K99" i="28"/>
  <c r="X99" i="28" s="1"/>
  <c r="J99" i="28"/>
  <c r="E99" i="28"/>
  <c r="B99" i="28" s="1"/>
  <c r="B98" i="28"/>
  <c r="B97" i="28"/>
  <c r="B96" i="28"/>
  <c r="B95" i="28"/>
  <c r="B94" i="28"/>
  <c r="B93" i="28"/>
  <c r="B92" i="28"/>
  <c r="B91" i="28"/>
  <c r="B90" i="28"/>
  <c r="B89" i="28"/>
  <c r="B88" i="28"/>
  <c r="B87" i="28"/>
  <c r="B86" i="28"/>
  <c r="B85" i="28"/>
  <c r="B84" i="28"/>
  <c r="B83" i="28"/>
  <c r="B82" i="28"/>
  <c r="B81" i="28"/>
  <c r="B80" i="28"/>
  <c r="B79" i="28"/>
  <c r="B78" i="28"/>
  <c r="B77" i="28"/>
  <c r="B76" i="28"/>
  <c r="B75" i="28"/>
  <c r="B74" i="28"/>
  <c r="B73" i="28"/>
  <c r="B72" i="28"/>
  <c r="B71" i="28"/>
  <c r="B70" i="28"/>
  <c r="B69" i="28"/>
  <c r="B68" i="28"/>
  <c r="B67" i="28"/>
  <c r="B66" i="28"/>
  <c r="B65" i="28"/>
  <c r="B64" i="28"/>
  <c r="B63" i="28"/>
  <c r="B62" i="28"/>
  <c r="AC61" i="28"/>
  <c r="M61" i="28"/>
  <c r="K61" i="28"/>
  <c r="J61" i="28"/>
  <c r="B61" i="28"/>
  <c r="AC60" i="28"/>
  <c r="M60" i="28"/>
  <c r="K60" i="28"/>
  <c r="T60" i="28" s="1"/>
  <c r="U60" i="28" s="1"/>
  <c r="J60" i="28"/>
  <c r="X60" i="28" s="1"/>
  <c r="E60" i="28"/>
  <c r="B60" i="28" s="1"/>
  <c r="AC59" i="28"/>
  <c r="M59" i="28"/>
  <c r="K59" i="28"/>
  <c r="J59" i="28"/>
  <c r="E59" i="28"/>
  <c r="B59" i="28"/>
  <c r="AC58" i="28"/>
  <c r="X58" i="28"/>
  <c r="M58" i="28"/>
  <c r="K58" i="28"/>
  <c r="J58" i="28"/>
  <c r="E58" i="28"/>
  <c r="B58" i="28" s="1"/>
  <c r="AC57" i="28"/>
  <c r="M57" i="28"/>
  <c r="K57" i="28"/>
  <c r="T57" i="28" s="1"/>
  <c r="U57" i="28" s="1"/>
  <c r="J57" i="28"/>
  <c r="X57" i="28" s="1"/>
  <c r="E57" i="28"/>
  <c r="B57" i="28" s="1"/>
  <c r="AC56" i="28"/>
  <c r="M56" i="28"/>
  <c r="K56" i="28"/>
  <c r="T56" i="28" s="1"/>
  <c r="U56" i="28" s="1"/>
  <c r="J56" i="28"/>
  <c r="E56" i="28"/>
  <c r="B56" i="28" s="1"/>
  <c r="AC55" i="28"/>
  <c r="X55" i="28"/>
  <c r="M55" i="28"/>
  <c r="K55" i="28"/>
  <c r="J55" i="28"/>
  <c r="E55" i="28"/>
  <c r="B55" i="28" s="1"/>
  <c r="AC54" i="28"/>
  <c r="M54" i="28"/>
  <c r="K54" i="28"/>
  <c r="T54" i="28" s="1"/>
  <c r="U54" i="28" s="1"/>
  <c r="J54" i="28"/>
  <c r="X54" i="28" s="1"/>
  <c r="E54" i="28"/>
  <c r="B54" i="28" s="1"/>
  <c r="AC53" i="28"/>
  <c r="M53" i="28"/>
  <c r="K53" i="28"/>
  <c r="T53" i="28" s="1"/>
  <c r="U53" i="28" s="1"/>
  <c r="J53" i="28"/>
  <c r="E53" i="28"/>
  <c r="B53" i="28" s="1"/>
  <c r="BK52" i="28"/>
  <c r="AC52" i="28"/>
  <c r="M52" i="28"/>
  <c r="K52" i="28"/>
  <c r="J52" i="28"/>
  <c r="E52" i="28"/>
  <c r="B52" i="28" s="1"/>
  <c r="BK51" i="28"/>
  <c r="AC51" i="28"/>
  <c r="M51" i="28"/>
  <c r="K51" i="28"/>
  <c r="J51" i="28"/>
  <c r="E51" i="28"/>
  <c r="B51" i="28" s="1"/>
  <c r="BK50" i="28"/>
  <c r="AC50" i="28"/>
  <c r="M50" i="28"/>
  <c r="K50" i="28"/>
  <c r="J50" i="28"/>
  <c r="E50" i="28"/>
  <c r="B50" i="28" s="1"/>
  <c r="BK49" i="28"/>
  <c r="AC49" i="28"/>
  <c r="X49" i="28"/>
  <c r="M49" i="28"/>
  <c r="K49" i="28"/>
  <c r="J49" i="28"/>
  <c r="E49" i="28"/>
  <c r="B49" i="28" s="1"/>
  <c r="BK48" i="28"/>
  <c r="AC48" i="28"/>
  <c r="M48" i="28"/>
  <c r="K48" i="28"/>
  <c r="J48" i="28"/>
  <c r="X48" i="28" s="1"/>
  <c r="E48" i="28"/>
  <c r="B48" i="28" s="1"/>
  <c r="BK47" i="28"/>
  <c r="AC47" i="28"/>
  <c r="M47" i="28"/>
  <c r="K47" i="28"/>
  <c r="J47" i="28"/>
  <c r="B47" i="28"/>
  <c r="BK46" i="28"/>
  <c r="AC46" i="28"/>
  <c r="M46" i="28"/>
  <c r="K46" i="28"/>
  <c r="J46" i="28"/>
  <c r="B46" i="28"/>
  <c r="AC45" i="28"/>
  <c r="M45" i="28"/>
  <c r="K45" i="28"/>
  <c r="J45" i="28"/>
  <c r="X45" i="28" s="1"/>
  <c r="B45" i="28"/>
  <c r="BK44" i="28"/>
  <c r="AC44" i="28"/>
  <c r="M44" i="28"/>
  <c r="K44" i="28"/>
  <c r="T44" i="28" s="1"/>
  <c r="J44" i="28"/>
  <c r="B44" i="28"/>
  <c r="BK43" i="28"/>
  <c r="AC43" i="28"/>
  <c r="M43" i="28"/>
  <c r="K43" i="28"/>
  <c r="J43" i="28"/>
  <c r="B43" i="28"/>
  <c r="BK42" i="28"/>
  <c r="AC42" i="28"/>
  <c r="M42" i="28"/>
  <c r="K42" i="28"/>
  <c r="J42" i="28"/>
  <c r="B42" i="28"/>
  <c r="BK41" i="28"/>
  <c r="AC41" i="28"/>
  <c r="M41" i="28"/>
  <c r="K41" i="28"/>
  <c r="T41" i="28" s="1"/>
  <c r="U41" i="28" s="1"/>
  <c r="J41" i="28"/>
  <c r="B41" i="28"/>
  <c r="BK40" i="28"/>
  <c r="AC40" i="28"/>
  <c r="M40" i="28"/>
  <c r="K40" i="28"/>
  <c r="J40" i="28"/>
  <c r="B40" i="28"/>
  <c r="BK39" i="28"/>
  <c r="AC39" i="28"/>
  <c r="M39" i="28"/>
  <c r="K39" i="28"/>
  <c r="J39" i="28"/>
  <c r="X39" i="28" s="1"/>
  <c r="E39" i="28"/>
  <c r="B39" i="28" s="1"/>
  <c r="BK38" i="28"/>
  <c r="AC38" i="28"/>
  <c r="X38" i="28"/>
  <c r="M38" i="28"/>
  <c r="K38" i="28"/>
  <c r="J38" i="28"/>
  <c r="E38" i="28"/>
  <c r="B38" i="28" s="1"/>
  <c r="BK37" i="28"/>
  <c r="AC37" i="28"/>
  <c r="M37" i="28"/>
  <c r="K37" i="28"/>
  <c r="J37" i="28"/>
  <c r="E37" i="28"/>
  <c r="B37" i="28" s="1"/>
  <c r="AC36" i="28"/>
  <c r="T36" i="28"/>
  <c r="M36" i="28"/>
  <c r="K36" i="28"/>
  <c r="H36" i="28"/>
  <c r="E36" i="28"/>
  <c r="B36" i="28" s="1"/>
  <c r="BK35" i="28"/>
  <c r="AC35" i="28"/>
  <c r="M35" i="28"/>
  <c r="K35" i="28"/>
  <c r="H35" i="28"/>
  <c r="E35" i="28"/>
  <c r="B35" i="28" s="1"/>
  <c r="BK34" i="28"/>
  <c r="AC34" i="28"/>
  <c r="M34" i="28"/>
  <c r="K34" i="28"/>
  <c r="J34" i="28"/>
  <c r="B34" i="28"/>
  <c r="BK33" i="28"/>
  <c r="AC33" i="28"/>
  <c r="M33" i="28"/>
  <c r="K33" i="28"/>
  <c r="J33" i="28"/>
  <c r="E33" i="28"/>
  <c r="B33" i="28"/>
  <c r="BK32" i="28"/>
  <c r="BA32" i="28"/>
  <c r="AZ32" i="28"/>
  <c r="AH32" i="28"/>
  <c r="AC32" i="28"/>
  <c r="M32" i="28"/>
  <c r="K32" i="28"/>
  <c r="X32" i="28" s="1"/>
  <c r="J32" i="28"/>
  <c r="E32" i="28"/>
  <c r="B32" i="28" s="1"/>
  <c r="BK31" i="28"/>
  <c r="AZ31" i="28"/>
  <c r="AH31" i="28"/>
  <c r="AC31" i="28"/>
  <c r="M31" i="28"/>
  <c r="K31" i="28"/>
  <c r="J31" i="28"/>
  <c r="B31" i="28"/>
  <c r="BK30" i="28"/>
  <c r="AZ30" i="28"/>
  <c r="AP30" i="28"/>
  <c r="AN30" i="28"/>
  <c r="AM30" i="28"/>
  <c r="AH30" i="28"/>
  <c r="AC30" i="28"/>
  <c r="M30" i="28"/>
  <c r="K30" i="28"/>
  <c r="J30" i="28"/>
  <c r="B30" i="28"/>
  <c r="BK29" i="28"/>
  <c r="AZ29" i="28"/>
  <c r="AP29" i="28"/>
  <c r="AN29" i="28"/>
  <c r="AM29" i="28"/>
  <c r="AH29" i="28"/>
  <c r="AC29" i="28"/>
  <c r="M29" i="28"/>
  <c r="K29" i="28"/>
  <c r="J29" i="28"/>
  <c r="B29" i="28"/>
  <c r="BK28" i="28"/>
  <c r="AZ28" i="28"/>
  <c r="AY28" i="28"/>
  <c r="AP28" i="28"/>
  <c r="AN28" i="28"/>
  <c r="AU28" i="28" s="1"/>
  <c r="AV28" i="28" s="1"/>
  <c r="AW28" i="28" s="1"/>
  <c r="AM28" i="28"/>
  <c r="AH28" i="28"/>
  <c r="AC28" i="28"/>
  <c r="X28" i="28"/>
  <c r="M28" i="28"/>
  <c r="K28" i="28"/>
  <c r="J28" i="28"/>
  <c r="B28" i="28"/>
  <c r="BK27" i="28"/>
  <c r="AZ27" i="28"/>
  <c r="AP27" i="28"/>
  <c r="AY27" i="28" s="1"/>
  <c r="AN27" i="28"/>
  <c r="AM27" i="28"/>
  <c r="AH27" i="28"/>
  <c r="AC27" i="28"/>
  <c r="M27" i="28"/>
  <c r="K27" i="28"/>
  <c r="J27" i="28"/>
  <c r="X27" i="28" s="1"/>
  <c r="B27" i="28"/>
  <c r="BK26" i="28"/>
  <c r="AZ26" i="28"/>
  <c r="AP26" i="28"/>
  <c r="AN26" i="28"/>
  <c r="AM26" i="28"/>
  <c r="AH26" i="28"/>
  <c r="AC26" i="28"/>
  <c r="M26" i="28"/>
  <c r="K26" i="28"/>
  <c r="J26" i="28"/>
  <c r="B26" i="28"/>
  <c r="BK25" i="28"/>
  <c r="AZ25" i="28"/>
  <c r="AP25" i="28"/>
  <c r="AN25" i="28"/>
  <c r="AM25" i="28"/>
  <c r="AH25" i="28"/>
  <c r="AC25" i="28"/>
  <c r="M25" i="28"/>
  <c r="K25" i="28"/>
  <c r="J25" i="28"/>
  <c r="B25" i="28"/>
  <c r="BK24" i="28"/>
  <c r="AZ24" i="28"/>
  <c r="AP24" i="28"/>
  <c r="AN24" i="28"/>
  <c r="AU24" i="28" s="1"/>
  <c r="AV24" i="28" s="1"/>
  <c r="AW24" i="28" s="1"/>
  <c r="AM24" i="28"/>
  <c r="AH24" i="28"/>
  <c r="AC24" i="28"/>
  <c r="X24" i="28"/>
  <c r="M24" i="28"/>
  <c r="K24" i="28"/>
  <c r="J24" i="28"/>
  <c r="B24" i="28"/>
  <c r="BK23" i="28"/>
  <c r="AZ23" i="28"/>
  <c r="AP23" i="28"/>
  <c r="AU23" i="28" s="1"/>
  <c r="AV23" i="28" s="1"/>
  <c r="AW23" i="28" s="1"/>
  <c r="AN23" i="28"/>
  <c r="AM23" i="28"/>
  <c r="AH23" i="28"/>
  <c r="AC23" i="28"/>
  <c r="M23" i="28"/>
  <c r="K23" i="28"/>
  <c r="J23" i="28"/>
  <c r="X23" i="28" s="1"/>
  <c r="B23" i="28"/>
  <c r="BK22" i="28"/>
  <c r="AZ22" i="28"/>
  <c r="AP22" i="28"/>
  <c r="AN22" i="28"/>
  <c r="AM22" i="28"/>
  <c r="AH22" i="28"/>
  <c r="AC22" i="28"/>
  <c r="M22" i="28"/>
  <c r="K22" i="28"/>
  <c r="J22" i="28"/>
  <c r="B22" i="28"/>
  <c r="BK21" i="28"/>
  <c r="AZ21" i="28"/>
  <c r="AU21" i="28"/>
  <c r="AV21" i="28" s="1"/>
  <c r="AW21" i="28" s="1"/>
  <c r="AP21" i="28"/>
  <c r="AN21" i="28"/>
  <c r="AM21" i="28"/>
  <c r="AH21" i="28"/>
  <c r="AC21" i="28"/>
  <c r="M21" i="28"/>
  <c r="K21" i="28"/>
  <c r="J21" i="28"/>
  <c r="B21" i="28"/>
  <c r="BK20" i="28"/>
  <c r="AZ20" i="28"/>
  <c r="AU20" i="28"/>
  <c r="AV20" i="28" s="1"/>
  <c r="AW20" i="28" s="1"/>
  <c r="AP20" i="28"/>
  <c r="AN20" i="28"/>
  <c r="AM20" i="28"/>
  <c r="AH20" i="28"/>
  <c r="AC20" i="28"/>
  <c r="M20" i="28"/>
  <c r="K20" i="28"/>
  <c r="T20" i="28" s="1"/>
  <c r="U20" i="28" s="1"/>
  <c r="J20" i="28"/>
  <c r="X20" i="28" s="1"/>
  <c r="B20" i="28"/>
  <c r="BK19" i="28"/>
  <c r="AZ19" i="28"/>
  <c r="AP19" i="28"/>
  <c r="AY19" i="28" s="1"/>
  <c r="AN19" i="28"/>
  <c r="AU19" i="28" s="1"/>
  <c r="AV19" i="28" s="1"/>
  <c r="AW19" i="28" s="1"/>
  <c r="AM19" i="28"/>
  <c r="AH19" i="28"/>
  <c r="AC19" i="28"/>
  <c r="M19" i="28"/>
  <c r="K19" i="28"/>
  <c r="J19" i="28"/>
  <c r="B19" i="28"/>
  <c r="BK18" i="28"/>
  <c r="AZ18" i="28"/>
  <c r="AP18" i="28"/>
  <c r="AN18" i="28"/>
  <c r="AM18" i="28"/>
  <c r="AY18" i="28" s="1"/>
  <c r="AH18" i="28"/>
  <c r="AC18" i="28"/>
  <c r="M18" i="28"/>
  <c r="K18" i="28"/>
  <c r="J18" i="28"/>
  <c r="B18" i="28"/>
  <c r="BP17" i="28"/>
  <c r="T120" i="28" s="1"/>
  <c r="U120" i="28" s="1"/>
  <c r="BK17" i="28"/>
  <c r="AZ17" i="28"/>
  <c r="AP17" i="28"/>
  <c r="AN17" i="28"/>
  <c r="AM17" i="28"/>
  <c r="AY17" i="28" s="1"/>
  <c r="AH17" i="28"/>
  <c r="AC17" i="28"/>
  <c r="M17" i="28"/>
  <c r="K17" i="28"/>
  <c r="J17" i="28"/>
  <c r="B17" i="28"/>
  <c r="BK16" i="28"/>
  <c r="AZ16" i="28"/>
  <c r="AP16" i="28"/>
  <c r="AN16" i="28"/>
  <c r="AM16" i="28"/>
  <c r="AY16" i="28" s="1"/>
  <c r="AH16" i="28"/>
  <c r="AC16" i="28"/>
  <c r="T16" i="28"/>
  <c r="U16" i="28" s="1"/>
  <c r="M16" i="28"/>
  <c r="K16" i="28"/>
  <c r="J16" i="28"/>
  <c r="B16" i="28"/>
  <c r="BK15" i="28"/>
  <c r="AZ15" i="28"/>
  <c r="AP15" i="28"/>
  <c r="AN15" i="28"/>
  <c r="AU15" i="28" s="1"/>
  <c r="AV15" i="28" s="1"/>
  <c r="AW15" i="28" s="1"/>
  <c r="AM15" i="28"/>
  <c r="AY15" i="28" s="1"/>
  <c r="AH15" i="28"/>
  <c r="AC15" i="28"/>
  <c r="M15" i="28"/>
  <c r="K15" i="28"/>
  <c r="J15" i="28"/>
  <c r="B15" i="28"/>
  <c r="BK14" i="28"/>
  <c r="AZ14" i="28"/>
  <c r="AP14" i="28"/>
  <c r="AN14" i="28"/>
  <c r="AM14" i="28"/>
  <c r="AY14" i="28" s="1"/>
  <c r="AH14" i="28"/>
  <c r="AC14" i="28"/>
  <c r="M14" i="28"/>
  <c r="K14" i="28"/>
  <c r="J14" i="28"/>
  <c r="B14" i="28"/>
  <c r="BK13" i="28"/>
  <c r="AZ13" i="28"/>
  <c r="AP13" i="28"/>
  <c r="AN13" i="28"/>
  <c r="AM13" i="28"/>
  <c r="AH13" i="28"/>
  <c r="AC13" i="28"/>
  <c r="M13" i="28"/>
  <c r="K13" i="28"/>
  <c r="X13" i="28" s="1"/>
  <c r="J13" i="28"/>
  <c r="E13" i="28"/>
  <c r="B13" i="28" s="1"/>
  <c r="BP12" i="28"/>
  <c r="BK12" i="28"/>
  <c r="AZ12" i="28"/>
  <c r="AP12" i="28"/>
  <c r="AN12" i="28"/>
  <c r="AU12" i="28" s="1"/>
  <c r="AV12" i="28" s="1"/>
  <c r="AW12" i="28" s="1"/>
  <c r="AM12" i="28"/>
  <c r="AH12" i="28"/>
  <c r="AC12" i="28"/>
  <c r="M12" i="28"/>
  <c r="K12" i="28"/>
  <c r="T12" i="28" s="1"/>
  <c r="U12" i="28" s="1"/>
  <c r="V12" i="28" s="1"/>
  <c r="J12" i="28"/>
  <c r="E12" i="28"/>
  <c r="B12" i="28" s="1"/>
  <c r="BK11" i="28"/>
  <c r="AZ11" i="28"/>
  <c r="AY11" i="28"/>
  <c r="AP11" i="28"/>
  <c r="AN11" i="28"/>
  <c r="AU11" i="28" s="1"/>
  <c r="AV11" i="28" s="1"/>
  <c r="AM11" i="28"/>
  <c r="AH11" i="28"/>
  <c r="AC11" i="28"/>
  <c r="U11" i="28"/>
  <c r="V11" i="28" s="1"/>
  <c r="T11" i="28"/>
  <c r="M11" i="28"/>
  <c r="K11" i="28"/>
  <c r="J11" i="28"/>
  <c r="E11" i="28"/>
  <c r="B11" i="28"/>
  <c r="BK10" i="28"/>
  <c r="AZ10" i="28"/>
  <c r="AP10" i="28"/>
  <c r="AN10" i="28"/>
  <c r="AM10" i="28"/>
  <c r="AY10" i="28" s="1"/>
  <c r="AH10" i="28"/>
  <c r="AC10" i="28"/>
  <c r="M10" i="28"/>
  <c r="K10" i="28"/>
  <c r="J10" i="28"/>
  <c r="X10" i="28" s="1"/>
  <c r="E10" i="28"/>
  <c r="B10" i="28"/>
  <c r="BK9" i="28"/>
  <c r="AZ9" i="28"/>
  <c r="AY9" i="28"/>
  <c r="AP9" i="28"/>
  <c r="AN9" i="28"/>
  <c r="AM9" i="28"/>
  <c r="AH9" i="28"/>
  <c r="AC9" i="28"/>
  <c r="M9" i="28"/>
  <c r="K9" i="28"/>
  <c r="T9" i="28" s="1"/>
  <c r="U9" i="28" s="1"/>
  <c r="J9" i="28"/>
  <c r="E9" i="28"/>
  <c r="B9" i="28" s="1"/>
  <c r="BK8" i="28"/>
  <c r="AZ8" i="28"/>
  <c r="AP8" i="28"/>
  <c r="AY8" i="28" s="1"/>
  <c r="AN8" i="28"/>
  <c r="AU8" i="28" s="1"/>
  <c r="AV8" i="28" s="1"/>
  <c r="AW8" i="28" s="1"/>
  <c r="AM8" i="28"/>
  <c r="AH8" i="28"/>
  <c r="AC8" i="28"/>
  <c r="M8" i="28"/>
  <c r="K8" i="28"/>
  <c r="J8" i="28"/>
  <c r="E8" i="28"/>
  <c r="B8" i="28"/>
  <c r="BK7" i="28"/>
  <c r="AZ7" i="28"/>
  <c r="AP7" i="28"/>
  <c r="AY7" i="28" s="1"/>
  <c r="AN7" i="28"/>
  <c r="AM7" i="28"/>
  <c r="AH7" i="28"/>
  <c r="AC7" i="28"/>
  <c r="X7" i="28"/>
  <c r="M7" i="28"/>
  <c r="K7" i="28"/>
  <c r="J7" i="28"/>
  <c r="E7" i="28"/>
  <c r="B7" i="28" s="1"/>
  <c r="BK6" i="28"/>
  <c r="AZ6" i="28"/>
  <c r="AP6" i="28"/>
  <c r="AU6" i="28" s="1"/>
  <c r="AN6" i="28"/>
  <c r="AM6" i="28"/>
  <c r="AY6" i="28" s="1"/>
  <c r="AH6" i="28"/>
  <c r="AC6" i="28"/>
  <c r="M6" i="28"/>
  <c r="K6" i="28"/>
  <c r="J6" i="28"/>
  <c r="X6" i="28" s="1"/>
  <c r="E6" i="28"/>
  <c r="B6" i="28" s="1"/>
  <c r="G16" i="22" l="1"/>
  <c r="G104" i="22"/>
  <c r="G81" i="22"/>
  <c r="G66" i="22"/>
  <c r="G17" i="22"/>
  <c r="G32" i="22"/>
  <c r="G50" i="22"/>
  <c r="G43" i="22"/>
  <c r="G101" i="22"/>
  <c r="G24" i="22"/>
  <c r="G15" i="22"/>
  <c r="G98" i="22"/>
  <c r="G25" i="22"/>
  <c r="G48" i="22"/>
  <c r="G99" i="22"/>
  <c r="G62" i="22"/>
  <c r="G65" i="22"/>
  <c r="G8" i="22"/>
  <c r="G9" i="22"/>
  <c r="G63" i="22"/>
  <c r="G83" i="22"/>
  <c r="G26" i="22"/>
  <c r="G13" i="22"/>
  <c r="G28" i="22"/>
  <c r="G29" i="22"/>
  <c r="G33" i="22"/>
  <c r="G82" i="22"/>
  <c r="G100" i="22"/>
  <c r="G30" i="22"/>
  <c r="G31" i="22"/>
  <c r="G34" i="22"/>
  <c r="G47" i="22"/>
  <c r="F76" i="31" s="1"/>
  <c r="H76" i="31" s="1"/>
  <c r="G64" i="22"/>
  <c r="G84" i="22"/>
  <c r="G102" i="22"/>
  <c r="G85" i="22"/>
  <c r="G103" i="22"/>
  <c r="G12" i="22"/>
  <c r="G67" i="22"/>
  <c r="G87" i="22"/>
  <c r="G27" i="22"/>
  <c r="G49" i="22"/>
  <c r="G68" i="22"/>
  <c r="G14" i="22"/>
  <c r="G51" i="22"/>
  <c r="V9" i="28"/>
  <c r="Z9" i="28"/>
  <c r="AA9" i="28"/>
  <c r="Z41" i="28"/>
  <c r="V41" i="28"/>
  <c r="Z20" i="28"/>
  <c r="V20" i="28"/>
  <c r="Y20" i="28" s="1"/>
  <c r="W20" i="28"/>
  <c r="T10" i="28"/>
  <c r="U10" i="28" s="1"/>
  <c r="T59" i="28"/>
  <c r="U59" i="28" s="1"/>
  <c r="AU29" i="28"/>
  <c r="AV29" i="28" s="1"/>
  <c r="AW29" i="28" s="1"/>
  <c r="T100" i="28"/>
  <c r="U100" i="28" s="1"/>
  <c r="Z100" i="28" s="1"/>
  <c r="X50" i="28"/>
  <c r="T50" i="28"/>
  <c r="U50" i="28" s="1"/>
  <c r="AA50" i="28" s="1"/>
  <c r="AU17" i="28"/>
  <c r="AV17" i="28" s="1"/>
  <c r="AW17" i="28" s="1"/>
  <c r="T33" i="28"/>
  <c r="U33" i="28" s="1"/>
  <c r="Z33" i="28" s="1"/>
  <c r="X40" i="28"/>
  <c r="X53" i="28"/>
  <c r="X56" i="28"/>
  <c r="X59" i="28"/>
  <c r="X111" i="28"/>
  <c r="AU18" i="28"/>
  <c r="T21" i="28"/>
  <c r="U21" i="28" s="1"/>
  <c r="Z21" i="28" s="1"/>
  <c r="T6" i="28"/>
  <c r="U6" i="28" s="1"/>
  <c r="AU14" i="28"/>
  <c r="AV14" i="28" s="1"/>
  <c r="AW14" i="28" s="1"/>
  <c r="BA14" i="28" s="1"/>
  <c r="X33" i="28"/>
  <c r="X37" i="28"/>
  <c r="X120" i="28"/>
  <c r="AU10" i="28"/>
  <c r="AV10" i="28" s="1"/>
  <c r="T34" i="28"/>
  <c r="U34" i="28" s="1"/>
  <c r="T7" i="28"/>
  <c r="U7" i="28" s="1"/>
  <c r="AA7" i="28" s="1"/>
  <c r="AY12" i="28"/>
  <c r="AY13" i="28"/>
  <c r="AU16" i="28"/>
  <c r="AV16" i="28" s="1"/>
  <c r="AW16" i="28" s="1"/>
  <c r="T29" i="28"/>
  <c r="U29" i="28" s="1"/>
  <c r="AU13" i="28"/>
  <c r="AV13" i="28" s="1"/>
  <c r="AW13" i="28" s="1"/>
  <c r="AY20" i="28"/>
  <c r="X21" i="28"/>
  <c r="X31" i="28"/>
  <c r="T39" i="28"/>
  <c r="U39" i="28" s="1"/>
  <c r="V39" i="28" s="1"/>
  <c r="T42" i="28"/>
  <c r="U42" i="28" s="1"/>
  <c r="T8" i="28"/>
  <c r="U8" i="28" s="1"/>
  <c r="V8" i="28" s="1"/>
  <c r="AU9" i="28"/>
  <c r="AV9" i="28" s="1"/>
  <c r="AW9" i="28" s="1"/>
  <c r="T49" i="28"/>
  <c r="U49" i="28" s="1"/>
  <c r="Z49" i="28" s="1"/>
  <c r="T52" i="28"/>
  <c r="U52" i="28" s="1"/>
  <c r="V52" i="28" s="1"/>
  <c r="T55" i="28"/>
  <c r="U55" i="28" s="1"/>
  <c r="AA55" i="28" s="1"/>
  <c r="T58" i="28"/>
  <c r="U58" i="28" s="1"/>
  <c r="T61" i="28"/>
  <c r="X12" i="28"/>
  <c r="T26" i="28"/>
  <c r="U26" i="28" s="1"/>
  <c r="V26" i="28" s="1"/>
  <c r="Y26" i="28" s="1"/>
  <c r="T28" i="28"/>
  <c r="U28" i="28" s="1"/>
  <c r="Z28" i="28" s="1"/>
  <c r="T30" i="28"/>
  <c r="U30" i="28" s="1"/>
  <c r="V30" i="28" s="1"/>
  <c r="Y30" i="28" s="1"/>
  <c r="X46" i="28"/>
  <c r="X108" i="28"/>
  <c r="X118" i="28"/>
  <c r="X121" i="28"/>
  <c r="X15" i="28"/>
  <c r="X16" i="28"/>
  <c r="X18" i="28"/>
  <c r="X34" i="28"/>
  <c r="T48" i="28"/>
  <c r="U48" i="28" s="1"/>
  <c r="AA48" i="28" s="1"/>
  <c r="AV6" i="28"/>
  <c r="AW6" i="28" s="1"/>
  <c r="T18" i="28"/>
  <c r="U18" i="28" s="1"/>
  <c r="Z18" i="28" s="1"/>
  <c r="AY25" i="28"/>
  <c r="T15" i="28"/>
  <c r="U15" i="28" s="1"/>
  <c r="T17" i="28"/>
  <c r="U17" i="28" s="1"/>
  <c r="AY24" i="28"/>
  <c r="AU7" i="28"/>
  <c r="AV7" i="28" s="1"/>
  <c r="AW7" i="28" s="1"/>
  <c r="T14" i="28"/>
  <c r="U14" i="28" s="1"/>
  <c r="Z14" i="28" s="1"/>
  <c r="AU22" i="28"/>
  <c r="AV22" i="28" s="1"/>
  <c r="AW22" i="28" s="1"/>
  <c r="AU25" i="28"/>
  <c r="AV25" i="28" s="1"/>
  <c r="AW25" i="28" s="1"/>
  <c r="AW10" i="28"/>
  <c r="AX10" i="28"/>
  <c r="V16" i="28"/>
  <c r="Z16" i="28"/>
  <c r="Z59" i="28"/>
  <c r="V59" i="28"/>
  <c r="Y59" i="28" s="1"/>
  <c r="Z34" i="28"/>
  <c r="AD34" i="28" s="1"/>
  <c r="V34" i="28"/>
  <c r="V49" i="28"/>
  <c r="V6" i="28"/>
  <c r="Z6" i="28"/>
  <c r="V7" i="28"/>
  <c r="Z7" i="28"/>
  <c r="Z29" i="28"/>
  <c r="V29" i="28"/>
  <c r="Z8" i="28"/>
  <c r="Z120" i="28"/>
  <c r="AD120" i="28" s="1"/>
  <c r="V120" i="28"/>
  <c r="Z30" i="28"/>
  <c r="AW11" i="28"/>
  <c r="AX11" i="28"/>
  <c r="Z48" i="28"/>
  <c r="V18" i="28"/>
  <c r="V15" i="28"/>
  <c r="Z15" i="28"/>
  <c r="V17" i="28"/>
  <c r="Z17" i="28"/>
  <c r="V14" i="28"/>
  <c r="BA22" i="28"/>
  <c r="BA25" i="28"/>
  <c r="X14" i="28"/>
  <c r="X44" i="28"/>
  <c r="Z60" i="28"/>
  <c r="V60" i="28"/>
  <c r="AY21" i="28"/>
  <c r="AX23" i="28"/>
  <c r="BA23" i="28" s="1"/>
  <c r="AX24" i="28"/>
  <c r="BA24" i="28" s="1"/>
  <c r="X25" i="28"/>
  <c r="AY26" i="28"/>
  <c r="AU27" i="28"/>
  <c r="AV27" i="28" s="1"/>
  <c r="AW27" i="28" s="1"/>
  <c r="V33" i="28"/>
  <c r="J35" i="28"/>
  <c r="X41" i="28"/>
  <c r="X42" i="28"/>
  <c r="T45" i="28"/>
  <c r="U45" i="28" s="1"/>
  <c r="W45" i="28" s="1"/>
  <c r="Z50" i="28"/>
  <c r="W60" i="28"/>
  <c r="AA60" i="28"/>
  <c r="W58" i="28"/>
  <c r="AA57" i="28"/>
  <c r="AA54" i="28"/>
  <c r="AA49" i="28"/>
  <c r="W61" i="28"/>
  <c r="AA105" i="28"/>
  <c r="W103" i="28"/>
  <c r="W100" i="28"/>
  <c r="AA120" i="28"/>
  <c r="AA39" i="28"/>
  <c r="AA30" i="28"/>
  <c r="AA18" i="28"/>
  <c r="W121" i="28"/>
  <c r="W59" i="28"/>
  <c r="AA58" i="28"/>
  <c r="W56" i="28"/>
  <c r="W53" i="28"/>
  <c r="AA29" i="28"/>
  <c r="W120" i="28"/>
  <c r="AA52" i="28"/>
  <c r="W48" i="28"/>
  <c r="AA41" i="28"/>
  <c r="AD41" i="28" s="1"/>
  <c r="W30" i="28"/>
  <c r="AX29" i="28"/>
  <c r="BA29" i="28" s="1"/>
  <c r="W26" i="28"/>
  <c r="AX25" i="28"/>
  <c r="AX21" i="28"/>
  <c r="BA21" i="28" s="1"/>
  <c r="W18" i="28"/>
  <c r="AA17" i="28"/>
  <c r="Z56" i="28"/>
  <c r="V56" i="28"/>
  <c r="AA6" i="28"/>
  <c r="W8" i="28"/>
  <c r="AX8" i="28"/>
  <c r="BA8" i="28" s="1"/>
  <c r="W9" i="28"/>
  <c r="Y9" i="28" s="1"/>
  <c r="AA14" i="28"/>
  <c r="X19" i="28"/>
  <c r="T22" i="28"/>
  <c r="U22" i="28" s="1"/>
  <c r="AA22" i="28" s="1"/>
  <c r="AY23" i="28"/>
  <c r="X26" i="28"/>
  <c r="AU26" i="28"/>
  <c r="AV26" i="28" s="1"/>
  <c r="AW26" i="28" s="1"/>
  <c r="W29" i="28"/>
  <c r="W33" i="28"/>
  <c r="J36" i="28"/>
  <c r="W49" i="28"/>
  <c r="AA56" i="28"/>
  <c r="AA16" i="28"/>
  <c r="X8" i="28"/>
  <c r="AX9" i="28"/>
  <c r="BA9" i="28" s="1"/>
  <c r="W10" i="28"/>
  <c r="T19" i="28"/>
  <c r="U19" i="28" s="1"/>
  <c r="AA19" i="28" s="1"/>
  <c r="AX22" i="28"/>
  <c r="AX27" i="28"/>
  <c r="AX28" i="28"/>
  <c r="BA28" i="28" s="1"/>
  <c r="X29" i="28"/>
  <c r="AY30" i="28"/>
  <c r="V100" i="28"/>
  <c r="Y100" i="28" s="1"/>
  <c r="X30" i="28"/>
  <c r="W34" i="28"/>
  <c r="U44" i="28"/>
  <c r="AA44" i="28" s="1"/>
  <c r="AA103" i="28"/>
  <c r="X109" i="28"/>
  <c r="AX26" i="28"/>
  <c r="AA34" i="28"/>
  <c r="X43" i="28"/>
  <c r="X47" i="28"/>
  <c r="AA59" i="28"/>
  <c r="AA100" i="28"/>
  <c r="T13" i="28"/>
  <c r="U13" i="28" s="1"/>
  <c r="W13" i="28" s="1"/>
  <c r="AA28" i="28"/>
  <c r="AD28" i="28" s="1"/>
  <c r="AA33" i="28"/>
  <c r="AD33" i="28" s="1"/>
  <c r="Z54" i="28"/>
  <c r="V54" i="28"/>
  <c r="V58" i="28"/>
  <c r="Z58" i="28"/>
  <c r="X61" i="28"/>
  <c r="X113" i="28"/>
  <c r="W11" i="28"/>
  <c r="Y11" i="28" s="1"/>
  <c r="W12" i="28"/>
  <c r="Y12" i="28" s="1"/>
  <c r="AA10" i="28"/>
  <c r="AX19" i="28"/>
  <c r="BA19" i="28" s="1"/>
  <c r="AY29" i="28"/>
  <c r="T32" i="28"/>
  <c r="U32" i="28" s="1"/>
  <c r="Z39" i="28"/>
  <c r="W41" i="28"/>
  <c r="Y41" i="28" s="1"/>
  <c r="AD100" i="28"/>
  <c r="W54" i="28"/>
  <c r="Z11" i="28"/>
  <c r="Z12" i="28"/>
  <c r="AD12" i="28" s="1"/>
  <c r="W15" i="28"/>
  <c r="W16" i="28"/>
  <c r="AX20" i="28"/>
  <c r="BA20" i="28" s="1"/>
  <c r="X52" i="28"/>
  <c r="AV18" i="28"/>
  <c r="AW18" i="28" s="1"/>
  <c r="W6" i="28"/>
  <c r="X9" i="28"/>
  <c r="AA11" i="28"/>
  <c r="AA12" i="28"/>
  <c r="AX15" i="28"/>
  <c r="BA15" i="28" s="1"/>
  <c r="T23" i="28"/>
  <c r="U23" i="28" s="1"/>
  <c r="W23" i="28" s="1"/>
  <c r="T25" i="28"/>
  <c r="U25" i="28" s="1"/>
  <c r="AA25" i="28" s="1"/>
  <c r="X51" i="28"/>
  <c r="Z53" i="28"/>
  <c r="V53" i="28"/>
  <c r="Z57" i="28"/>
  <c r="AD57" i="28" s="1"/>
  <c r="V57" i="28"/>
  <c r="Y57" i="28" s="1"/>
  <c r="U61" i="28"/>
  <c r="AA61" i="28" s="1"/>
  <c r="X11" i="28"/>
  <c r="AX12" i="28"/>
  <c r="BA12" i="28" s="1"/>
  <c r="AX14" i="28"/>
  <c r="W17" i="28"/>
  <c r="T24" i="28"/>
  <c r="U24" i="28" s="1"/>
  <c r="W57" i="28"/>
  <c r="T101" i="28"/>
  <c r="U101" i="28" s="1"/>
  <c r="AA101" i="28" s="1"/>
  <c r="AX16" i="28"/>
  <c r="BA16" i="28" s="1"/>
  <c r="AA20" i="28"/>
  <c r="AD20" i="28" s="1"/>
  <c r="AX6" i="28"/>
  <c r="BA6" i="28" s="1"/>
  <c r="W7" i="28"/>
  <c r="W14" i="28"/>
  <c r="AA15" i="28"/>
  <c r="X17" i="28"/>
  <c r="X22" i="28"/>
  <c r="AY22" i="28"/>
  <c r="T27" i="28"/>
  <c r="U27" i="28" s="1"/>
  <c r="AA27" i="28" s="1"/>
  <c r="AA53" i="28"/>
  <c r="W104" i="28"/>
  <c r="T37" i="28"/>
  <c r="U37" i="28" s="1"/>
  <c r="AA37" i="28" s="1"/>
  <c r="T99" i="28"/>
  <c r="U99" i="28" s="1"/>
  <c r="W99" i="28" s="1"/>
  <c r="X101" i="28"/>
  <c r="T102" i="28"/>
  <c r="U102" i="28" s="1"/>
  <c r="X104" i="28"/>
  <c r="T105" i="28"/>
  <c r="U105" i="28" s="1"/>
  <c r="W105" i="28" s="1"/>
  <c r="T121" i="28"/>
  <c r="U121" i="28" s="1"/>
  <c r="AA121" i="28" s="1"/>
  <c r="AU30" i="28"/>
  <c r="AV30" i="28" s="1"/>
  <c r="AW30" i="28" s="1"/>
  <c r="T31" i="28"/>
  <c r="U31" i="28" s="1"/>
  <c r="AA31" i="28" s="1"/>
  <c r="T46" i="28"/>
  <c r="U46" i="28" s="1"/>
  <c r="W46" i="28" s="1"/>
  <c r="T51" i="28"/>
  <c r="U51" i="28" s="1"/>
  <c r="AA51" i="28" s="1"/>
  <c r="T109" i="28"/>
  <c r="U109" i="28" s="1"/>
  <c r="W109" i="28" s="1"/>
  <c r="T113" i="28"/>
  <c r="U113" i="28" s="1"/>
  <c r="T117" i="28"/>
  <c r="U117" i="28" s="1"/>
  <c r="W117" i="28" s="1"/>
  <c r="T35" i="28"/>
  <c r="U35" i="28" s="1"/>
  <c r="AA35" i="28" s="1"/>
  <c r="T40" i="28"/>
  <c r="U40" i="28" s="1"/>
  <c r="AA40" i="28" s="1"/>
  <c r="T43" i="28"/>
  <c r="U43" i="28" s="1"/>
  <c r="AA43" i="28" s="1"/>
  <c r="T103" i="28"/>
  <c r="U103" i="28" s="1"/>
  <c r="X105" i="28"/>
  <c r="T106" i="28"/>
  <c r="U106" i="28" s="1"/>
  <c r="W106" i="28" s="1"/>
  <c r="T110" i="28"/>
  <c r="U110" i="28" s="1"/>
  <c r="AA110" i="28" s="1"/>
  <c r="T114" i="28"/>
  <c r="U114" i="28" s="1"/>
  <c r="T118" i="28"/>
  <c r="U118" i="28" s="1"/>
  <c r="T38" i="28"/>
  <c r="U38" i="28" s="1"/>
  <c r="T47" i="28"/>
  <c r="U47" i="28" s="1"/>
  <c r="AA47" i="28" s="1"/>
  <c r="X117" i="28"/>
  <c r="T107" i="28"/>
  <c r="U107" i="28" s="1"/>
  <c r="W107" i="28" s="1"/>
  <c r="T111" i="28"/>
  <c r="U111" i="28" s="1"/>
  <c r="W111" i="28" s="1"/>
  <c r="T115" i="28"/>
  <c r="U115" i="28" s="1"/>
  <c r="W115" i="28" s="1"/>
  <c r="T119" i="28"/>
  <c r="U119" i="28" s="1"/>
  <c r="T104" i="28"/>
  <c r="U104" i="28" s="1"/>
  <c r="T108" i="28"/>
  <c r="U108" i="28" s="1"/>
  <c r="T112" i="28"/>
  <c r="U112" i="28" s="1"/>
  <c r="W112" i="28" s="1"/>
  <c r="T116" i="28"/>
  <c r="U116" i="28" s="1"/>
  <c r="W116" i="28" s="1"/>
  <c r="W51" i="28" l="1"/>
  <c r="V21" i="28"/>
  <c r="W50" i="28"/>
  <c r="V50" i="28"/>
  <c r="Y50" i="28" s="1"/>
  <c r="V48" i="28"/>
  <c r="Y48" i="28" s="1"/>
  <c r="AA8" i="28"/>
  <c r="Z35" i="28"/>
  <c r="AX13" i="28"/>
  <c r="BA13" i="28" s="1"/>
  <c r="W22" i="28"/>
  <c r="AA21" i="28"/>
  <c r="AD21" i="28" s="1"/>
  <c r="AA26" i="28"/>
  <c r="W110" i="28"/>
  <c r="Y34" i="28"/>
  <c r="V10" i="28"/>
  <c r="Z10" i="28"/>
  <c r="AD50" i="28"/>
  <c r="AD8" i="28"/>
  <c r="W52" i="28"/>
  <c r="V42" i="28"/>
  <c r="Z42" i="28"/>
  <c r="AD39" i="28"/>
  <c r="Y10" i="28"/>
  <c r="AX7" i="28"/>
  <c r="BA7" i="28" s="1"/>
  <c r="Z55" i="28"/>
  <c r="AD55" i="28" s="1"/>
  <c r="Y54" i="28"/>
  <c r="V55" i="28"/>
  <c r="W28" i="28"/>
  <c r="Y28" i="28" s="1"/>
  <c r="W39" i="28"/>
  <c r="Y39" i="28" s="1"/>
  <c r="W43" i="28"/>
  <c r="W55" i="28"/>
  <c r="Z52" i="28"/>
  <c r="Y15" i="28"/>
  <c r="AD6" i="28"/>
  <c r="W40" i="28"/>
  <c r="AA42" i="28"/>
  <c r="W21" i="28"/>
  <c r="V28" i="28"/>
  <c r="Z26" i="28"/>
  <c r="AD26" i="28" s="1"/>
  <c r="Y6" i="28"/>
  <c r="AD15" i="28"/>
  <c r="AD56" i="28"/>
  <c r="W42" i="28"/>
  <c r="AD9" i="28"/>
  <c r="Y60" i="28"/>
  <c r="AX17" i="28"/>
  <c r="BA17" i="28" s="1"/>
  <c r="AD10" i="28"/>
  <c r="W37" i="28"/>
  <c r="Y120" i="28"/>
  <c r="Z113" i="28"/>
  <c r="V113" i="28"/>
  <c r="Z114" i="28"/>
  <c r="V114" i="28"/>
  <c r="Z32" i="28"/>
  <c r="V32" i="28"/>
  <c r="Z106" i="28"/>
  <c r="V106" i="28"/>
  <c r="Y106" i="28" s="1"/>
  <c r="V104" i="28"/>
  <c r="Y104" i="28" s="1"/>
  <c r="Z104" i="28"/>
  <c r="Z27" i="28"/>
  <c r="AD27" i="28" s="1"/>
  <c r="V27" i="28"/>
  <c r="V101" i="28"/>
  <c r="Z101" i="28"/>
  <c r="AD101" i="28" s="1"/>
  <c r="AD53" i="28"/>
  <c r="AX30" i="28"/>
  <c r="BA30" i="28" s="1"/>
  <c r="AD58" i="28"/>
  <c r="W47" i="28"/>
  <c r="AA112" i="28"/>
  <c r="X35" i="28"/>
  <c r="AA106" i="28"/>
  <c r="AD59" i="28"/>
  <c r="Z38" i="28"/>
  <c r="V38" i="28"/>
  <c r="V118" i="28"/>
  <c r="Z46" i="28"/>
  <c r="V46" i="28"/>
  <c r="Y46" i="28" s="1"/>
  <c r="AX18" i="28"/>
  <c r="BA18" i="28" s="1"/>
  <c r="Z108" i="28"/>
  <c r="V108" i="28"/>
  <c r="Z121" i="28"/>
  <c r="AD121" i="28" s="1"/>
  <c r="V121" i="28"/>
  <c r="Y121" i="28" s="1"/>
  <c r="Y58" i="28"/>
  <c r="Z44" i="28"/>
  <c r="AD44" i="28" s="1"/>
  <c r="V44" i="28"/>
  <c r="W27" i="28"/>
  <c r="W108" i="28"/>
  <c r="AA107" i="28"/>
  <c r="AA116" i="28"/>
  <c r="Y33" i="28"/>
  <c r="W101" i="28"/>
  <c r="AD14" i="28"/>
  <c r="AD18" i="28"/>
  <c r="Y8" i="28"/>
  <c r="AD16" i="28"/>
  <c r="Z117" i="28"/>
  <c r="V117" i="28"/>
  <c r="Y117" i="28" s="1"/>
  <c r="V45" i="28"/>
  <c r="Y45" i="28" s="1"/>
  <c r="Z45" i="28"/>
  <c r="AD49" i="28"/>
  <c r="V13" i="28"/>
  <c r="Y13" i="28" s="1"/>
  <c r="Z13" i="28"/>
  <c r="Y49" i="28"/>
  <c r="AA13" i="28"/>
  <c r="Z105" i="28"/>
  <c r="AD105" i="28" s="1"/>
  <c r="V105" i="28"/>
  <c r="Y105" i="28" s="1"/>
  <c r="W32" i="28"/>
  <c r="AA46" i="28"/>
  <c r="BA26" i="28"/>
  <c r="Y56" i="28"/>
  <c r="AA111" i="28"/>
  <c r="AA109" i="28"/>
  <c r="Y14" i="28"/>
  <c r="Y18" i="28"/>
  <c r="Y29" i="28"/>
  <c r="Y16" i="28"/>
  <c r="Z19" i="28"/>
  <c r="AD19" i="28" s="1"/>
  <c r="W19" i="28"/>
  <c r="V19" i="28"/>
  <c r="Z25" i="28"/>
  <c r="AD25" i="28" s="1"/>
  <c r="V25" i="28"/>
  <c r="AA38" i="28"/>
  <c r="V23" i="28"/>
  <c r="Y23" i="28" s="1"/>
  <c r="Z23" i="28"/>
  <c r="Z51" i="28"/>
  <c r="AD51" i="28" s="1"/>
  <c r="V51" i="28"/>
  <c r="Y51" i="28" s="1"/>
  <c r="W38" i="28"/>
  <c r="AA114" i="28"/>
  <c r="X36" i="28"/>
  <c r="U36" i="28"/>
  <c r="AA45" i="28"/>
  <c r="Z110" i="28"/>
  <c r="AD110" i="28" s="1"/>
  <c r="V110" i="28"/>
  <c r="Y110" i="28" s="1"/>
  <c r="W113" i="28"/>
  <c r="V119" i="28"/>
  <c r="Z119" i="28"/>
  <c r="AD119" i="28" s="1"/>
  <c r="V24" i="28"/>
  <c r="Z24" i="28"/>
  <c r="AD11" i="28"/>
  <c r="AD54" i="28"/>
  <c r="W31" i="28"/>
  <c r="AA115" i="28"/>
  <c r="AA99" i="28"/>
  <c r="AA113" i="28"/>
  <c r="BA27" i="28"/>
  <c r="AD60" i="28"/>
  <c r="BA11" i="28"/>
  <c r="AD29" i="28"/>
  <c r="Z47" i="28"/>
  <c r="AD47" i="28" s="1"/>
  <c r="V47" i="28"/>
  <c r="Y47" i="28" s="1"/>
  <c r="V37" i="28"/>
  <c r="Y37" i="28" s="1"/>
  <c r="Z37" i="28"/>
  <c r="AD37" i="28" s="1"/>
  <c r="Z109" i="28"/>
  <c r="V109" i="28"/>
  <c r="Y109" i="28" s="1"/>
  <c r="AD109" i="28" s="1"/>
  <c r="Y53" i="28"/>
  <c r="AA108" i="28"/>
  <c r="Z103" i="28"/>
  <c r="AD103" i="28" s="1"/>
  <c r="V103" i="28"/>
  <c r="Y103" i="28" s="1"/>
  <c r="V111" i="28"/>
  <c r="Y111" i="28" s="1"/>
  <c r="AD111" i="28" s="1"/>
  <c r="Z111" i="28"/>
  <c r="Z40" i="28"/>
  <c r="V40" i="28"/>
  <c r="Z102" i="28"/>
  <c r="AD102" i="28" s="1"/>
  <c r="V102" i="28"/>
  <c r="W102" i="28"/>
  <c r="V35" i="28"/>
  <c r="AA23" i="28"/>
  <c r="W25" i="28"/>
  <c r="AA119" i="28"/>
  <c r="W35" i="28"/>
  <c r="AA117" i="28"/>
  <c r="W119" i="28"/>
  <c r="AD52" i="28"/>
  <c r="AD17" i="28"/>
  <c r="AD7" i="28"/>
  <c r="V99" i="28"/>
  <c r="Y99" i="28" s="1"/>
  <c r="Z99" i="28"/>
  <c r="AD99" i="28" s="1"/>
  <c r="AD35" i="28"/>
  <c r="V61" i="28"/>
  <c r="Y61" i="28" s="1"/>
  <c r="AD61" i="28" s="1"/>
  <c r="Z61" i="28"/>
  <c r="Z116" i="28"/>
  <c r="V116" i="28"/>
  <c r="Y116" i="28" s="1"/>
  <c r="Z112" i="28"/>
  <c r="V112" i="28"/>
  <c r="Y112" i="28" s="1"/>
  <c r="AA32" i="28"/>
  <c r="W114" i="28"/>
  <c r="Z31" i="28"/>
  <c r="V31" i="28"/>
  <c r="W118" i="28"/>
  <c r="V115" i="28"/>
  <c r="Y115" i="28" s="1"/>
  <c r="Z115" i="28"/>
  <c r="Z43" i="28"/>
  <c r="AD43" i="28" s="1"/>
  <c r="V43" i="28"/>
  <c r="V107" i="28"/>
  <c r="Y107" i="28" s="1"/>
  <c r="AD107" i="28" s="1"/>
  <c r="Z107" i="28"/>
  <c r="W44" i="28"/>
  <c r="AA24" i="28"/>
  <c r="Z22" i="28"/>
  <c r="AD22" i="28" s="1"/>
  <c r="V22" i="28"/>
  <c r="Y22" i="28" s="1"/>
  <c r="W24" i="28"/>
  <c r="AA104" i="28"/>
  <c r="AA102" i="28"/>
  <c r="Y52" i="28"/>
  <c r="Y17" i="28"/>
  <c r="AD48" i="28"/>
  <c r="AD30" i="28"/>
  <c r="Y7" i="28"/>
  <c r="BA10" i="28"/>
  <c r="Y40" i="28" l="1"/>
  <c r="AD40" i="28" s="1"/>
  <c r="AD13" i="28"/>
  <c r="Y108" i="28"/>
  <c r="AD108" i="28" s="1"/>
  <c r="AD23" i="28"/>
  <c r="Y42" i="28"/>
  <c r="Y55" i="28"/>
  <c r="Y21" i="28"/>
  <c r="Y35" i="28"/>
  <c r="AD38" i="28"/>
  <c r="Y27" i="28"/>
  <c r="AD113" i="28"/>
  <c r="Y43" i="28"/>
  <c r="AD42" i="28"/>
  <c r="Y31" i="28"/>
  <c r="AD31" i="28" s="1"/>
  <c r="AD24" i="28"/>
  <c r="AD104" i="28"/>
  <c r="Y24" i="28"/>
  <c r="AD46" i="28"/>
  <c r="Y32" i="28"/>
  <c r="AD112" i="28"/>
  <c r="AD116" i="28"/>
  <c r="AD45" i="28"/>
  <c r="Y118" i="28"/>
  <c r="AD32" i="28"/>
  <c r="Y102" i="28"/>
  <c r="Y25" i="28"/>
  <c r="Y114" i="28"/>
  <c r="Y119" i="28"/>
  <c r="AD106" i="28"/>
  <c r="AD115" i="28"/>
  <c r="Y44" i="28"/>
  <c r="AD114" i="28"/>
  <c r="V36" i="28"/>
  <c r="W36" i="28"/>
  <c r="AA36" i="28"/>
  <c r="Z36" i="28"/>
  <c r="AD36" i="28" s="1"/>
  <c r="Y19" i="28"/>
  <c r="AD117" i="28"/>
  <c r="Y38" i="28"/>
  <c r="Y101" i="28"/>
  <c r="Y113" i="28"/>
  <c r="Y36" i="28" l="1"/>
  <c r="H60" i="31" l="1"/>
  <c r="H61" i="31"/>
  <c r="H60" i="30"/>
  <c r="H61" i="30"/>
  <c r="H62" i="30"/>
  <c r="E59" i="30"/>
  <c r="E58" i="31"/>
  <c r="E18" i="31"/>
  <c r="B54" i="31"/>
  <c r="B55" i="30"/>
  <c r="D8" i="23" l="1"/>
  <c r="C8" i="23"/>
  <c r="C9" i="23"/>
  <c r="C75" i="30"/>
  <c r="B75" i="30"/>
  <c r="C74" i="30"/>
  <c r="B74" i="30"/>
  <c r="C73" i="30"/>
  <c r="B73" i="30"/>
  <c r="C72" i="30"/>
  <c r="C71" i="30"/>
  <c r="C70" i="30"/>
  <c r="C69" i="30"/>
  <c r="C68" i="30"/>
  <c r="B72" i="30"/>
  <c r="B71" i="30"/>
  <c r="B70" i="30"/>
  <c r="B69" i="30"/>
  <c r="B68" i="30"/>
  <c r="C82" i="31"/>
  <c r="C81" i="31"/>
  <c r="C80" i="31"/>
  <c r="C79" i="31"/>
  <c r="C78" i="31"/>
  <c r="C77" i="31"/>
  <c r="B82" i="31"/>
  <c r="B81" i="31"/>
  <c r="B80" i="31"/>
  <c r="B79" i="31"/>
  <c r="B78" i="31"/>
  <c r="B77" i="31"/>
  <c r="F82" i="31"/>
  <c r="F81" i="31"/>
  <c r="I72" i="22" l="1"/>
  <c r="I54" i="22"/>
  <c r="G82" i="31"/>
  <c r="D82" i="31"/>
  <c r="E82" i="31"/>
  <c r="D81" i="31"/>
  <c r="E81" i="31"/>
  <c r="D80" i="31"/>
  <c r="D79" i="31"/>
  <c r="D78" i="31"/>
  <c r="D77" i="31"/>
  <c r="D73" i="31"/>
  <c r="D75" i="30"/>
  <c r="D74" i="30"/>
  <c r="D73" i="30"/>
  <c r="D72" i="30"/>
  <c r="D71" i="30"/>
  <c r="D70" i="30"/>
  <c r="D68" i="30"/>
  <c r="D67" i="30"/>
  <c r="I106" i="22" l="1"/>
  <c r="I90" i="22"/>
  <c r="E72" i="30"/>
  <c r="D69" i="30"/>
  <c r="E75" i="30"/>
  <c r="E77" i="31"/>
  <c r="I71" i="22"/>
  <c r="E80" i="31"/>
  <c r="E79" i="31"/>
  <c r="E73" i="31"/>
  <c r="E70" i="30"/>
  <c r="E69" i="30"/>
  <c r="E73" i="30"/>
  <c r="I105" i="22"/>
  <c r="I69" i="22"/>
  <c r="I88" i="22"/>
  <c r="I52" i="22"/>
  <c r="G81" i="31"/>
  <c r="E74" i="30"/>
  <c r="E78" i="31"/>
  <c r="E71" i="30"/>
  <c r="E68" i="30"/>
  <c r="I53" i="22"/>
  <c r="I70" i="22"/>
  <c r="I89" i="22"/>
  <c r="E67" i="30"/>
  <c r="I68" i="22" l="1"/>
  <c r="F39" i="31"/>
  <c r="F40" i="30"/>
  <c r="E15" i="30" l="1"/>
  <c r="F79" i="31" l="1"/>
  <c r="F74" i="30"/>
  <c r="F70" i="30"/>
  <c r="F69" i="30"/>
  <c r="F72" i="30"/>
  <c r="F71" i="30"/>
  <c r="F77" i="31"/>
  <c r="F73" i="30"/>
  <c r="F78" i="31"/>
  <c r="F75" i="30"/>
  <c r="F80" i="31"/>
  <c r="F67" i="30"/>
  <c r="F73" i="31"/>
  <c r="F68" i="30"/>
  <c r="D19" i="31"/>
  <c r="H59" i="31" s="1"/>
  <c r="C24" i="31" l="1"/>
  <c r="D24" i="31"/>
  <c r="D25" i="30"/>
  <c r="C25" i="30"/>
  <c r="C67" i="31"/>
  <c r="F68" i="31"/>
  <c r="D68" i="31"/>
  <c r="B68" i="31"/>
  <c r="F67" i="31"/>
  <c r="E67" i="31"/>
  <c r="D67" i="31"/>
  <c r="B67" i="31"/>
  <c r="F66" i="31"/>
  <c r="F65" i="31"/>
  <c r="D37" i="23"/>
  <c r="D35" i="23"/>
  <c r="D34" i="23"/>
  <c r="D30" i="23"/>
  <c r="D28" i="23"/>
  <c r="D27" i="23"/>
  <c r="D23" i="23"/>
  <c r="D21" i="23"/>
  <c r="D20" i="23"/>
  <c r="D16" i="23"/>
  <c r="C68" i="31" s="1"/>
  <c r="D14" i="23"/>
  <c r="C66" i="31" s="1"/>
  <c r="D13" i="23"/>
  <c r="C65" i="31" s="1"/>
  <c r="D9" i="23"/>
  <c r="D7" i="23"/>
  <c r="D6" i="23"/>
  <c r="C6" i="23"/>
  <c r="C23" i="23"/>
  <c r="C21" i="23"/>
  <c r="C20" i="23"/>
  <c r="D66" i="31"/>
  <c r="D65" i="31"/>
  <c r="B66" i="31"/>
  <c r="B65" i="31"/>
  <c r="C73" i="31"/>
  <c r="B73" i="31"/>
  <c r="D13" i="31"/>
  <c r="H58" i="31" s="1"/>
  <c r="C59" i="31"/>
  <c r="H57" i="31"/>
  <c r="C57" i="31"/>
  <c r="D33" i="31"/>
  <c r="C61" i="31" s="1"/>
  <c r="D29" i="31"/>
  <c r="D28" i="31"/>
  <c r="F7" i="31"/>
  <c r="D13" i="30"/>
  <c r="H59" i="30" s="1"/>
  <c r="C58" i="31" l="1"/>
  <c r="B95" i="31"/>
  <c r="B94" i="31"/>
  <c r="B100" i="31"/>
  <c r="B99" i="31"/>
  <c r="B98" i="31"/>
  <c r="B97" i="31"/>
  <c r="B96" i="31"/>
  <c r="I93" i="31"/>
  <c r="H93" i="31"/>
  <c r="G93" i="31"/>
  <c r="F93" i="31"/>
  <c r="E93" i="31"/>
  <c r="D93" i="31"/>
  <c r="C93" i="31"/>
  <c r="F13" i="31"/>
  <c r="F24" i="31"/>
  <c r="G67" i="31"/>
  <c r="E15" i="31"/>
  <c r="E19" i="31"/>
  <c r="E22" i="31"/>
  <c r="E23" i="31"/>
  <c r="E21" i="31"/>
  <c r="E17" i="31"/>
  <c r="F6" i="31"/>
  <c r="F10" i="31" s="1"/>
  <c r="E16" i="31"/>
  <c r="C67" i="30"/>
  <c r="B67" i="30"/>
  <c r="D24" i="30"/>
  <c r="D19" i="30"/>
  <c r="C24" i="30"/>
  <c r="H58" i="30"/>
  <c r="C58" i="30"/>
  <c r="D34" i="30"/>
  <c r="C62" i="30" s="1"/>
  <c r="D30" i="30"/>
  <c r="D29" i="30"/>
  <c r="F7" i="30"/>
  <c r="D32" i="25"/>
  <c r="C59" i="30" l="1"/>
  <c r="F20" i="31"/>
  <c r="F37" i="31"/>
  <c r="B86" i="30"/>
  <c r="B91" i="30"/>
  <c r="B90" i="30"/>
  <c r="B89" i="30"/>
  <c r="B88" i="30"/>
  <c r="B87" i="30"/>
  <c r="B92" i="30"/>
  <c r="F25" i="30"/>
  <c r="H85" i="30"/>
  <c r="E85" i="30"/>
  <c r="I85" i="30"/>
  <c r="G85" i="30"/>
  <c r="F85" i="30"/>
  <c r="D85" i="30"/>
  <c r="C85" i="30"/>
  <c r="F13" i="30"/>
  <c r="E21" i="30"/>
  <c r="C7" i="25"/>
  <c r="D6" i="25"/>
  <c r="C6" i="25"/>
  <c r="F14" i="31"/>
  <c r="F31" i="31"/>
  <c r="D7" i="25"/>
  <c r="B7" i="25"/>
  <c r="C8" i="25"/>
  <c r="E23" i="30"/>
  <c r="E16" i="30"/>
  <c r="E17" i="30"/>
  <c r="E24" i="30"/>
  <c r="E19" i="30"/>
  <c r="E22" i="30"/>
  <c r="F6" i="30"/>
  <c r="F10" i="30" s="1"/>
  <c r="B17" i="25"/>
  <c r="D17" i="25"/>
  <c r="C17" i="25"/>
  <c r="D9" i="25"/>
  <c r="B6" i="25"/>
  <c r="E18" i="30" l="1"/>
  <c r="F20" i="30"/>
  <c r="F38" i="30"/>
  <c r="F14" i="30"/>
  <c r="F32" i="30"/>
  <c r="B5" i="25" l="1"/>
  <c r="B11" i="25" s="1"/>
  <c r="D29" i="25"/>
  <c r="D5" i="25" s="1"/>
  <c r="D11" i="25" s="1"/>
  <c r="D18" i="25" s="1"/>
  <c r="C29" i="25"/>
  <c r="C5" i="25" s="1"/>
  <c r="C11" i="25" s="1"/>
  <c r="C18" i="25" s="1"/>
  <c r="B18" i="25" l="1"/>
  <c r="G36" i="22" l="1"/>
  <c r="F107" i="22"/>
  <c r="E73" i="22"/>
  <c r="F55" i="22"/>
  <c r="E107" i="22"/>
  <c r="F73" i="22"/>
  <c r="E91" i="22"/>
  <c r="F91" i="22"/>
  <c r="E36" i="22"/>
  <c r="E18" i="22"/>
  <c r="F36" i="22"/>
  <c r="F18" i="22"/>
  <c r="E55" i="22"/>
  <c r="G55" i="22" l="1"/>
  <c r="G18" i="22"/>
  <c r="G91" i="22"/>
  <c r="G73" i="22"/>
  <c r="G107" i="22"/>
  <c r="E83" i="31"/>
  <c r="C29" i="31" s="1"/>
  <c r="F29" i="31" s="1"/>
  <c r="D76" i="30"/>
  <c r="D83" i="31"/>
  <c r="E76" i="30"/>
  <c r="C30" i="30" s="1"/>
  <c r="F30" i="30" s="1"/>
  <c r="C60" i="31" l="1"/>
  <c r="C28" i="31"/>
  <c r="F28" i="31" s="1"/>
  <c r="C61" i="30"/>
  <c r="C29" i="30"/>
  <c r="F29" i="30" s="1"/>
  <c r="G72" i="30"/>
  <c r="H72" i="30" s="1"/>
  <c r="I14" i="22"/>
  <c r="I24" i="22"/>
  <c r="I83" i="22"/>
  <c r="G71" i="30"/>
  <c r="I13" i="22"/>
  <c r="I34" i="22"/>
  <c r="G74" i="30"/>
  <c r="H74" i="30" s="1"/>
  <c r="I16" i="22"/>
  <c r="I101" i="22"/>
  <c r="G79" i="31"/>
  <c r="H79" i="31" s="1"/>
  <c r="I50" i="22"/>
  <c r="I66" i="22"/>
  <c r="I86" i="22"/>
  <c r="I81" i="22"/>
  <c r="I29" i="22"/>
  <c r="I63" i="22"/>
  <c r="I99" i="22"/>
  <c r="I82" i="22"/>
  <c r="F83" i="31"/>
  <c r="F30" i="31" l="1"/>
  <c r="I32" i="22"/>
  <c r="I28" i="22"/>
  <c r="I65" i="22"/>
  <c r="G73" i="31"/>
  <c r="H73" i="31" s="1"/>
  <c r="I43" i="22"/>
  <c r="I97" i="22"/>
  <c r="I47" i="22"/>
  <c r="I26" i="22"/>
  <c r="H36" i="22"/>
  <c r="H55" i="22"/>
  <c r="H107" i="22"/>
  <c r="H18" i="22"/>
  <c r="H73" i="22"/>
  <c r="G68" i="30"/>
  <c r="H68" i="30" s="1"/>
  <c r="I9" i="22"/>
  <c r="I102" i="22"/>
  <c r="I31" i="22"/>
  <c r="I64" i="22"/>
  <c r="G80" i="31"/>
  <c r="H80" i="31" s="1"/>
  <c r="I51" i="22"/>
  <c r="G67" i="30"/>
  <c r="H67" i="30" s="1"/>
  <c r="I8" i="22"/>
  <c r="I67" i="22"/>
  <c r="I98" i="22"/>
  <c r="I104" i="22"/>
  <c r="G77" i="31"/>
  <c r="H77" i="31" s="1"/>
  <c r="I48" i="22"/>
  <c r="G75" i="30"/>
  <c r="H75" i="30" s="1"/>
  <c r="I17" i="22"/>
  <c r="I25" i="22"/>
  <c r="I35" i="22"/>
  <c r="I30" i="22"/>
  <c r="I87" i="22"/>
  <c r="I100" i="22"/>
  <c r="I27" i="22"/>
  <c r="I84" i="22"/>
  <c r="G70" i="30"/>
  <c r="H70" i="30" s="1"/>
  <c r="I12" i="22"/>
  <c r="G69" i="30"/>
  <c r="H69" i="30" s="1"/>
  <c r="I62" i="22"/>
  <c r="F76" i="30"/>
  <c r="F31" i="30" s="1"/>
  <c r="H82" i="31"/>
  <c r="I73" i="22" l="1"/>
  <c r="I103" i="22"/>
  <c r="I107" i="22" s="1"/>
  <c r="I85" i="22"/>
  <c r="I91" i="22" s="1"/>
  <c r="H91" i="22"/>
  <c r="G78" i="31"/>
  <c r="H78" i="31" s="1"/>
  <c r="I49" i="22"/>
  <c r="I55" i="22" s="1"/>
  <c r="I33" i="22"/>
  <c r="I36" i="22" s="1"/>
  <c r="G73" i="30"/>
  <c r="H73" i="30" s="1"/>
  <c r="I15" i="22"/>
  <c r="I18" i="22" s="1"/>
  <c r="H81" i="31"/>
  <c r="H74" i="31"/>
  <c r="H71" i="30"/>
  <c r="G83" i="31" l="1"/>
  <c r="F38" i="31" s="1"/>
  <c r="F40" i="31" s="1"/>
  <c r="H76" i="30"/>
  <c r="G76" i="30"/>
  <c r="F39" i="30" s="1"/>
  <c r="F41" i="30" s="1"/>
  <c r="H83" i="31"/>
  <c r="F48" i="31" l="1"/>
  <c r="F49" i="30"/>
  <c r="C37" i="23"/>
  <c r="C35" i="23"/>
  <c r="C34" i="23"/>
  <c r="C30" i="23"/>
  <c r="C28" i="23"/>
  <c r="C27" i="23"/>
  <c r="C16" i="23"/>
  <c r="E68" i="31" s="1"/>
  <c r="G68" i="31" s="1"/>
  <c r="C14" i="23"/>
  <c r="C13" i="23"/>
  <c r="C7" i="23"/>
  <c r="E65" i="31" l="1"/>
  <c r="G65" i="31" s="1"/>
  <c r="E66" i="31"/>
  <c r="G66" i="31" s="1"/>
  <c r="G69" i="31" l="1"/>
  <c r="F27" i="31" s="1"/>
  <c r="C33" i="31" s="1"/>
  <c r="F33" i="31" s="1"/>
  <c r="C100" i="31" l="1"/>
  <c r="F96" i="31"/>
  <c r="I96" i="31"/>
  <c r="D98" i="31"/>
  <c r="I94" i="31"/>
  <c r="E100" i="31"/>
  <c r="G99" i="31"/>
  <c r="E96" i="31"/>
  <c r="D100" i="31"/>
  <c r="H96" i="31"/>
  <c r="E98" i="31"/>
  <c r="G96" i="31"/>
  <c r="C95" i="31"/>
  <c r="C94" i="31"/>
  <c r="G95" i="31"/>
  <c r="H97" i="31"/>
  <c r="H94" i="31"/>
  <c r="G100" i="31"/>
  <c r="F97" i="31"/>
  <c r="I99" i="31"/>
  <c r="F94" i="31"/>
  <c r="C99" i="31"/>
  <c r="H99" i="31"/>
  <c r="F100" i="31"/>
  <c r="G97" i="31"/>
  <c r="I98" i="31"/>
  <c r="D94" i="31"/>
  <c r="H95" i="31"/>
  <c r="D96" i="31"/>
  <c r="D99" i="31"/>
  <c r="E97" i="31"/>
  <c r="D97" i="31"/>
  <c r="H100" i="31"/>
  <c r="D95" i="31"/>
  <c r="E94" i="31"/>
  <c r="C98" i="31"/>
  <c r="E95" i="31"/>
  <c r="F95" i="31"/>
  <c r="G94" i="31"/>
  <c r="I95" i="31"/>
  <c r="F99" i="31"/>
  <c r="I97" i="31"/>
  <c r="G98" i="31"/>
  <c r="I100" i="31"/>
  <c r="H98" i="31"/>
  <c r="C96" i="31"/>
  <c r="E99" i="31"/>
  <c r="F98" i="31"/>
  <c r="C97" i="31"/>
  <c r="F34" i="31"/>
  <c r="F44" i="31" s="1"/>
  <c r="C34" i="30"/>
  <c r="F34" i="30" s="1"/>
  <c r="F35" i="30" l="1"/>
  <c r="F87" i="30"/>
  <c r="H89" i="30"/>
  <c r="D88" i="30"/>
  <c r="I91" i="30"/>
  <c r="E91" i="30"/>
  <c r="C92" i="30"/>
  <c r="G92" i="30"/>
  <c r="G86" i="30"/>
  <c r="E92" i="30"/>
  <c r="H90" i="30"/>
  <c r="H88" i="30"/>
  <c r="C86" i="30"/>
  <c r="I87" i="30"/>
  <c r="D86" i="30"/>
  <c r="F89" i="30"/>
  <c r="F92" i="30"/>
  <c r="I89" i="30"/>
  <c r="D89" i="30"/>
  <c r="F88" i="30"/>
  <c r="I86" i="30"/>
  <c r="I88" i="30"/>
  <c r="G87" i="30"/>
  <c r="D91" i="30"/>
  <c r="C88" i="30"/>
  <c r="G91" i="30"/>
  <c r="I90" i="30"/>
  <c r="H91" i="30"/>
  <c r="G90" i="30"/>
  <c r="D87" i="30"/>
  <c r="C87" i="30"/>
  <c r="D92" i="30"/>
  <c r="I92" i="30"/>
  <c r="D90" i="30"/>
  <c r="E89" i="30"/>
  <c r="H87" i="30"/>
  <c r="F86" i="30"/>
  <c r="G89" i="30"/>
  <c r="C91" i="30"/>
  <c r="C90" i="30"/>
  <c r="F91" i="30"/>
  <c r="H86" i="30"/>
  <c r="E88" i="30"/>
  <c r="E87" i="30"/>
  <c r="F90" i="30"/>
  <c r="E90" i="30"/>
  <c r="H92" i="30"/>
  <c r="G88" i="30"/>
  <c r="E86" i="30"/>
  <c r="C89" i="30"/>
  <c r="F42" i="31"/>
  <c r="F49" i="31" s="1"/>
  <c r="F47" i="31"/>
  <c r="F48" i="30" l="1"/>
  <c r="F45" i="30"/>
  <c r="F43" i="30"/>
  <c r="F50" i="30" s="1"/>
  <c r="F45" i="31"/>
  <c r="F46" i="31"/>
  <c r="F101" i="31" s="1"/>
  <c r="F46" i="30" l="1"/>
  <c r="F47" i="30"/>
  <c r="F9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Massey, Raymond E.</author>
  </authors>
  <commentList>
    <comment ref="H26" authorId="0" shapeId="0" xr:uid="{0360A8CB-EB1C-4AEE-B213-94B2155B33A6}">
      <text>
        <r>
          <rPr>
            <sz val="9"/>
            <color indexed="81"/>
            <rFont val="Tahoma"/>
            <family val="2"/>
          </rPr>
          <t>Land charge is attributed to growing wheat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Massey, Ray</author>
    <author>William Lazarus</author>
    <author>William F Lazarus</author>
  </authors>
  <commentList>
    <comment ref="W5" authorId="0" shapeId="0" xr:uid="{F036FD94-CF22-4FD3-9447-71CFF55CAAE5}">
      <text>
        <r>
          <rPr>
            <b/>
            <sz val="9"/>
            <color indexed="81"/>
            <rFont val="Tahoma"/>
            <family val="2"/>
          </rPr>
          <t>Massey, Ray:</t>
        </r>
        <r>
          <rPr>
            <sz val="9"/>
            <color indexed="81"/>
            <rFont val="Tahoma"/>
            <family val="2"/>
          </rPr>
          <t xml:space="preserve">
OH = interest + insurance + taxes + housing</t>
        </r>
      </text>
    </comment>
    <comment ref="AA5" authorId="0" shapeId="0" xr:uid="{DD6891C0-564F-4BAD-BB63-6BC6690A9673}">
      <text>
        <r>
          <rPr>
            <b/>
            <sz val="9"/>
            <color indexed="81"/>
            <rFont val="Tahoma"/>
            <family val="2"/>
          </rPr>
          <t>Massey, Ray:</t>
        </r>
        <r>
          <rPr>
            <sz val="9"/>
            <color indexed="81"/>
            <rFont val="Tahoma"/>
            <family val="2"/>
          </rPr>
          <t xml:space="preserve">
OH = interest + insurance + taxes + housing</t>
        </r>
      </text>
    </comment>
    <comment ref="AX5" authorId="0" shapeId="0" xr:uid="{71820FCB-774A-4CA3-A265-6E40963A7EDD}">
      <text>
        <r>
          <rPr>
            <b/>
            <sz val="9"/>
            <color indexed="81"/>
            <rFont val="Tahoma"/>
            <family val="2"/>
          </rPr>
          <t>Massey, Ray:</t>
        </r>
        <r>
          <rPr>
            <sz val="9"/>
            <color indexed="81"/>
            <rFont val="Tahoma"/>
            <family val="2"/>
          </rPr>
          <t xml:space="preserve">
OH = interest + insurance + taxes + housing</t>
        </r>
      </text>
    </comment>
    <comment ref="BP12" authorId="1" shapeId="0" xr:uid="{B3B5E7E0-B0FF-42F5-85FE-1DDF86CA8148}">
      <text>
        <r>
          <rPr>
            <b/>
            <sz val="8"/>
            <color indexed="81"/>
            <rFont val="Tahoma"/>
            <family val="2"/>
          </rPr>
          <t>William Lazarus:</t>
        </r>
        <r>
          <rPr>
            <sz val="8"/>
            <color indexed="81"/>
            <rFont val="Tahoma"/>
            <family val="2"/>
          </rPr>
          <t xml:space="preserve">
Based on Petrolia's average building cost of $3.75/ft2 from Huhnke OkSU round bale storage fact sheet BAE1716, * 15% for debt servicing and overhead, adjusted for inflation based on Jan 2021 Ag Prices Building materials index of 126.3/ Jan 2004  level of 73.3 = 1.72.
From Lazarus Machinery cost</t>
        </r>
      </text>
    </comment>
    <comment ref="BO14" authorId="2" shapeId="0" xr:uid="{0FBA7980-9BAF-4973-807C-3D9EDEC81FD9}">
      <text>
        <r>
          <rPr>
            <b/>
            <sz val="9"/>
            <color indexed="81"/>
            <rFont val="Tahoma"/>
            <family val="2"/>
          </rPr>
          <t>William F Lazarus:</t>
        </r>
        <r>
          <rPr>
            <sz val="9"/>
            <color indexed="81"/>
            <rFont val="Tahoma"/>
            <family val="2"/>
          </rPr>
          <t xml:space="preserve">
The national net farm income is used in the salvage value formulas as an indicator of the strength of the market for used equipment.  If we expect to own a machine for 12-years from 2023, we are really interested in the machinery market in the year 2033, but of course since 2033 estimates are unavailable the best we can really do is use the USDA estimate for 2023, which is $1136.9 billion in the Feb. 7, 2023 forecast.  We have converted the 2023 estimates to 1996 dollars because the formulas were based on 1996 inflation levels.</t>
        </r>
      </text>
    </comment>
    <comment ref="BP15" authorId="2" shapeId="0" xr:uid="{E645F15B-C6C4-4EBC-825A-3A0864A70A46}">
      <text>
        <r>
          <rPr>
            <b/>
            <sz val="9"/>
            <color indexed="81"/>
            <rFont val="Tahoma"/>
            <family val="2"/>
          </rPr>
          <t>William F Lazarus:</t>
        </r>
        <r>
          <rPr>
            <sz val="9"/>
            <color indexed="81"/>
            <rFont val="Tahoma"/>
            <family val="2"/>
          </rPr>
          <t xml:space="preserve">
from the Bureau of Econ Analysis National Income and Product Accts, in the econ report of the president</t>
        </r>
      </text>
    </comment>
    <comment ref="BO17" authorId="2" shapeId="0" xr:uid="{3DC8150B-1E09-4659-BFA7-0FE683A59BE8}">
      <text>
        <r>
          <rPr>
            <b/>
            <sz val="9"/>
            <color indexed="81"/>
            <rFont val="Tahoma"/>
            <family val="2"/>
          </rPr>
          <t>William F Lazarus:</t>
        </r>
        <r>
          <rPr>
            <sz val="9"/>
            <color indexed="81"/>
            <rFont val="Tahoma"/>
            <family val="2"/>
          </rPr>
          <t xml:space="preserve">
The national net farm income is used in the salvage value formulas as an indicator of the strength of the market for used equipment.  If we expect to own a machine for 12-years from 2020, we are really interested in the machinery market in the year 2031, but of course since 2028 estimates are unavailable the best we can really do is use USDA estimates for 2020.  We have converted the 2020 estimates to 1996 dollars because the formulas were based on 1996 inflation levels.</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<sst xmlns="http://schemas.openxmlformats.org/spreadsheetml/2006/main" count="2175" uniqueCount="887">
  <si>
    <t>Corn</t>
  </si>
  <si>
    <t>Soybeans</t>
  </si>
  <si>
    <t>Milo</t>
  </si>
  <si>
    <t>Wheat</t>
  </si>
  <si>
    <t>Units</t>
  </si>
  <si>
    <t>All Budgets</t>
  </si>
  <si>
    <t>Dryland</t>
  </si>
  <si>
    <t>Full Season</t>
  </si>
  <si>
    <t>Double Crop</t>
  </si>
  <si>
    <t>Yield</t>
  </si>
  <si>
    <t>Seed bag capacity</t>
  </si>
  <si>
    <t>Phosphorous</t>
  </si>
  <si>
    <t>Potassium</t>
  </si>
  <si>
    <t>Lime</t>
  </si>
  <si>
    <t>Herbicide applications</t>
  </si>
  <si>
    <t>Passes</t>
  </si>
  <si>
    <t>Operating interest</t>
  </si>
  <si>
    <t>Input Prices</t>
  </si>
  <si>
    <t>$/pound N applied</t>
  </si>
  <si>
    <t>$/ton</t>
  </si>
  <si>
    <t>Seed</t>
  </si>
  <si>
    <t>$/unit</t>
  </si>
  <si>
    <t>Herbicide</t>
  </si>
  <si>
    <t>$/hour</t>
  </si>
  <si>
    <t>$/gallon</t>
  </si>
  <si>
    <t>Ownership Costs</t>
  </si>
  <si>
    <t>Farm business overhead</t>
  </si>
  <si>
    <t>$/acre</t>
  </si>
  <si>
    <t>Would you like to see the quantities and prices used to calculate costs?</t>
  </si>
  <si>
    <t>Yes</t>
  </si>
  <si>
    <t>Price</t>
  </si>
  <si>
    <t>Total</t>
  </si>
  <si>
    <t>Primary crop revenue</t>
  </si>
  <si>
    <t>bushels</t>
  </si>
  <si>
    <t>Byproduct crop revenue</t>
  </si>
  <si>
    <t>Direct government payments</t>
  </si>
  <si>
    <t>Other income</t>
  </si>
  <si>
    <t>Quantity</t>
  </si>
  <si>
    <t>Nitrogen</t>
  </si>
  <si>
    <t>Crop protection</t>
  </si>
  <si>
    <t>Crop supplies, storage, and marketing</t>
  </si>
  <si>
    <t>Crop consulting and insurance</t>
  </si>
  <si>
    <t>Custom hire and rental</t>
  </si>
  <si>
    <t>Machinery repairs and maintenance</t>
  </si>
  <si>
    <t>Other expense</t>
  </si>
  <si>
    <t>Real estate charge</t>
  </si>
  <si>
    <t>Operating costs per bushel</t>
  </si>
  <si>
    <t>Ownership costs per bushel</t>
  </si>
  <si>
    <t>Total costs per bushel</t>
  </si>
  <si>
    <t>Selected input quantities</t>
  </si>
  <si>
    <t>per acre</t>
  </si>
  <si>
    <t>Selected input prices</t>
  </si>
  <si>
    <t xml:space="preserve">  $ per unit</t>
  </si>
  <si>
    <t>Yield, bushels</t>
  </si>
  <si>
    <t>Seeding rate, count</t>
  </si>
  <si>
    <t>Sum of allocated labor, hours</t>
  </si>
  <si>
    <t>Skilled labor, per hour</t>
  </si>
  <si>
    <t>Farm diesel, per gallon</t>
  </si>
  <si>
    <t>Labor</t>
  </si>
  <si>
    <t>Fuel</t>
  </si>
  <si>
    <t>Trips across</t>
  </si>
  <si>
    <t>Machine activity (not custom)</t>
  </si>
  <si>
    <t>(hours)</t>
  </si>
  <si>
    <t>(gallons)</t>
  </si>
  <si>
    <t>(dollars)</t>
  </si>
  <si>
    <t>field</t>
  </si>
  <si>
    <t/>
  </si>
  <si>
    <t>Start</t>
  </si>
  <si>
    <t>cropnum-22706</t>
  </si>
  <si>
    <t>primyieldtype-22706</t>
  </si>
  <si>
    <t>byyieldtype-22706</t>
  </si>
  <si>
    <t>irrigation2-22706</t>
  </si>
  <si>
    <t>leasenum-22706</t>
  </si>
  <si>
    <t>40hp-22706</t>
  </si>
  <si>
    <t>60hp-22706</t>
  </si>
  <si>
    <t>75hp-22706</t>
  </si>
  <si>
    <t>105twd-22706</t>
  </si>
  <si>
    <t>140twd-22706</t>
  </si>
  <si>
    <t>105mfwd-22706</t>
  </si>
  <si>
    <t>130mfwd-22706</t>
  </si>
  <si>
    <t>160mfwd-22706</t>
  </si>
  <si>
    <t>200mfwd-22706</t>
  </si>
  <si>
    <t>225mfwd-22706</t>
  </si>
  <si>
    <t>2604wd-22706</t>
  </si>
  <si>
    <t>3104wd-22706</t>
  </si>
  <si>
    <t>360 4wd-22706</t>
  </si>
  <si>
    <t>4254wd-22706</t>
  </si>
  <si>
    <t>225tt-22706</t>
  </si>
  <si>
    <t>425tt-22706</t>
  </si>
  <si>
    <t>description-1-22706</t>
  </si>
  <si>
    <t>acres-1-22706</t>
  </si>
  <si>
    <t>receipts-1-22706</t>
  </si>
  <si>
    <t>receipts-2-22706</t>
  </si>
  <si>
    <t>receipts-3-22706</t>
  </si>
  <si>
    <t>receipts-4-22706</t>
  </si>
  <si>
    <t>receipts-5-22706</t>
  </si>
  <si>
    <t>receipts-6-22706</t>
  </si>
  <si>
    <t>seed1-1-22706</t>
  </si>
  <si>
    <t>seed1-2-22706</t>
  </si>
  <si>
    <t>seed1-3-22706</t>
  </si>
  <si>
    <t>seed1-4-22706</t>
  </si>
  <si>
    <t>seed1-5-22706</t>
  </si>
  <si>
    <t>seed1-6-22706</t>
  </si>
  <si>
    <t>seed2-1-22706</t>
  </si>
  <si>
    <t>seed2-2-22706</t>
  </si>
  <si>
    <t>seed2-3-22706</t>
  </si>
  <si>
    <t>seed2-4-22706</t>
  </si>
  <si>
    <t>seed2-5-22706</t>
  </si>
  <si>
    <t>seed2-6-22706</t>
  </si>
  <si>
    <t>fertilizer1-1-22706</t>
  </si>
  <si>
    <t>fertilizer1-2-22706</t>
  </si>
  <si>
    <t>fertilizer1-3-22706</t>
  </si>
  <si>
    <t>fertilizer1-4-22706</t>
  </si>
  <si>
    <t>fertilizer1-5-22706</t>
  </si>
  <si>
    <t>fertilizer1-6-22706</t>
  </si>
  <si>
    <t>fertilizer1-7-22706</t>
  </si>
  <si>
    <t>fertilizer1-8-22706</t>
  </si>
  <si>
    <t>fertilizer2-1-22706</t>
  </si>
  <si>
    <t>fertilizer2-2-22706</t>
  </si>
  <si>
    <t>fertilizer2-3-22706</t>
  </si>
  <si>
    <t>fertilizer2-4-22706</t>
  </si>
  <si>
    <t>fertilizer2-5-22706</t>
  </si>
  <si>
    <t>fertilizer2-6-22706</t>
  </si>
  <si>
    <t>fertilizer2-7-22706</t>
  </si>
  <si>
    <t>fertilizer2-8-22706</t>
  </si>
  <si>
    <t>herbicide1-1-22706</t>
  </si>
  <si>
    <t>herbicide1-2-22706</t>
  </si>
  <si>
    <t>herbicide1-3-22706</t>
  </si>
  <si>
    <t>herbicide1-4-22706</t>
  </si>
  <si>
    <t>herbicide1-5-22706</t>
  </si>
  <si>
    <t>herbicide1-6-22706</t>
  </si>
  <si>
    <t>herbicide1-7-22706</t>
  </si>
  <si>
    <t>herbicide1-8-22706</t>
  </si>
  <si>
    <t>herbicide2-1-22706</t>
  </si>
  <si>
    <t>herbicide2-2-22706</t>
  </si>
  <si>
    <t>herbicide2-3-22706</t>
  </si>
  <si>
    <t>herbicide2-4-22706</t>
  </si>
  <si>
    <t>herbicide2-5-22706</t>
  </si>
  <si>
    <t>herbicide2-6-22706</t>
  </si>
  <si>
    <t>herbicide2-7-22706</t>
  </si>
  <si>
    <t>herbicide2-8-22706</t>
  </si>
  <si>
    <t>herbicide2-9-22706</t>
  </si>
  <si>
    <t>insecticide1-1-22706</t>
  </si>
  <si>
    <t>insecticide1-2-22706</t>
  </si>
  <si>
    <t>insecticide1-3-22706</t>
  </si>
  <si>
    <t>insecticide1-4-22706</t>
  </si>
  <si>
    <t>insecticide2-1-22706</t>
  </si>
  <si>
    <t>insecticide2-2-22706</t>
  </si>
  <si>
    <t>insecticide2-3-22706</t>
  </si>
  <si>
    <t>insecticide2-4-22706</t>
  </si>
  <si>
    <t>insecticide2-5-22706</t>
  </si>
  <si>
    <t>labor-1-22706</t>
  </si>
  <si>
    <t>labor-2-22706</t>
  </si>
  <si>
    <t>labor-3-22706</t>
  </si>
  <si>
    <t>irrigation1-1-22706</t>
  </si>
  <si>
    <t>irrigation1-2-22706</t>
  </si>
  <si>
    <t>irrigation1-3-22706</t>
  </si>
  <si>
    <t>land-1-22706</t>
  </si>
  <si>
    <t>land-2-22706</t>
  </si>
  <si>
    <t>land-3-22706</t>
  </si>
  <si>
    <t>land-3-9106</t>
  </si>
  <si>
    <t>land-4-22706</t>
  </si>
  <si>
    <t>otheritems1-1-22706</t>
  </si>
  <si>
    <t>otheritems1-2-22706</t>
  </si>
  <si>
    <t>otheritems1-3-22706</t>
  </si>
  <si>
    <t>otheritems1-4-22706</t>
  </si>
  <si>
    <t>otheritems1-5-22706</t>
  </si>
  <si>
    <t>otheritems1-6-22706</t>
  </si>
  <si>
    <t>otheritems1-7-22706</t>
  </si>
  <si>
    <t>postharvest-1-22706</t>
  </si>
  <si>
    <t>postharvest-2-22706</t>
  </si>
  <si>
    <t>postharvest-3-22706</t>
  </si>
  <si>
    <t>postharvest-4-22706</t>
  </si>
  <si>
    <t>postharvest-5-22706</t>
  </si>
  <si>
    <t>postharvest-6-22706</t>
  </si>
  <si>
    <t>postharvest-7-22706</t>
  </si>
  <si>
    <t>postharvest-8-22706</t>
  </si>
  <si>
    <t>postharvest-9-22706</t>
  </si>
  <si>
    <t>postharvest-10-22706</t>
  </si>
  <si>
    <t>overhead-1-22706</t>
  </si>
  <si>
    <t>overhead-2-22706</t>
  </si>
  <si>
    <t>overhead-3-22706</t>
  </si>
  <si>
    <t>overhead-4-22706</t>
  </si>
  <si>
    <t>overhead-5-22706</t>
  </si>
  <si>
    <t>overhead-6-22706</t>
  </si>
  <si>
    <t>landlord_share-1-22706</t>
  </si>
  <si>
    <t>landlord_share-2-22706</t>
  </si>
  <si>
    <t>landlord_share-3-22706</t>
  </si>
  <si>
    <t>landlord_share-4-22706</t>
  </si>
  <si>
    <t>landlord_share-5-22706</t>
  </si>
  <si>
    <t>landlord_share-6-22706</t>
  </si>
  <si>
    <t>landlord_share-7-22706</t>
  </si>
  <si>
    <t>landlord_share-8-22706</t>
  </si>
  <si>
    <t>landlord_share-9-22706</t>
  </si>
  <si>
    <t>landlord_share-10-22706</t>
  </si>
  <si>
    <t>landlord_share-11-22706</t>
  </si>
  <si>
    <t>customhire1-1-22706</t>
  </si>
  <si>
    <t>customhire1-2-22706</t>
  </si>
  <si>
    <t>customhire1-3-22706</t>
  </si>
  <si>
    <t>customhire1-4-22706</t>
  </si>
  <si>
    <t>customhire1-5-22706</t>
  </si>
  <si>
    <t>customhire1-6-22706</t>
  </si>
  <si>
    <t>customhire1-7-22706</t>
  </si>
  <si>
    <t>customhire1-8-22706</t>
  </si>
  <si>
    <t>customhire1-9-22706</t>
  </si>
  <si>
    <t>customhire1-10-22706</t>
  </si>
  <si>
    <t>customhire1-11-22706</t>
  </si>
  <si>
    <t>customhire1-12-22706</t>
  </si>
  <si>
    <t>customhire1-13-22706</t>
  </si>
  <si>
    <t>customhire2-1-22706</t>
  </si>
  <si>
    <t>customhire2-2-22706</t>
  </si>
  <si>
    <t>customhire2-3-22706</t>
  </si>
  <si>
    <t>customhire2-4-22706</t>
  </si>
  <si>
    <t>customhire2-5-22706</t>
  </si>
  <si>
    <t>customhire2-6-22706</t>
  </si>
  <si>
    <t>customhire2-7-22706</t>
  </si>
  <si>
    <t>customhire2-8-22706</t>
  </si>
  <si>
    <t>size-1-3806</t>
  </si>
  <si>
    <t>15 ft</t>
  </si>
  <si>
    <t>size-2-3806</t>
  </si>
  <si>
    <t>16.3 ft</t>
  </si>
  <si>
    <t>size-3-3806</t>
  </si>
  <si>
    <t>6 ft</t>
  </si>
  <si>
    <t>size-4-3806</t>
  </si>
  <si>
    <t>35 ft</t>
  </si>
  <si>
    <t>size-5-3806</t>
  </si>
  <si>
    <t>30 ft</t>
  </si>
  <si>
    <t>size-6-3806</t>
  </si>
  <si>
    <t>30" O.C., 17 ft</t>
  </si>
  <si>
    <t>size-7-3806</t>
  </si>
  <si>
    <t>16 ft</t>
  </si>
  <si>
    <t>size-8-3806</t>
  </si>
  <si>
    <t>17.5 ft</t>
  </si>
  <si>
    <t>size-9-3806</t>
  </si>
  <si>
    <t>22 ft</t>
  </si>
  <si>
    <t>size-10-3806</t>
  </si>
  <si>
    <t>12 ft</t>
  </si>
  <si>
    <t>size-11-3806</t>
  </si>
  <si>
    <t>6 row</t>
  </si>
  <si>
    <t>size-12-3806</t>
  </si>
  <si>
    <t>(16/31 row 30/15")</t>
  </si>
  <si>
    <t>size-13-3806</t>
  </si>
  <si>
    <t>size-14-3806</t>
  </si>
  <si>
    <t>size-15-3806</t>
  </si>
  <si>
    <t>size-16-3806</t>
  </si>
  <si>
    <t>size-17-3806</t>
  </si>
  <si>
    <t>size-18-3806</t>
  </si>
  <si>
    <t>size-27-101707</t>
  </si>
  <si>
    <t>7 ft swath</t>
  </si>
  <si>
    <t>size-19-3806</t>
  </si>
  <si>
    <t>size-28-101707</t>
  </si>
  <si>
    <t>size-25-101707</t>
  </si>
  <si>
    <t>10 wheel, 20 ft</t>
  </si>
  <si>
    <t>size-26-101707</t>
  </si>
  <si>
    <t>9.5 ft</t>
  </si>
  <si>
    <t>size-20-101707</t>
  </si>
  <si>
    <t>1000 lb</t>
  </si>
  <si>
    <t>size-21-3806</t>
  </si>
  <si>
    <t>size-22-3806</t>
  </si>
  <si>
    <t>size-23-3806</t>
  </si>
  <si>
    <t>8 row</t>
  </si>
  <si>
    <t>size-24-3806</t>
  </si>
  <si>
    <t>500 bushel</t>
  </si>
  <si>
    <t>power-1-22706</t>
  </si>
  <si>
    <t>power-2-22706</t>
  </si>
  <si>
    <t>power-3-22706</t>
  </si>
  <si>
    <t>power-4-22706</t>
  </si>
  <si>
    <t>310 4WD</t>
  </si>
  <si>
    <t>power-5-22706</t>
  </si>
  <si>
    <t>power-6-22706</t>
  </si>
  <si>
    <t>power-7-22706</t>
  </si>
  <si>
    <t>power-8-22706</t>
  </si>
  <si>
    <t>power-9-22706</t>
  </si>
  <si>
    <t>power-10-22706</t>
  </si>
  <si>
    <t>power-11-22706</t>
  </si>
  <si>
    <t>power-12-22706</t>
  </si>
  <si>
    <t>200 MFWD</t>
  </si>
  <si>
    <t>power-13-22706</t>
  </si>
  <si>
    <t>power-14-22706</t>
  </si>
  <si>
    <t>power-15-22706</t>
  </si>
  <si>
    <t>power-16-22706</t>
  </si>
  <si>
    <t>power-17-22706</t>
  </si>
  <si>
    <t>power-18-22706</t>
  </si>
  <si>
    <t>power-19-22706</t>
  </si>
  <si>
    <t>power-20-22706</t>
  </si>
  <si>
    <t>130 MFWD</t>
  </si>
  <si>
    <t>power-21-22706</t>
  </si>
  <si>
    <t>power-22-22706</t>
  </si>
  <si>
    <t>power-23-22706</t>
  </si>
  <si>
    <t>power-24-22706</t>
  </si>
  <si>
    <t>power-25-22706</t>
  </si>
  <si>
    <t>power-26-22706</t>
  </si>
  <si>
    <t>power-27-22706</t>
  </si>
  <si>
    <t>power-28-22706</t>
  </si>
  <si>
    <t>power-29-22706</t>
  </si>
  <si>
    <t>power-30-22706</t>
  </si>
  <si>
    <t>power-31-22706</t>
  </si>
  <si>
    <t>power-32-22706</t>
  </si>
  <si>
    <t>power-33-22706</t>
  </si>
  <si>
    <t>power-34-22706</t>
  </si>
  <si>
    <t>power-35-22706</t>
  </si>
  <si>
    <t>power-36-22706</t>
  </si>
  <si>
    <t>power-37-22706</t>
  </si>
  <si>
    <t>power-38-22706</t>
  </si>
  <si>
    <t>passes-1-22706</t>
  </si>
  <si>
    <t>passes-2-22706</t>
  </si>
  <si>
    <t>passes-3-22706</t>
  </si>
  <si>
    <t>passes-4-22706</t>
  </si>
  <si>
    <t>passes-5-22706</t>
  </si>
  <si>
    <t>passes-6-22706</t>
  </si>
  <si>
    <t>passes-7-22706</t>
  </si>
  <si>
    <t>passes-8-22706</t>
  </si>
  <si>
    <t>passes-9-22706</t>
  </si>
  <si>
    <t>passes-10-22706</t>
  </si>
  <si>
    <t>passes-11-22706</t>
  </si>
  <si>
    <t>passes-12-22706</t>
  </si>
  <si>
    <t>passes-13-22706</t>
  </si>
  <si>
    <t>passes-14-22706</t>
  </si>
  <si>
    <t>passes-15-22706</t>
  </si>
  <si>
    <t>passes-16-22706</t>
  </si>
  <si>
    <t>passes-17-22706</t>
  </si>
  <si>
    <t>passes-18-22706</t>
  </si>
  <si>
    <t>passes-19-22706</t>
  </si>
  <si>
    <t>passes-20-22706</t>
  </si>
  <si>
    <t>passes-21-22706</t>
  </si>
  <si>
    <t>passes-22-22706</t>
  </si>
  <si>
    <t>passes-23-22706</t>
  </si>
  <si>
    <t>passes-24-22706</t>
  </si>
  <si>
    <t>passes-25-22706</t>
  </si>
  <si>
    <t>passes-26-22706</t>
  </si>
  <si>
    <t>passes-27-22706</t>
  </si>
  <si>
    <t>passes-28-22706</t>
  </si>
  <si>
    <t>passes-29-22706</t>
  </si>
  <si>
    <t>passes-30-22706</t>
  </si>
  <si>
    <t>passes-31-22706</t>
  </si>
  <si>
    <t>passes-32-22706</t>
  </si>
  <si>
    <t>passes-33-22706</t>
  </si>
  <si>
    <t>passes-34-22706</t>
  </si>
  <si>
    <t>passes-35-22706</t>
  </si>
  <si>
    <t>passes-36-22706</t>
  </si>
  <si>
    <t>passes-37-22706</t>
  </si>
  <si>
    <t>passes-38-22706</t>
  </si>
  <si>
    <t>passes-39-22706</t>
  </si>
  <si>
    <t>passes-40-22706</t>
  </si>
  <si>
    <t>rent-1-82906</t>
  </si>
  <si>
    <t>rent-2-82906</t>
  </si>
  <si>
    <t>rent-3-82906</t>
  </si>
  <si>
    <t>rent-4-82906</t>
  </si>
  <si>
    <t>rent-5-82906</t>
  </si>
  <si>
    <t>rent-6-82906</t>
  </si>
  <si>
    <t>rent-7-82906</t>
  </si>
  <si>
    <t>rent-8-82906</t>
  </si>
  <si>
    <t>rent-9-82906</t>
  </si>
  <si>
    <t>rent-10-82906</t>
  </si>
  <si>
    <t>rent-11-82906</t>
  </si>
  <si>
    <t>rent-12-82906</t>
  </si>
  <si>
    <t>rent-13-82906</t>
  </si>
  <si>
    <t>rent-14-82906</t>
  </si>
  <si>
    <t>rent-15-82906</t>
  </si>
  <si>
    <t>rent-16-82906</t>
  </si>
  <si>
    <t>rent-17-82906</t>
  </si>
  <si>
    <t>rent-18-82906</t>
  </si>
  <si>
    <t>rent-19-82906</t>
  </si>
  <si>
    <t>rent-20-82906</t>
  </si>
  <si>
    <t>rent-21-82906</t>
  </si>
  <si>
    <t>rent-22-82906</t>
  </si>
  <si>
    <t>rent-23-82906</t>
  </si>
  <si>
    <t>rent-24-82906</t>
  </si>
  <si>
    <t>rent-25-82906</t>
  </si>
  <si>
    <t>rent-26-82906</t>
  </si>
  <si>
    <t>rent-27-82906</t>
  </si>
  <si>
    <t>rent-28-82906</t>
  </si>
  <si>
    <t>rent-29-82906</t>
  </si>
  <si>
    <t>rent-30-82906</t>
  </si>
  <si>
    <t>rent-31-82906</t>
  </si>
  <si>
    <t>rent-32-82906</t>
  </si>
  <si>
    <t>rent-33-82906</t>
  </si>
  <si>
    <t>rent-34-82906</t>
  </si>
  <si>
    <t>rent-35-82906</t>
  </si>
  <si>
    <t>rent-36-82906</t>
  </si>
  <si>
    <t>rent-37-82906</t>
  </si>
  <si>
    <t>rent-38-82906</t>
  </si>
  <si>
    <t>rent-39-82906</t>
  </si>
  <si>
    <t>rent-40-82906</t>
  </si>
  <si>
    <t>Crop market price, per bushel</t>
  </si>
  <si>
    <t>2015 DoubleCrop</t>
  </si>
  <si>
    <t>None</t>
  </si>
  <si>
    <t>Input Assumptions</t>
  </si>
  <si>
    <t>Category</t>
  </si>
  <si>
    <r>
      <t>$/pound P</t>
    </r>
    <r>
      <rPr>
        <vertAlign val="subscript"/>
        <sz val="10"/>
        <rFont val="Segoe UI"/>
        <family val="2"/>
        <scheme val="minor"/>
      </rPr>
      <t>2</t>
    </r>
    <r>
      <rPr>
        <sz val="10"/>
        <rFont val="Segoe UI"/>
        <family val="2"/>
        <scheme val="minor"/>
      </rPr>
      <t>O</t>
    </r>
    <r>
      <rPr>
        <vertAlign val="subscript"/>
        <sz val="10"/>
        <rFont val="Segoe UI"/>
        <family val="2"/>
        <scheme val="minor"/>
      </rPr>
      <t>5</t>
    </r>
    <r>
      <rPr>
        <sz val="10"/>
        <rFont val="Segoe UI"/>
        <family val="2"/>
        <scheme val="minor"/>
      </rPr>
      <t xml:space="preserve"> applied</t>
    </r>
  </si>
  <si>
    <r>
      <t>$/pound K</t>
    </r>
    <r>
      <rPr>
        <vertAlign val="subscript"/>
        <sz val="10"/>
        <rFont val="Segoe UI"/>
        <family val="2"/>
        <scheme val="minor"/>
      </rPr>
      <t>2</t>
    </r>
    <r>
      <rPr>
        <sz val="10"/>
        <rFont val="Segoe UI"/>
        <family val="2"/>
        <scheme val="minor"/>
      </rPr>
      <t>O applied</t>
    </r>
  </si>
  <si>
    <t>Annual percentage</t>
  </si>
  <si>
    <t>Production Quantities</t>
  </si>
  <si>
    <t>Skilled labor</t>
  </si>
  <si>
    <t>Diesel fuel</t>
  </si>
  <si>
    <t xml:space="preserve">Management </t>
  </si>
  <si>
    <t>INCOME OVER OPERATING COSTS</t>
  </si>
  <si>
    <t>INCOME OVER TOTAL COSTS</t>
  </si>
  <si>
    <t>RETURN TO LAND AND MANAGEMENT</t>
  </si>
  <si>
    <t>Income</t>
  </si>
  <si>
    <t>Operating costs</t>
  </si>
  <si>
    <t>Ownership costs</t>
  </si>
  <si>
    <t>Total operating costs</t>
  </si>
  <si>
    <t>Total ownership costs</t>
  </si>
  <si>
    <t>Total income</t>
  </si>
  <si>
    <t>Total costs</t>
  </si>
  <si>
    <r>
      <rPr>
        <vertAlign val="superscript"/>
        <sz val="10"/>
        <rFont val="Segoe UI"/>
        <family val="2"/>
        <scheme val="minor"/>
      </rPr>
      <t xml:space="preserve">1 </t>
    </r>
    <r>
      <rPr>
        <sz val="10"/>
        <rFont val="Segoe UI"/>
        <family val="2"/>
        <scheme val="minor"/>
      </rPr>
      <t>Machinery operating cost is the sum of fuel, repairs, maintenance, and value of labor.</t>
    </r>
  </si>
  <si>
    <r>
      <rPr>
        <vertAlign val="superscript"/>
        <sz val="10"/>
        <rFont val="Segoe UI"/>
        <family val="2"/>
        <scheme val="minor"/>
      </rPr>
      <t xml:space="preserve">2 </t>
    </r>
    <r>
      <rPr>
        <sz val="10"/>
        <rFont val="Segoe UI"/>
        <family val="2"/>
        <scheme val="minor"/>
      </rPr>
      <t>Machinery ownership cost is the sum of machinery overhead and depreciation.</t>
    </r>
  </si>
  <si>
    <r>
      <rPr>
        <vertAlign val="superscript"/>
        <sz val="10"/>
        <rFont val="Segoe UI"/>
        <family val="2"/>
        <scheme val="minor"/>
      </rPr>
      <t xml:space="preserve">3 </t>
    </r>
    <r>
      <rPr>
        <sz val="10"/>
        <rFont val="Segoe UI"/>
        <family val="2"/>
        <scheme val="minor"/>
      </rPr>
      <t>Totals may not sum due to rounding</t>
    </r>
  </si>
  <si>
    <r>
      <t>Total Costs</t>
    </r>
    <r>
      <rPr>
        <b/>
        <vertAlign val="superscript"/>
        <sz val="11"/>
        <rFont val="Segoe UI"/>
        <family val="2"/>
        <scheme val="minor"/>
      </rPr>
      <t>3</t>
    </r>
  </si>
  <si>
    <r>
      <t>Operating Costs</t>
    </r>
    <r>
      <rPr>
        <b/>
        <vertAlign val="superscript"/>
        <sz val="11"/>
        <rFont val="Segoe UI"/>
        <family val="2"/>
        <scheme val="minor"/>
      </rPr>
      <t>1</t>
    </r>
  </si>
  <si>
    <r>
      <t>Ownership Costs</t>
    </r>
    <r>
      <rPr>
        <b/>
        <vertAlign val="superscript"/>
        <sz val="11"/>
        <rFont val="Segoe UI"/>
        <family val="2"/>
        <scheme val="minor"/>
      </rPr>
      <t>2</t>
    </r>
  </si>
  <si>
    <t>Machinery ownership</t>
  </si>
  <si>
    <t>Cells with this color can be updated by using future Lazarus data or with data that the user has access to.</t>
  </si>
  <si>
    <t>Implements</t>
  </si>
  <si>
    <t>Selection</t>
  </si>
  <si>
    <t>Implement type</t>
  </si>
  <si>
    <t>Width</t>
  </si>
  <si>
    <t>Width Unit</t>
  </si>
  <si>
    <t>Size</t>
  </si>
  <si>
    <t>Size unit</t>
  </si>
  <si>
    <t>PriceP</t>
  </si>
  <si>
    <t>Discount</t>
  </si>
  <si>
    <t>PriceL</t>
  </si>
  <si>
    <t>Life (yr)</t>
  </si>
  <si>
    <t>Use (hr/yr)</t>
  </si>
  <si>
    <t>Use (ac/yr)</t>
  </si>
  <si>
    <t>ASABEtype</t>
  </si>
  <si>
    <t>Speed</t>
  </si>
  <si>
    <t>Efficiency</t>
  </si>
  <si>
    <t>LaborUse</t>
  </si>
  <si>
    <t>Shed (ft^2)</t>
  </si>
  <si>
    <t>TradeIn%</t>
  </si>
  <si>
    <t>TradeIn$</t>
  </si>
  <si>
    <t>OH ($/ac)</t>
  </si>
  <si>
    <t>hr/ac</t>
  </si>
  <si>
    <t>Ownership costs($/ac)</t>
  </si>
  <si>
    <t>Order in Lazarus</t>
  </si>
  <si>
    <t>Operation type</t>
  </si>
  <si>
    <t>Ft</t>
  </si>
  <si>
    <t>Skid-steer loader</t>
  </si>
  <si>
    <t>Anhydrous applicator</t>
  </si>
  <si>
    <t>Fertilizer spreader</t>
  </si>
  <si>
    <t>Fertilization</t>
  </si>
  <si>
    <t>Cultimulcher</t>
  </si>
  <si>
    <t>Mulcher-packer</t>
  </si>
  <si>
    <t>Finish tillage</t>
  </si>
  <si>
    <t>Field cultivator</t>
  </si>
  <si>
    <t>Field cultivators</t>
  </si>
  <si>
    <t>Tandem disk</t>
  </si>
  <si>
    <t>Tandem disk harrow</t>
  </si>
  <si>
    <t>Chisel plow</t>
  </si>
  <si>
    <t>Forage harvester, pull-type w/corn head</t>
  </si>
  <si>
    <t>Row</t>
  </si>
  <si>
    <t>Forage harvesters</t>
  </si>
  <si>
    <t>Forage harvester, pull-type w/pickup head</t>
  </si>
  <si>
    <t>Forage harvester, self-prop corn head</t>
  </si>
  <si>
    <t>Forage harvester (SP)</t>
  </si>
  <si>
    <t>Ft Folding</t>
  </si>
  <si>
    <t>Forage harvester, self-prop pickup head (2X windrows)</t>
  </si>
  <si>
    <t>Forage harvester, self-prop pickup head</t>
  </si>
  <si>
    <t>Combine belt pickup hd</t>
  </si>
  <si>
    <t>Combine</t>
  </si>
  <si>
    <t>Grain harvest</t>
  </si>
  <si>
    <t>Combine chopping corn hd</t>
  </si>
  <si>
    <t>Beet topper/stalk chopper</t>
  </si>
  <si>
    <t>Combine corn hd</t>
  </si>
  <si>
    <t>Combine platform</t>
  </si>
  <si>
    <t>Wagon</t>
  </si>
  <si>
    <t>Disk mower</t>
  </si>
  <si>
    <t>Mower (rotary)</t>
  </si>
  <si>
    <t>Hay equipment</t>
  </si>
  <si>
    <t>Disk mower/conditioner</t>
  </si>
  <si>
    <t>Mower-conditioner (rotary)</t>
  </si>
  <si>
    <t>Hay merger</t>
  </si>
  <si>
    <t>Side delivery rake</t>
  </si>
  <si>
    <t>Windrower (SP)</t>
  </si>
  <si>
    <t>Hay rake</t>
  </si>
  <si>
    <t>wheel</t>
  </si>
  <si>
    <t>Hay tedder</t>
  </si>
  <si>
    <t>basket</t>
  </si>
  <si>
    <t>Inline bale wrapper</t>
  </si>
  <si>
    <t>Total mixed ration mixer wagons</t>
  </si>
  <si>
    <t>Large rectangular baler</t>
  </si>
  <si>
    <t>3x3</t>
  </si>
  <si>
    <t>4x3</t>
  </si>
  <si>
    <t>Round baler w/net wrap</t>
  </si>
  <si>
    <t>5x6</t>
  </si>
  <si>
    <t>Large round baler</t>
  </si>
  <si>
    <t>Round baler</t>
  </si>
  <si>
    <t>Small square baler, twine tie</t>
  </si>
  <si>
    <t>Rectangular baler</t>
  </si>
  <si>
    <t>Rotary Mower (brush hog)</t>
  </si>
  <si>
    <t>Land management</t>
  </si>
  <si>
    <t>Stalk shredder</t>
  </si>
  <si>
    <t>Air seeder drill w/cart</t>
  </si>
  <si>
    <t>Grain drill</t>
  </si>
  <si>
    <t>Planters</t>
  </si>
  <si>
    <t>No-till drill</t>
  </si>
  <si>
    <t>Presswheel drill</t>
  </si>
  <si>
    <t>Row crop planter</t>
  </si>
  <si>
    <t>Primary tillage</t>
  </si>
  <si>
    <t xml:space="preserve">Chisel plow, front dsk </t>
  </si>
  <si>
    <t>Moldboard plow</t>
  </si>
  <si>
    <t>Bottom</t>
  </si>
  <si>
    <t>Boom sprayer - pull-type</t>
  </si>
  <si>
    <t>Boom type sprayer</t>
  </si>
  <si>
    <t>Weed control</t>
  </si>
  <si>
    <t>Boom sprayer - self-propelled</t>
  </si>
  <si>
    <t>Row cultivator</t>
  </si>
  <si>
    <t>Row crop cultivator</t>
  </si>
  <si>
    <t>Power equipment</t>
  </si>
  <si>
    <t>HP &amp; descriptive information</t>
  </si>
  <si>
    <t>HP</t>
  </si>
  <si>
    <t>Information</t>
  </si>
  <si>
    <t>Fuel (gal/hph)</t>
  </si>
  <si>
    <t>Depr ($/hr)</t>
  </si>
  <si>
    <t>OH ($/hr)</t>
  </si>
  <si>
    <t>Rep ($/hr)</t>
  </si>
  <si>
    <t>Fuel (gal/hr)</t>
  </si>
  <si>
    <t>Ownership costs ($/hr)</t>
  </si>
  <si>
    <t>HP TWD</t>
  </si>
  <si>
    <t>Two wheel drive tractors</t>
  </si>
  <si>
    <t>HP MFWD</t>
  </si>
  <si>
    <t>Mech. front wheel drive tractors</t>
  </si>
  <si>
    <t>HP 4WD</t>
  </si>
  <si>
    <t>Four wheel drive tractors &amp; crawlers</t>
  </si>
  <si>
    <t>HP Tracked 4WD</t>
  </si>
  <si>
    <t>HP Combine</t>
  </si>
  <si>
    <t>HP SP Forage Harvester Base Unit</t>
  </si>
  <si>
    <r>
      <t>Repair estimates are based on coefficients for the following function from the 2006</t>
    </r>
    <r>
      <rPr>
        <u/>
        <sz val="11"/>
        <rFont val="Arial"/>
        <family val="2"/>
      </rPr>
      <t xml:space="preserve"> ASABE Standards</t>
    </r>
    <r>
      <rPr>
        <sz val="11"/>
        <rFont val="Arial"/>
        <family val="2"/>
      </rPr>
      <t xml:space="preserve"> by the</t>
    </r>
  </si>
  <si>
    <t>American Society of Agricultural and Biological Engineers, sections D497.5 FEB2006 and EP496.3 FEB2006</t>
  </si>
  <si>
    <t>Notes: I reduced this from the table Lazarus provides by eliminating the reference to Wu-Perry coefficients</t>
  </si>
  <si>
    <t>Items from Lazarus machdata.xls. Values may have been changed by me.</t>
  </si>
  <si>
    <t>"Coefficients" table</t>
  </si>
  <si>
    <t>Implement used</t>
  </si>
  <si>
    <t>Power Used</t>
  </si>
  <si>
    <t xml:space="preserve">Fuel </t>
  </si>
  <si>
    <t xml:space="preserve">Labor </t>
  </si>
  <si>
    <t>Operating</t>
  </si>
  <si>
    <t>Ownership</t>
  </si>
  <si>
    <t>Total
 cost</t>
  </si>
  <si>
    <t>ASABE Category</t>
  </si>
  <si>
    <t>RF1</t>
  </si>
  <si>
    <t>RF2</t>
  </si>
  <si>
    <t>Life (hr)</t>
  </si>
  <si>
    <t>RV1</t>
  </si>
  <si>
    <t>RV2</t>
  </si>
  <si>
    <t>RV3</t>
  </si>
  <si>
    <t>RV4</t>
  </si>
  <si>
    <t>δ</t>
  </si>
  <si>
    <t>Note</t>
  </si>
  <si>
    <t>Item</t>
  </si>
  <si>
    <t>Value</t>
  </si>
  <si>
    <t>Costs</t>
  </si>
  <si>
    <t>Air-carrier sprayer</t>
  </si>
  <si>
    <t>Labor ($/hr)</t>
  </si>
  <si>
    <t>gallon/acre covered</t>
  </si>
  <si>
    <t>hours/acre covered</t>
  </si>
  <si>
    <t>$/acre covered</t>
  </si>
  <si>
    <t>per acre operated</t>
  </si>
  <si>
    <t>$/acre operated</t>
  </si>
  <si>
    <t>Bean puller-windrower</t>
  </si>
  <si>
    <t>Interest rate, % of average investment</t>
  </si>
  <si>
    <t>Insurance Rate</t>
  </si>
  <si>
    <t>Property taxes</t>
  </si>
  <si>
    <t>Fuel price, $/gallon</t>
  </si>
  <si>
    <t>***</t>
  </si>
  <si>
    <t>Lubrication cost, % of fuel</t>
  </si>
  <si>
    <t>Corn picker sheller</t>
  </si>
  <si>
    <t>Storage cost/sq. foot of space</t>
  </si>
  <si>
    <t>Cotton picker</t>
  </si>
  <si>
    <t>Inflation Rate, % per year</t>
  </si>
  <si>
    <t>2023 U.S. net farm income forecast ($ billions)</t>
  </si>
  <si>
    <t>GDP implicit price deflator, 2022 4th quarter</t>
  </si>
  <si>
    <t>Forage blower</t>
  </si>
  <si>
    <t>GDP implicit price deflator, 1996</t>
  </si>
  <si>
    <t>Forage harvester</t>
  </si>
  <si>
    <t>Real net farm income projected at trade-in, in $ billion 1996 dollars</t>
  </si>
  <si>
    <t>Acres conversion factor</t>
  </si>
  <si>
    <t>Forage wagons</t>
  </si>
  <si>
    <t>Heavy Duty disk harrow</t>
  </si>
  <si>
    <t>Manure handling equipment</t>
  </si>
  <si>
    <t>*</t>
  </si>
  <si>
    <t>Moldboard plows</t>
  </si>
  <si>
    <t>Mower</t>
  </si>
  <si>
    <t>Mower-conditioner</t>
  </si>
  <si>
    <t>Potato harvester</t>
  </si>
  <si>
    <t>Roller packer</t>
  </si>
  <si>
    <t>Rotary hoe</t>
  </si>
  <si>
    <t>Rotary tiller</t>
  </si>
  <si>
    <t>Spring tooth harrow</t>
  </si>
  <si>
    <t>Sugar beet harvester</t>
  </si>
  <si>
    <t>Type</t>
  </si>
  <si>
    <t>Activity</t>
  </si>
  <si>
    <t>Avg. cost/unit</t>
  </si>
  <si>
    <t>Unit</t>
  </si>
  <si>
    <t>Source</t>
  </si>
  <si>
    <t>Field work</t>
  </si>
  <si>
    <t>MU Custom Rates, 2023</t>
  </si>
  <si>
    <t xml:space="preserve">Activity </t>
  </si>
  <si>
    <t>Rate</t>
  </si>
  <si>
    <t>Heavy or offset disking</t>
  </si>
  <si>
    <t xml:space="preserve">Apply dry fertilizer on cropland, single spread </t>
  </si>
  <si>
    <t>Accumulate and stack small square bales and haul locally (mechanical collection)</t>
  </si>
  <si>
    <t>Vertical tillage tool</t>
  </si>
  <si>
    <t>Cut brush (brush hog)</t>
  </si>
  <si>
    <t>per hour</t>
  </si>
  <si>
    <t>Mow pasture or CRP land</t>
  </si>
  <si>
    <t>Planting</t>
  </si>
  <si>
    <t>Move round (or large square) bales locally</t>
  </si>
  <si>
    <t>Tube wrap round bales, with wrap</t>
  </si>
  <si>
    <t>No-till planting, corn or grain sorghum, 30-inch rows</t>
  </si>
  <si>
    <t>No-till planting, corn or grain sorghum, narrow rows</t>
  </si>
  <si>
    <t>No-till planting, soybean, 30-inch rows</t>
  </si>
  <si>
    <t>No-till planting, soybean, 15-inch rows</t>
  </si>
  <si>
    <t>No-till planting, small grains or forage crops, drill</t>
  </si>
  <si>
    <t>Fert and chemicals</t>
  </si>
  <si>
    <t>Apply dry fertilizer on cropland, double spread</t>
  </si>
  <si>
    <t xml:space="preserve">Silage chopping </t>
  </si>
  <si>
    <t>Apply dry fertilizer on cropland, variable rate</t>
  </si>
  <si>
    <t>Apply dry fertilizer on pasture, topdressing</t>
  </si>
  <si>
    <t xml:space="preserve">Apply dry fertilizer plus seed </t>
  </si>
  <si>
    <t>Spray liquid fertilizer</t>
  </si>
  <si>
    <t>Spray liquid fertilizer and other chemicals</t>
  </si>
  <si>
    <t>Inject anhydrous ammonia</t>
  </si>
  <si>
    <t>Spray chemicals with pull-type sprayer</t>
  </si>
  <si>
    <t>Deliver and spread lime (includes lime)</t>
  </si>
  <si>
    <t>per ton</t>
  </si>
  <si>
    <t>Spread lime only</t>
  </si>
  <si>
    <t>Spray chemicals with self-propelled crop sprayer</t>
  </si>
  <si>
    <t>Spray chemicals with floater</t>
  </si>
  <si>
    <t>Harvest and haul</t>
  </si>
  <si>
    <t>Combine corn</t>
  </si>
  <si>
    <t>Combine soybean</t>
  </si>
  <si>
    <t>Combine small grains</t>
  </si>
  <si>
    <t>Combine grass seed</t>
  </si>
  <si>
    <t>Grain cart, in field</t>
  </si>
  <si>
    <t>Haul grain or seed from field to farm storage</t>
  </si>
  <si>
    <t>per bushel</t>
  </si>
  <si>
    <t>Haul grain or seed from bin to market</t>
  </si>
  <si>
    <t>per loaded mile</t>
  </si>
  <si>
    <t>per pound</t>
  </si>
  <si>
    <t>Cut and condition hay</t>
  </si>
  <si>
    <t>Rake hay</t>
  </si>
  <si>
    <t>Round bale only with net wrap</t>
  </si>
  <si>
    <t>per bale</t>
  </si>
  <si>
    <t>Cut, rake and bale with net wrap</t>
  </si>
  <si>
    <t>Pick up and move small square bales locally (hand labor)</t>
  </si>
  <si>
    <t>Kansas State Custom Rates, 2022</t>
  </si>
  <si>
    <t>Average of online responses given on various farm forum boards</t>
  </si>
  <si>
    <t>Corn Silage Pricing Spreadsheet, 2023</t>
  </si>
  <si>
    <t>Sulfur</t>
  </si>
  <si>
    <t>Zinc</t>
  </si>
  <si>
    <t>Boron</t>
  </si>
  <si>
    <t>Irrigation costs</t>
  </si>
  <si>
    <t>Center pivot</t>
  </si>
  <si>
    <t>All costs are listed per acre-inch</t>
  </si>
  <si>
    <t>Repairs</t>
  </si>
  <si>
    <t>Capital investment</t>
  </si>
  <si>
    <t>Lifespan</t>
  </si>
  <si>
    <t>Lifespan (hours)</t>
  </si>
  <si>
    <r>
      <t>δ</t>
    </r>
    <r>
      <rPr>
        <vertAlign val="superscript"/>
        <sz val="10"/>
        <color rgb="FFF1B82D"/>
        <rFont val="Segoe UI"/>
        <family val="2"/>
      </rPr>
      <t>2</t>
    </r>
  </si>
  <si>
    <t>Salvage value of materials</t>
  </si>
  <si>
    <t>Acre-inch is equal to 27,154 gallons</t>
  </si>
  <si>
    <t>Fixed costs</t>
  </si>
  <si>
    <t>Subsoiler</t>
  </si>
  <si>
    <t>Bed leveler</t>
  </si>
  <si>
    <t>Strip-till</t>
  </si>
  <si>
    <t>Disk bedder</t>
  </si>
  <si>
    <t>Vegetable transplanter</t>
  </si>
  <si>
    <t>Peanut digger</t>
  </si>
  <si>
    <t>Peanut shaker</t>
  </si>
  <si>
    <t>Peanut combine</t>
  </si>
  <si>
    <t>Peanut dump cart</t>
  </si>
  <si>
    <t>Cotton Picker</t>
  </si>
  <si>
    <t>Cotton Module Builder</t>
  </si>
  <si>
    <t>Cotton picker with baler</t>
  </si>
  <si>
    <t>Cotton stalk puller</t>
  </si>
  <si>
    <t>Coulter-side dress applicator</t>
  </si>
  <si>
    <t>4 shank</t>
  </si>
  <si>
    <t>7 shank</t>
  </si>
  <si>
    <t>9 shank</t>
  </si>
  <si>
    <t>12 row</t>
  </si>
  <si>
    <t>4 row</t>
  </si>
  <si>
    <t>Sprayer, hooded</t>
  </si>
  <si>
    <t>Sprayer, lay-by</t>
  </si>
  <si>
    <t>ft</t>
  </si>
  <si>
    <t>950 cf</t>
  </si>
  <si>
    <t>Furrow farming</t>
  </si>
  <si>
    <t>Transplanter</t>
  </si>
  <si>
    <t>Chemical application</t>
  </si>
  <si>
    <t>Peanut farming</t>
  </si>
  <si>
    <t>Cotton harvest</t>
  </si>
  <si>
    <t>Fertilizer application</t>
  </si>
  <si>
    <t>HP SP Cotton Picker</t>
  </si>
  <si>
    <t>Input Quantities</t>
  </si>
  <si>
    <r>
      <t xml:space="preserve">Choose the implements and power equipment that most closely matches the field operations you perform in a given crop with your owned machinery. If you hire any field operations done from a custom operator, see the </t>
    </r>
    <r>
      <rPr>
        <b/>
        <sz val="10"/>
        <color theme="1"/>
        <rFont val="Segoe UI"/>
        <family val="2"/>
      </rPr>
      <t>"Custom Hire"</t>
    </r>
    <r>
      <rPr>
        <sz val="10"/>
        <color theme="1"/>
        <rFont val="Segoe UI"/>
        <family val="2"/>
      </rPr>
      <t xml:space="preserve"> tab.</t>
    </r>
  </si>
  <si>
    <t>Machinery Selection</t>
  </si>
  <si>
    <t>Seeds or pounds per acre</t>
  </si>
  <si>
    <t>$/pound applied</t>
  </si>
  <si>
    <t>Note: Equipment and power selection and data are from 2024 Lazarus Machdata.</t>
  </si>
  <si>
    <t xml:space="preserve">Copy entire selection to "Machinery Input table" sheet to replace </t>
  </si>
  <si>
    <t>Use basis</t>
  </si>
  <si>
    <t>Depr ($/ac)2</t>
  </si>
  <si>
    <t>Rep ($/ac)4</t>
  </si>
  <si>
    <t>acre</t>
  </si>
  <si>
    <t>CC FWD ATV</t>
  </si>
  <si>
    <t>Off-road vehicles</t>
  </si>
  <si>
    <t>New</t>
  </si>
  <si>
    <t>CC FWD UTV</t>
  </si>
  <si>
    <t>Ton 4x4 Pickup</t>
  </si>
  <si>
    <t>Light duty trucks</t>
  </si>
  <si>
    <t>New, dually, regular cab, gas engine</t>
  </si>
  <si>
    <t>HP Tandem grain truck</t>
  </si>
  <si>
    <t>Heavy duty trucks</t>
  </si>
  <si>
    <t>less than 20 year old fresh build tandem 20-22ft aluminum bed</t>
  </si>
  <si>
    <t xml:space="preserve">HP Road tractor </t>
  </si>
  <si>
    <t>5-15 year old used daycab less than 400k miles</t>
  </si>
  <si>
    <t>Grain cart</t>
  </si>
  <si>
    <t>hour</t>
  </si>
  <si>
    <t>Grain trailer</t>
  </si>
  <si>
    <t>Bushel HB</t>
  </si>
  <si>
    <t>Trailers</t>
  </si>
  <si>
    <t>Hay trailer</t>
  </si>
  <si>
    <t>Bale</t>
  </si>
  <si>
    <t>Livestock trailer</t>
  </si>
  <si>
    <t xml:space="preserve"> ton cap. 7x20 gooseneck</t>
  </si>
  <si>
    <t>Reset formula to input sheet after copying over</t>
  </si>
  <si>
    <t>Sickle bar mower</t>
  </si>
  <si>
    <t>https://www.durattach.com/108-inch-farm-maxx-sbm-series-sickle-bar-mowers-model-fsbm-9h.html</t>
  </si>
  <si>
    <t>HP SP Sprayer</t>
  </si>
  <si>
    <t>New JD 410R</t>
  </si>
  <si>
    <t>Flood</t>
  </si>
  <si>
    <t>includes fuel for pumping and/or power generation</t>
  </si>
  <si>
    <t>hp/gal/hr</t>
  </si>
  <si>
    <t>1/4 mile system with end gun for 160 acre field</t>
  </si>
  <si>
    <t>35 minutes per acre inch at 700 GPM</t>
  </si>
  <si>
    <t>shaft horsepower required</t>
  </si>
  <si>
    <t>minutes per acre inch at 700 GPM</t>
  </si>
  <si>
    <t>acres watered</t>
  </si>
  <si>
    <t>repair costs, percent of value</t>
  </si>
  <si>
    <t>acre inch</t>
  </si>
  <si>
    <t>headland tubing</t>
  </si>
  <si>
    <t>water efficiency</t>
  </si>
  <si>
    <t>Land leveling</t>
  </si>
  <si>
    <t>per acre, per year</t>
  </si>
  <si>
    <t>GPM pumped</t>
  </si>
  <si>
    <t>acre-inches/hr</t>
  </si>
  <si>
    <t>est. $300/acre spread over 100 years</t>
  </si>
  <si>
    <t>https://www.lsuagcenter.com/~/media/system/8/7/5/a/875a105c7fdf9bc07be233b1281d12ae/2017%20sugarcane%20precision%20grading%20cost%20reportpdf.pdf</t>
  </si>
  <si>
    <t>https://www.irrigation-mart.com/items/DH-PP161010WA?srsltid=AfmBOopMUkCIS0dT13leJSTlolrJ69zFIo-Uq38TtHrMUOjSzX2PryiD</t>
  </si>
  <si>
    <t>CSU irrigation guide</t>
  </si>
  <si>
    <t>$/pass, average</t>
  </si>
  <si>
    <t>Insecticide applications</t>
  </si>
  <si>
    <t>Fungicide applications</t>
  </si>
  <si>
    <t>Irrigation water applied</t>
  </si>
  <si>
    <t>Furrow</t>
  </si>
  <si>
    <t>Non-irrigated</t>
  </si>
  <si>
    <t>Other nutrients</t>
  </si>
  <si>
    <t>Insecticide</t>
  </si>
  <si>
    <t>Fungicide</t>
  </si>
  <si>
    <t>Growth regulators/dessicant</t>
  </si>
  <si>
    <t>280 HP MFWD</t>
  </si>
  <si>
    <t>Row crop planter, 40 Ft Folding, per acre</t>
  </si>
  <si>
    <t>1 Ton 4x4 Pickup</t>
  </si>
  <si>
    <t>Custom hire activities</t>
  </si>
  <si>
    <t>To edit custom hire assumptions, see the custom hire tab.</t>
  </si>
  <si>
    <t>Cost per acre</t>
  </si>
  <si>
    <t>Total per acre</t>
  </si>
  <si>
    <t>Aerially apply fertilizer or seed</t>
  </si>
  <si>
    <t>Aerially apply chemicals</t>
  </si>
  <si>
    <t>FDRC agronomists</t>
  </si>
  <si>
    <t>MU Custom Rates, 2022</t>
  </si>
  <si>
    <t>Machinery fuel</t>
  </si>
  <si>
    <t>$/pass average</t>
  </si>
  <si>
    <t>3% of investment</t>
  </si>
  <si>
    <t>average water applied</t>
  </si>
  <si>
    <t>Annual fixed costs per acre-inch</t>
  </si>
  <si>
    <t>Operating costs, as applied</t>
  </si>
  <si>
    <t>per acre-inch</t>
  </si>
  <si>
    <t>Total costs, per acre-inch</t>
  </si>
  <si>
    <t>Grain trailer, 1000 Bushel HB, per hour</t>
  </si>
  <si>
    <t xml:space="preserve">475 HP Road tractor </t>
  </si>
  <si>
    <t>Draper platform</t>
  </si>
  <si>
    <t>Double-crop Soybean</t>
  </si>
  <si>
    <t>DC Soybeans</t>
  </si>
  <si>
    <t>Secondary rate</t>
  </si>
  <si>
    <t>Grain drying</t>
  </si>
  <si>
    <t>$/percentage moisture removed/bu</t>
  </si>
  <si>
    <t>Harvest moisture</t>
  </si>
  <si>
    <t>Irrigated</t>
  </si>
  <si>
    <t xml:space="preserve"> Milo</t>
  </si>
  <si>
    <t>Nitrogen from anhydrous</t>
  </si>
  <si>
    <t>Total nitrogen</t>
  </si>
  <si>
    <t>Grain auger</t>
  </si>
  <si>
    <t>In</t>
  </si>
  <si>
    <t>Ft long</t>
  </si>
  <si>
    <t>Boom sprayer - pull-type, 90 Ft Folding, per acre</t>
  </si>
  <si>
    <t>325 HP Tandem grain truck</t>
  </si>
  <si>
    <t>Grain auger, 13 In, per hour</t>
  </si>
  <si>
    <t>350 HP 4WD</t>
  </si>
  <si>
    <t>Anhydrous applicator, 36 Ft Folding, per acre</t>
  </si>
  <si>
    <t>130 HP MFWD</t>
  </si>
  <si>
    <t>275 HP Combine</t>
  </si>
  <si>
    <t>Bu</t>
  </si>
  <si>
    <t>Grain cart, 1000 Bu, per hour</t>
  </si>
  <si>
    <t>Tandem disk, 32 Ft Folding, per acre</t>
  </si>
  <si>
    <t>Field cultivator, 42 Ft Folding, per acre</t>
  </si>
  <si>
    <t>Combine chopping corn hd, 20 Ft, per acre</t>
  </si>
  <si>
    <t>or hours</t>
  </si>
  <si>
    <t>Combine platform, 25 Ft, per acre</t>
  </si>
  <si>
    <t>No-till drill, 15 Ft, per acre</t>
  </si>
  <si>
    <t>% of gross revenue</t>
  </si>
  <si>
    <t>ditching and berms</t>
  </si>
  <si>
    <t>Winter Wheat</t>
  </si>
  <si>
    <t>Return to land and management sensitivity analysis</t>
  </si>
  <si>
    <t>Crop Price</t>
  </si>
  <si>
    <t>Check</t>
  </si>
  <si>
    <t>Custom Hire Selection</t>
  </si>
  <si>
    <r>
      <t xml:space="preserve">Choose the activities performed by custom operators for a given crop and the number of times the service is performed by the operator. If you do an activity listed with equipment you own or lease, enter that activity on the </t>
    </r>
    <r>
      <rPr>
        <b/>
        <sz val="10"/>
        <color theme="1"/>
        <rFont val="Segoe UI"/>
        <family val="2"/>
      </rPr>
      <t>"Equipment"</t>
    </r>
    <r>
      <rPr>
        <sz val="10"/>
        <color theme="1"/>
        <rFont val="Segoe UI"/>
        <family val="2"/>
      </rPr>
      <t xml:space="preserve"> tab.</t>
    </r>
  </si>
  <si>
    <t>percent</t>
  </si>
  <si>
    <t>$/bushel</t>
  </si>
  <si>
    <t>pounds applied</t>
  </si>
  <si>
    <t>tons applied</t>
  </si>
  <si>
    <t>passes</t>
  </si>
  <si>
    <t>acre-inches</t>
  </si>
  <si>
    <t>Commodity price</t>
  </si>
  <si>
    <t>Irrigated Corn</t>
  </si>
  <si>
    <r>
      <t xml:space="preserve">Total </t>
    </r>
    <r>
      <rPr>
        <b/>
        <vertAlign val="superscript"/>
        <sz val="10"/>
        <rFont val="Segoe UI"/>
        <family val="2"/>
        <scheme val="minor"/>
      </rPr>
      <t>3</t>
    </r>
  </si>
  <si>
    <t>seeds or pounds</t>
  </si>
  <si>
    <t>Nitrogen (anhydrous ammonia)</t>
  </si>
  <si>
    <t xml:space="preserve">$50,000 standard estimate for well costs - </t>
  </si>
  <si>
    <t>100' deep set up for diesel pump</t>
  </si>
  <si>
    <t>Operator labor</t>
  </si>
  <si>
    <t>Operatorlabor</t>
  </si>
  <si>
    <t>Lime rate, tons</t>
  </si>
  <si>
    <t>Lime, per ton applied</t>
  </si>
  <si>
    <t>Operating interest, annual percentage</t>
  </si>
  <si>
    <t>Half of pivot ownership paid by tenant</t>
  </si>
  <si>
    <t>Life used (%)</t>
  </si>
  <si>
    <t>HP Flatbed truck</t>
  </si>
  <si>
    <t>1980's 2 ton flatbed in decent shape</t>
  </si>
  <si>
    <t>HP MFWD Cab loader</t>
  </si>
  <si>
    <t>Air blast sprayer</t>
  </si>
  <si>
    <t>100 gal</t>
  </si>
  <si>
    <t>Flatbed trailer</t>
  </si>
  <si>
    <t xml:space="preserve">ton cap.  </t>
  </si>
  <si>
    <t>Finish mower</t>
  </si>
  <si>
    <t>200 lb</t>
  </si>
  <si>
    <t>6 ton</t>
  </si>
  <si>
    <t>10 ton</t>
  </si>
  <si>
    <t>Air boom spreader</t>
  </si>
  <si>
    <t>20 ton</t>
  </si>
  <si>
    <t>Boomless sprayer</t>
  </si>
  <si>
    <t xml:space="preserve">Ft. </t>
  </si>
  <si>
    <t>150 gal</t>
  </si>
  <si>
    <t>Orchard work platform</t>
  </si>
  <si>
    <t>2 man</t>
  </si>
  <si>
    <t>Nutrients</t>
  </si>
  <si>
    <t>Starter Fertilizer</t>
  </si>
  <si>
    <t>Poultry Liter</t>
  </si>
  <si>
    <t>Cover Crops/Green Manure</t>
  </si>
  <si>
    <t>Biopesticides</t>
  </si>
  <si>
    <t>Hand Weeding</t>
  </si>
  <si>
    <t>Other</t>
  </si>
  <si>
    <t>Chisel plow, 22 Ft Folding, per acre</t>
  </si>
  <si>
    <t>Field cultivator, 28 Ft Folding, per acre</t>
  </si>
  <si>
    <t>Tandem disk, 21 Ft Folding, per acre</t>
  </si>
  <si>
    <t>Row crop planter, 20 Ft Folding, per acre</t>
  </si>
  <si>
    <t>Combine corn hd, 15 Ft, per acre</t>
  </si>
  <si>
    <t>160 HP MFWD</t>
  </si>
  <si>
    <t>Row cultivator, 30 Ft Folding, per acre</t>
  </si>
  <si>
    <t>Organic Soybean Enterprise Budget</t>
  </si>
  <si>
    <t>Hand Weedning</t>
  </si>
  <si>
    <t>Organic Soybean</t>
  </si>
  <si>
    <t>Organic Corn Enterprise Budget</t>
  </si>
  <si>
    <t>Organic Corn</t>
  </si>
  <si>
    <t>Organic Soybeans</t>
  </si>
  <si>
    <t>Organic</t>
  </si>
  <si>
    <t xml:space="preserve"> </t>
  </si>
  <si>
    <t>200 HP MFWD</t>
  </si>
  <si>
    <t>Developed by: Peter Zimmel, FAPRI</t>
  </si>
  <si>
    <t>This worksheet is for educational purposes only and the user assumes all risks associated with its use.</t>
  </si>
  <si>
    <t xml:space="preserve">Organic Crop Enterprise Budgets for Missouri </t>
  </si>
  <si>
    <t>This budget models expenses and income for organic corn and organic soybean production on a per acre basis. Develop a customized budget by adjusting the assumptions in gray cells to match the management practices and expected yields and prices for your farm.</t>
  </si>
  <si>
    <t>Updated: 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</si>
</sst>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m/d/yyyy;@"/>
    <numFmt numFmtId="165" formatCode="&quot;$&quot;#,##0.00"/>
    <numFmt numFmtId="166" formatCode="0.0"/>
    <numFmt numFmtId="167" formatCode="0.0%"/>
    <numFmt numFmtId="168" formatCode="_(* #,##0_);_(* \(#,##0\);_(* &quot;-&quot;??_);_(@_)"/>
    <numFmt numFmtId="169" formatCode="#,##0.000"/>
    <numFmt numFmtId="170" formatCode="#,##0.0_);\(#,##0.0\)"/>
    <numFmt numFmtId="171" formatCode="_(* #,##0.000_);_(* \(#,##0.000\);_(* &quot;-&quot;??_);_(@_)"/>
  </numFmts>
  <fonts count="53">
    <font>
      <sz val="11"/>
      <color theme="1"/>
      <name val="Segoe UI"/>
      <family val="2"/>
      <scheme val="minor"/>
    </font>
    <font>
      <sz val="12"/>
      <color theme="1"/>
      <name val="Segoe UI"/>
      <family val="2"/>
      <scheme val="minor"/>
    </font>
    <font>
      <sz val="10"/>
      <name val="TimesNewRomanPS"/>
    </font>
    <font>
      <sz val="11"/>
      <color theme="1"/>
      <name val="Segoe UI"/>
      <family val="2"/>
      <scheme val="minor"/>
    </font>
    <font>
      <b/>
      <sz val="11"/>
      <color theme="1"/>
      <name val="Segoe UI"/>
      <family val="2"/>
      <scheme val="minor"/>
    </font>
    <font>
      <sz val="9"/>
      <color indexed="81"/>
      <name val="Tahoma"/>
      <family val="2"/>
    </font>
    <font>
      <sz val="12"/>
      <color theme="1"/>
      <name val="Segoe UI"/>
      <family val="2"/>
      <scheme val="minor"/>
    </font>
    <font>
      <sz val="12"/>
      <name val="Segoe UI"/>
      <family val="2"/>
      <scheme val="minor"/>
    </font>
    <font>
      <sz val="11"/>
      <color theme="0"/>
      <name val="Segoe UI"/>
      <family val="2"/>
      <scheme val="minor"/>
    </font>
    <font>
      <sz val="11"/>
      <name val="Segoe UI"/>
      <family val="2"/>
      <scheme val="minor"/>
    </font>
    <font>
      <b/>
      <sz val="11"/>
      <name val="Segoe UI"/>
      <family val="2"/>
      <scheme val="minor"/>
    </font>
    <font>
      <u/>
      <sz val="11"/>
      <color theme="0"/>
      <name val="Segoe UI"/>
      <family val="2"/>
      <scheme val="minor"/>
    </font>
    <font>
      <i/>
      <sz val="11"/>
      <name val="Segoe UI"/>
      <family val="2"/>
      <scheme val="minor"/>
    </font>
    <font>
      <b/>
      <vertAlign val="superscript"/>
      <sz val="11"/>
      <name val="Segoe UI"/>
      <family val="2"/>
      <scheme val="minor"/>
    </font>
    <font>
      <b/>
      <sz val="12"/>
      <color theme="1"/>
      <name val="Segoe UI"/>
      <family val="2"/>
      <scheme val="minor"/>
    </font>
    <font>
      <sz val="12"/>
      <name val="Verdana"/>
      <family val="2"/>
    </font>
    <font>
      <b/>
      <sz val="12"/>
      <name val="Segoe UI"/>
      <family val="2"/>
      <scheme val="minor"/>
    </font>
    <font>
      <b/>
      <sz val="14"/>
      <color rgb="FFF1B82D"/>
      <name val="Segoe UI Black"/>
      <family val="2"/>
      <scheme val="major"/>
    </font>
    <font>
      <sz val="10"/>
      <name val="Segoe UI"/>
      <family val="2"/>
      <scheme val="minor"/>
    </font>
    <font>
      <sz val="10"/>
      <color theme="1"/>
      <name val="Segoe UI"/>
      <family val="2"/>
      <scheme val="minor"/>
    </font>
    <font>
      <vertAlign val="subscript"/>
      <sz val="10"/>
      <name val="Segoe UI"/>
      <family val="2"/>
      <scheme val="minor"/>
    </font>
    <font>
      <b/>
      <u/>
      <sz val="12"/>
      <name val="Segoe UI"/>
      <family val="2"/>
      <scheme val="minor"/>
    </font>
    <font>
      <b/>
      <u/>
      <sz val="11"/>
      <name val="Segoe UI"/>
      <family val="2"/>
      <scheme val="minor"/>
    </font>
    <font>
      <vertAlign val="superscript"/>
      <sz val="10"/>
      <name val="Segoe UI"/>
      <family val="2"/>
      <scheme val="minor"/>
    </font>
    <font>
      <sz val="11"/>
      <color theme="1"/>
      <name val="Segoe UI"/>
      <family val="2"/>
    </font>
    <font>
      <sz val="10"/>
      <color theme="1"/>
      <name val="Segoe UI"/>
      <family val="2"/>
    </font>
    <font>
      <b/>
      <sz val="10"/>
      <color theme="1"/>
      <name val="Segoe UI"/>
      <family val="2"/>
    </font>
    <font>
      <b/>
      <sz val="10"/>
      <color rgb="FFF1B82D"/>
      <name val="Segoe UI"/>
      <family val="2"/>
    </font>
    <font>
      <sz val="10"/>
      <color rgb="FFFFC000"/>
      <name val="Segoe UI"/>
      <family val="2"/>
    </font>
    <font>
      <sz val="10"/>
      <name val="Segoe UI"/>
      <family val="2"/>
    </font>
    <font>
      <b/>
      <sz val="9"/>
      <color indexed="81"/>
      <name val="Tahoma"/>
      <family val="2"/>
    </font>
    <font>
      <b/>
      <sz val="10"/>
      <name val="Segoe UI"/>
      <family val="2"/>
    </font>
    <font>
      <sz val="10"/>
      <color indexed="8"/>
      <name val="Segoe UI"/>
      <family val="2"/>
    </font>
    <font>
      <sz val="10"/>
      <color rgb="FFF1B82D"/>
      <name val="Segoe UI"/>
      <family val="2"/>
    </font>
    <font>
      <sz val="11"/>
      <name val="Arial"/>
      <family val="2"/>
    </font>
    <font>
      <u/>
      <sz val="11"/>
      <name val="Arial"/>
      <family val="2"/>
    </font>
    <font>
      <i/>
      <sz val="8"/>
      <color theme="1"/>
      <name val="Segoe UI"/>
      <family val="2"/>
    </font>
    <font>
      <b/>
      <sz val="8"/>
      <color indexed="81"/>
      <name val="Tahoma"/>
      <family val="2"/>
    </font>
    <font>
      <sz val="8"/>
      <color indexed="81"/>
      <name val="Tahoma"/>
      <family val="2"/>
    </font>
    <font>
      <b/>
      <sz val="11"/>
      <color rgb="FFFFC000"/>
      <name val="Segoe UI"/>
      <family val="2"/>
      <scheme val="minor"/>
    </font>
    <font>
      <i/>
      <sz val="11"/>
      <color rgb="FFFFC000"/>
      <name val="Segoe UI"/>
      <family val="2"/>
      <scheme val="minor"/>
    </font>
    <font>
      <vertAlign val="superscript"/>
      <sz val="10"/>
      <color rgb="FFF1B82D"/>
      <name val="Segoe UI"/>
      <family val="2"/>
    </font>
    <font>
      <sz val="10"/>
      <color indexed="12"/>
      <name val="Segoe UI"/>
      <family val="2"/>
    </font>
    <font>
      <i/>
      <sz val="10"/>
      <name val="Segoe UI"/>
      <family val="2"/>
      <scheme val="minor"/>
    </font>
    <font>
      <b/>
      <sz val="10"/>
      <name val="Segoe UI"/>
      <family val="2"/>
      <scheme val="minor"/>
    </font>
    <font>
      <sz val="8"/>
      <name val="Segoe UI"/>
      <family val="2"/>
      <scheme val="minor"/>
    </font>
    <font>
      <sz val="12"/>
      <color theme="0"/>
      <name val="Segoe UI"/>
      <family val="2"/>
      <scheme val="minor"/>
    </font>
    <font>
      <b/>
      <vertAlign val="superscript"/>
      <sz val="10"/>
      <name val="Segoe UI"/>
      <family val="2"/>
      <scheme val="minor"/>
    </font>
    <font>
      <b/>
      <sz val="14"/>
      <color rgb="FFFFC000"/>
      <name val="Segoe UI Black"/>
      <family val="2"/>
      <scheme val="major"/>
    </font>
    <font>
      <b/>
      <sz val="11"/>
      <color rgb="FF3F3F3F"/>
      <name val="Segoe UI"/>
      <family val="2"/>
      <scheme val="minor"/>
    </font>
    <font>
      <b/>
      <sz val="16"/>
      <color rgb="FFF1B82D"/>
      <name val="Segoe UI Black"/>
      <family val="2"/>
      <scheme val="major"/>
    </font>
    <font>
      <b/>
      <sz val="12"/>
      <color rgb="FF3F3F3F"/>
      <name val="Segoe UI"/>
      <family val="2"/>
      <scheme val="minor"/>
    </font>
    <font>
      <b/>
      <sz val="14"/>
      <color rgb="FFF1B82D"/>
      <name val="Segoe UI"/>
      <family val="2"/>
      <scheme val="minor"/>
    </font>
  </fonts>
  <fills count="11">
    <fill>
      <patternFill patternType="none"/>
    </fill>
    <fill>
      <patternFill patternType="gray125"/>
    </fill>
    <fill>
      <patternFill patternType="solid">
        <fgColor theme="2"/>
        <bgColor indexed="64"/>
      </patternFill>
    </fill>
    <fill>
      <patternFill patternType="solid">
        <fgColor theme="1"/>
        <bgColor indexed="64"/>
      </patternFill>
    </fill>
    <fill>
      <patternFill patternType="gray0625"/>
    </fill>
    <fill>
      <patternFill patternType="solid">
        <fgColor rgb="FFE7E6E6"/>
        <bgColor indexed="64"/>
      </patternFill>
    </fill>
    <fill>
      <patternFill patternType="solid">
        <fgColor theme="0"/>
        <bgColor indexed="64"/>
      </patternFill>
    </fill>
    <fill>
      <patternFill patternType="solid">
        <fgColor theme="1"/>
        <bgColor theme="1"/>
      </patternFill>
    </fill>
    <fill>
      <patternFill patternType="gray125">
        <fgColor auto="1"/>
        <bgColor rgb="FFE7E6E6"/>
      </patternFill>
    </fill>
    <fill>
      <patternFill patternType="solid">
        <fgColor theme="7" tint="0.79998168889431442"/>
        <bgColor indexed="64"/>
      </patternFill>
    </fill>
    <fill>
      <patternFill patternType="solid">
        <fgColor rgb="FFF2F2F2"/>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theme="1"/>
      </left>
      <right/>
      <top style="thin">
        <color theme="1"/>
      </top>
      <bottom/>
      <diagonal/>
    </border>
    <border>
      <left/>
      <right/>
      <top style="thin">
        <color theme="4" tint="0.39997558519241921"/>
      </top>
      <bottom style="thin">
        <color theme="4" tint="0.39997558519241921"/>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s>
  <cellStyleXfs count="7">
    <xf numFmtId="0" fontId="0" fillId="0" borderId="0"/>
    <xf numFmtId="0" fontId="2"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49" fillId="10" borderId="25" applyNumberFormat="0" applyAlignment="0" applyProtection="0"/>
  </cellStyleXfs>
  <cellXfs count="360">
    <xf numFmtId="0" fontId="0" fillId="0" borderId="0" xfId="0"/>
    <xf numFmtId="0" fontId="4" fillId="0" borderId="0" xfId="0" applyFont="1"/>
    <xf numFmtId="0" fontId="9" fillId="0" borderId="0" xfId="1" applyFont="1"/>
    <xf numFmtId="0" fontId="9" fillId="2" borderId="0" xfId="1" applyFont="1" applyFill="1" applyProtection="1">
      <protection locked="0"/>
    </xf>
    <xf numFmtId="0" fontId="9" fillId="0" borderId="3" xfId="1" applyFont="1" applyBorder="1" applyAlignment="1">
      <alignment horizontal="left"/>
    </xf>
    <xf numFmtId="2" fontId="9" fillId="0" borderId="1" xfId="1" applyNumberFormat="1" applyFont="1" applyBorder="1" applyAlignment="1">
      <alignment horizontal="right"/>
    </xf>
    <xf numFmtId="2" fontId="10" fillId="0" borderId="4" xfId="1" applyNumberFormat="1" applyFont="1" applyBorder="1" applyAlignment="1">
      <alignment horizontal="right"/>
    </xf>
    <xf numFmtId="0" fontId="9" fillId="0" borderId="3" xfId="1" applyFont="1" applyBorder="1" applyAlignment="1">
      <alignment horizontal="left" indent="1"/>
    </xf>
    <xf numFmtId="0" fontId="9" fillId="0" borderId="0" xfId="1" applyFont="1" applyAlignment="1">
      <alignment horizontal="right"/>
    </xf>
    <xf numFmtId="2" fontId="9" fillId="0" borderId="3" xfId="1" applyNumberFormat="1" applyFont="1" applyBorder="1" applyAlignment="1">
      <alignment horizontal="left"/>
    </xf>
    <xf numFmtId="2" fontId="9" fillId="0" borderId="0" xfId="1" applyNumberFormat="1" applyFont="1" applyAlignment="1">
      <alignment horizontal="right"/>
    </xf>
    <xf numFmtId="2" fontId="9" fillId="0" borderId="0" xfId="1" applyNumberFormat="1" applyFont="1"/>
    <xf numFmtId="2" fontId="9" fillId="0" borderId="4" xfId="1" applyNumberFormat="1" applyFont="1" applyBorder="1" applyAlignment="1">
      <alignment horizontal="right"/>
    </xf>
    <xf numFmtId="2" fontId="9" fillId="0" borderId="3" xfId="1" applyNumberFormat="1" applyFont="1" applyBorder="1" applyAlignment="1">
      <alignment horizontal="left" indent="1"/>
    </xf>
    <xf numFmtId="2" fontId="9" fillId="0" borderId="3" xfId="1" applyNumberFormat="1" applyFont="1" applyBorder="1" applyAlignment="1">
      <alignment horizontal="left" indent="2"/>
    </xf>
    <xf numFmtId="2" fontId="9" fillId="0" borderId="4" xfId="1" applyNumberFormat="1" applyFont="1" applyBorder="1" applyAlignment="1">
      <alignment horizontal="left"/>
    </xf>
    <xf numFmtId="2" fontId="9" fillId="2" borderId="4" xfId="1" applyNumberFormat="1" applyFont="1" applyFill="1" applyBorder="1" applyAlignment="1" applyProtection="1">
      <alignment horizontal="right"/>
      <protection locked="0"/>
    </xf>
    <xf numFmtId="2" fontId="9" fillId="0" borderId="5" xfId="1" applyNumberFormat="1" applyFont="1" applyBorder="1" applyAlignment="1">
      <alignment horizontal="right"/>
    </xf>
    <xf numFmtId="2" fontId="9" fillId="0" borderId="0" xfId="1" applyNumberFormat="1" applyFont="1" applyAlignment="1">
      <alignment horizontal="left"/>
    </xf>
    <xf numFmtId="2" fontId="9" fillId="0" borderId="1" xfId="1" applyNumberFormat="1" applyFont="1" applyBorder="1"/>
    <xf numFmtId="2" fontId="9" fillId="0" borderId="7" xfId="1" applyNumberFormat="1" applyFont="1" applyBorder="1" applyAlignment="1">
      <alignment horizontal="left"/>
    </xf>
    <xf numFmtId="2" fontId="9" fillId="0" borderId="8" xfId="1" applyNumberFormat="1" applyFont="1" applyBorder="1" applyAlignment="1">
      <alignment horizontal="right"/>
    </xf>
    <xf numFmtId="2" fontId="10" fillId="0" borderId="0" xfId="0" applyNumberFormat="1" applyFont="1" applyAlignment="1">
      <alignment horizontal="left"/>
    </xf>
    <xf numFmtId="2" fontId="12" fillId="0" borderId="0" xfId="0" applyNumberFormat="1" applyFont="1" applyAlignment="1">
      <alignment horizontal="left"/>
    </xf>
    <xf numFmtId="2" fontId="9" fillId="0" borderId="0" xfId="0" applyNumberFormat="1" applyFont="1"/>
    <xf numFmtId="2" fontId="9" fillId="0" borderId="0" xfId="0" applyNumberFormat="1" applyFont="1" applyAlignment="1">
      <alignment horizontal="left"/>
    </xf>
    <xf numFmtId="14" fontId="9" fillId="0" borderId="0" xfId="0" applyNumberFormat="1" applyFont="1" applyAlignment="1">
      <alignment horizontal="right"/>
    </xf>
    <xf numFmtId="2" fontId="9" fillId="0" borderId="0" xfId="0" applyNumberFormat="1" applyFont="1" applyAlignment="1">
      <alignment horizontal="right"/>
    </xf>
    <xf numFmtId="2" fontId="10" fillId="0" borderId="1" xfId="0" applyNumberFormat="1" applyFont="1" applyBorder="1" applyAlignment="1">
      <alignment horizontal="left"/>
    </xf>
    <xf numFmtId="2" fontId="10" fillId="0" borderId="1" xfId="0" applyNumberFormat="1" applyFont="1" applyBorder="1" applyAlignment="1">
      <alignment horizontal="right"/>
    </xf>
    <xf numFmtId="2" fontId="10" fillId="0" borderId="1" xfId="0" applyNumberFormat="1" applyFont="1" applyBorder="1"/>
    <xf numFmtId="0" fontId="10" fillId="0" borderId="1" xfId="1" applyFont="1" applyBorder="1"/>
    <xf numFmtId="2" fontId="10" fillId="0" borderId="0" xfId="0" applyNumberFormat="1" applyFont="1" applyAlignment="1">
      <alignment horizontal="right"/>
    </xf>
    <xf numFmtId="2" fontId="10" fillId="0" borderId="0" xfId="0" applyNumberFormat="1" applyFont="1" applyAlignment="1">
      <alignment horizontal="right" wrapText="1"/>
    </xf>
    <xf numFmtId="164" fontId="9" fillId="0" borderId="0" xfId="1" applyNumberFormat="1" applyFont="1" applyAlignment="1">
      <alignment horizontal="right"/>
    </xf>
    <xf numFmtId="2" fontId="10" fillId="0" borderId="0" xfId="1" applyNumberFormat="1" applyFont="1" applyAlignment="1">
      <alignment horizontal="right"/>
    </xf>
    <xf numFmtId="2" fontId="10" fillId="0" borderId="5" xfId="1" applyNumberFormat="1" applyFont="1" applyBorder="1" applyAlignment="1">
      <alignment horizontal="right"/>
    </xf>
    <xf numFmtId="165" fontId="10" fillId="0" borderId="0" xfId="1" applyNumberFormat="1" applyFont="1" applyAlignment="1">
      <alignment horizontal="right"/>
    </xf>
    <xf numFmtId="2" fontId="9" fillId="0" borderId="9" xfId="1" applyNumberFormat="1" applyFont="1" applyBorder="1" applyAlignment="1">
      <alignment horizontal="right"/>
    </xf>
    <xf numFmtId="166" fontId="7" fillId="5" borderId="0" xfId="1" applyNumberFormat="1" applyFont="1" applyFill="1" applyAlignment="1" applyProtection="1">
      <alignment horizontal="right"/>
      <protection locked="0"/>
    </xf>
    <xf numFmtId="1" fontId="7" fillId="2" borderId="0" xfId="1" applyNumberFormat="1" applyFont="1" applyFill="1" applyAlignment="1" applyProtection="1">
      <alignment horizontal="right"/>
      <protection locked="0"/>
    </xf>
    <xf numFmtId="40" fontId="7" fillId="5" borderId="0" xfId="1" applyNumberFormat="1" applyFont="1" applyFill="1" applyAlignment="1" applyProtection="1">
      <alignment horizontal="right"/>
      <protection locked="0"/>
    </xf>
    <xf numFmtId="40" fontId="6" fillId="5" borderId="0" xfId="0" applyNumberFormat="1" applyFont="1" applyFill="1" applyAlignment="1" applyProtection="1">
      <alignment horizontal="right"/>
      <protection locked="0"/>
    </xf>
    <xf numFmtId="40" fontId="6" fillId="5" borderId="0" xfId="3" applyNumberFormat="1" applyFont="1" applyFill="1" applyBorder="1" applyProtection="1">
      <protection locked="0"/>
    </xf>
    <xf numFmtId="0" fontId="0" fillId="3" borderId="0" xfId="0" applyFill="1"/>
    <xf numFmtId="0" fontId="6" fillId="0" borderId="0" xfId="0" applyFont="1"/>
    <xf numFmtId="0" fontId="6" fillId="0" borderId="0" xfId="0" applyFont="1" applyAlignment="1">
      <alignment horizontal="center"/>
    </xf>
    <xf numFmtId="0" fontId="14" fillId="0" borderId="0" xfId="0" applyFont="1" applyAlignment="1">
      <alignment horizontal="center"/>
    </xf>
    <xf numFmtId="0" fontId="16" fillId="0" borderId="1" xfId="1" applyFont="1" applyBorder="1" applyAlignment="1">
      <alignment horizontal="left"/>
    </xf>
    <xf numFmtId="0" fontId="16" fillId="0" borderId="1" xfId="1" applyFont="1" applyBorder="1" applyAlignment="1">
      <alignment horizontal="center"/>
    </xf>
    <xf numFmtId="0" fontId="14" fillId="0" borderId="1" xfId="0" applyFont="1" applyBorder="1" applyAlignment="1">
      <alignment horizontal="center"/>
    </xf>
    <xf numFmtId="0" fontId="21" fillId="0" borderId="0" xfId="1" applyFont="1" applyAlignment="1">
      <alignment horizontal="left"/>
    </xf>
    <xf numFmtId="0" fontId="16" fillId="0" borderId="0" xfId="1" applyFont="1" applyAlignment="1">
      <alignment horizontal="center"/>
    </xf>
    <xf numFmtId="2" fontId="16" fillId="0" borderId="0" xfId="1" applyNumberFormat="1" applyFont="1" applyAlignment="1">
      <alignment horizontal="center"/>
    </xf>
    <xf numFmtId="0" fontId="7" fillId="0" borderId="0" xfId="1" applyFont="1" applyAlignment="1">
      <alignment horizontal="left"/>
    </xf>
    <xf numFmtId="0" fontId="18" fillId="0" borderId="0" xfId="1" applyFont="1" applyAlignment="1">
      <alignment horizontal="left"/>
    </xf>
    <xf numFmtId="0" fontId="7" fillId="4" borderId="0" xfId="1" applyFont="1" applyFill="1" applyAlignment="1">
      <alignment horizontal="left"/>
    </xf>
    <xf numFmtId="0" fontId="19" fillId="0" borderId="0" xfId="0" applyFont="1"/>
    <xf numFmtId="0" fontId="7" fillId="0" borderId="0" xfId="1" applyFont="1"/>
    <xf numFmtId="0" fontId="18" fillId="0" borderId="0" xfId="1" applyFont="1"/>
    <xf numFmtId="2" fontId="6" fillId="4" borderId="0" xfId="0" applyNumberFormat="1" applyFont="1" applyFill="1" applyAlignment="1">
      <alignment horizontal="right"/>
    </xf>
    <xf numFmtId="2" fontId="7" fillId="4" borderId="0" xfId="1" applyNumberFormat="1" applyFont="1" applyFill="1" applyAlignment="1">
      <alignment horizontal="right"/>
    </xf>
    <xf numFmtId="0" fontId="21" fillId="0" borderId="0" xfId="1" applyFont="1"/>
    <xf numFmtId="2" fontId="7" fillId="0" borderId="0" xfId="1" applyNumberFormat="1" applyFont="1" applyAlignment="1">
      <alignment horizontal="left"/>
    </xf>
    <xf numFmtId="2" fontId="18" fillId="0" borderId="0" xfId="1" applyNumberFormat="1" applyFont="1" applyAlignment="1">
      <alignment horizontal="left"/>
    </xf>
    <xf numFmtId="8" fontId="7" fillId="4" borderId="0" xfId="1" applyNumberFormat="1" applyFont="1" applyFill="1" applyAlignment="1">
      <alignment horizontal="right"/>
    </xf>
    <xf numFmtId="8" fontId="6" fillId="4" borderId="0" xfId="0" applyNumberFormat="1" applyFont="1" applyFill="1" applyAlignment="1">
      <alignment horizontal="right"/>
    </xf>
    <xf numFmtId="2" fontId="21" fillId="0" borderId="0" xfId="1" applyNumberFormat="1" applyFont="1" applyAlignment="1">
      <alignment horizontal="left"/>
    </xf>
    <xf numFmtId="0" fontId="15" fillId="0" borderId="0" xfId="1" applyFont="1" applyAlignment="1">
      <alignment horizontal="right"/>
    </xf>
    <xf numFmtId="8" fontId="6" fillId="0" borderId="0" xfId="0" applyNumberFormat="1" applyFont="1"/>
    <xf numFmtId="4" fontId="9" fillId="0" borderId="4" xfId="1" applyNumberFormat="1" applyFont="1" applyBorder="1" applyAlignment="1">
      <alignment horizontal="right"/>
    </xf>
    <xf numFmtId="1" fontId="9" fillId="0" borderId="0" xfId="1" applyNumberFormat="1" applyFont="1" applyAlignment="1">
      <alignment horizontal="right"/>
    </xf>
    <xf numFmtId="0" fontId="9" fillId="2" borderId="0" xfId="1" applyFont="1" applyFill="1" applyAlignment="1" applyProtection="1">
      <alignment horizontal="right"/>
      <protection locked="0"/>
    </xf>
    <xf numFmtId="2" fontId="9" fillId="2" borderId="0" xfId="1" applyNumberFormat="1" applyFont="1" applyFill="1" applyAlignment="1" applyProtection="1">
      <alignment horizontal="right"/>
      <protection locked="0"/>
    </xf>
    <xf numFmtId="2" fontId="8" fillId="0" borderId="0" xfId="1" applyNumberFormat="1" applyFont="1" applyAlignment="1">
      <alignment horizontal="right"/>
    </xf>
    <xf numFmtId="2" fontId="8" fillId="0" borderId="0" xfId="1" applyNumberFormat="1" applyFont="1"/>
    <xf numFmtId="167" fontId="8" fillId="0" borderId="0" xfId="1" applyNumberFormat="1" applyFont="1" applyAlignment="1">
      <alignment horizontal="right"/>
    </xf>
    <xf numFmtId="0" fontId="22" fillId="0" borderId="3" xfId="1" applyFont="1" applyBorder="1" applyAlignment="1">
      <alignment horizontal="left"/>
    </xf>
    <xf numFmtId="0" fontId="10" fillId="0" borderId="1" xfId="1" applyFont="1" applyBorder="1" applyAlignment="1">
      <alignment horizontal="right"/>
    </xf>
    <xf numFmtId="2" fontId="10" fillId="0" borderId="1" xfId="1" applyNumberFormat="1" applyFont="1" applyBorder="1" applyAlignment="1">
      <alignment horizontal="right"/>
    </xf>
    <xf numFmtId="2" fontId="22" fillId="0" borderId="3" xfId="1" applyNumberFormat="1" applyFont="1" applyBorder="1" applyAlignment="1">
      <alignment horizontal="left"/>
    </xf>
    <xf numFmtId="4" fontId="10" fillId="0" borderId="4" xfId="1" applyNumberFormat="1" applyFont="1" applyBorder="1" applyAlignment="1">
      <alignment horizontal="right"/>
    </xf>
    <xf numFmtId="2" fontId="10" fillId="0" borderId="3" xfId="1" applyNumberFormat="1" applyFont="1" applyBorder="1" applyAlignment="1">
      <alignment horizontal="right" indent="2"/>
    </xf>
    <xf numFmtId="2" fontId="10" fillId="0" borderId="6" xfId="1" applyNumberFormat="1" applyFont="1" applyBorder="1" applyAlignment="1">
      <alignment horizontal="right" indent="2"/>
    </xf>
    <xf numFmtId="4" fontId="10" fillId="0" borderId="5" xfId="1" applyNumberFormat="1" applyFont="1" applyBorder="1" applyAlignment="1">
      <alignment horizontal="right"/>
    </xf>
    <xf numFmtId="40" fontId="8" fillId="0" borderId="0" xfId="1" applyNumberFormat="1" applyFont="1"/>
    <xf numFmtId="2" fontId="9" fillId="0" borderId="0" xfId="1" applyNumberFormat="1" applyFont="1" applyAlignment="1">
      <alignment horizontal="left" indent="1"/>
    </xf>
    <xf numFmtId="2" fontId="10" fillId="0" borderId="3" xfId="1" applyNumberFormat="1" applyFont="1" applyBorder="1" applyAlignment="1">
      <alignment horizontal="left"/>
    </xf>
    <xf numFmtId="0" fontId="9" fillId="0" borderId="1" xfId="1" applyFont="1" applyBorder="1"/>
    <xf numFmtId="2" fontId="9" fillId="2" borderId="5" xfId="1" applyNumberFormat="1" applyFont="1" applyFill="1" applyBorder="1" applyAlignment="1" applyProtection="1">
      <alignment horizontal="right"/>
      <protection locked="0"/>
    </xf>
    <xf numFmtId="3" fontId="11" fillId="0" borderId="0" xfId="1" applyNumberFormat="1" applyFont="1" applyAlignment="1">
      <alignment horizontal="right"/>
    </xf>
    <xf numFmtId="3" fontId="8" fillId="0" borderId="0" xfId="1" applyNumberFormat="1" applyFont="1"/>
    <xf numFmtId="2" fontId="9" fillId="0" borderId="10" xfId="1" applyNumberFormat="1" applyFont="1" applyBorder="1" applyAlignment="1">
      <alignment horizontal="right"/>
    </xf>
    <xf numFmtId="2" fontId="9" fillId="0" borderId="10" xfId="1" applyNumberFormat="1" applyFont="1" applyBorder="1"/>
    <xf numFmtId="2" fontId="9" fillId="0" borderId="13" xfId="1" applyNumberFormat="1" applyFont="1" applyBorder="1" applyAlignment="1">
      <alignment horizontal="left"/>
    </xf>
    <xf numFmtId="2" fontId="9" fillId="0" borderId="14" xfId="1" applyNumberFormat="1" applyFont="1" applyBorder="1" applyAlignment="1">
      <alignment horizontal="right"/>
    </xf>
    <xf numFmtId="2" fontId="10" fillId="0" borderId="6" xfId="1" applyNumberFormat="1" applyFont="1" applyBorder="1" applyAlignment="1">
      <alignment horizontal="left"/>
    </xf>
    <xf numFmtId="4" fontId="12" fillId="0" borderId="0" xfId="4" applyNumberFormat="1" applyFont="1" applyBorder="1" applyAlignment="1" applyProtection="1">
      <alignment horizontal="right"/>
    </xf>
    <xf numFmtId="44" fontId="12" fillId="0" borderId="0" xfId="4" applyFont="1" applyBorder="1" applyAlignment="1" applyProtection="1">
      <alignment horizontal="right"/>
    </xf>
    <xf numFmtId="9" fontId="12" fillId="0" borderId="0" xfId="1" applyNumberFormat="1" applyFont="1" applyAlignment="1">
      <alignment horizontal="right"/>
    </xf>
    <xf numFmtId="0" fontId="25" fillId="0" borderId="0" xfId="0" applyFont="1"/>
    <xf numFmtId="0" fontId="25" fillId="2" borderId="0" xfId="0" applyFont="1" applyFill="1"/>
    <xf numFmtId="0" fontId="26" fillId="0" borderId="0" xfId="0" applyFont="1"/>
    <xf numFmtId="0" fontId="27" fillId="3" borderId="0" xfId="0" applyFont="1" applyFill="1" applyAlignment="1">
      <alignment wrapText="1"/>
    </xf>
    <xf numFmtId="0" fontId="28" fillId="3" borderId="0" xfId="0" applyFont="1" applyFill="1" applyAlignment="1">
      <alignment wrapText="1"/>
    </xf>
    <xf numFmtId="0" fontId="29" fillId="2" borderId="0" xfId="0" applyFont="1" applyFill="1" applyAlignment="1" applyProtection="1">
      <alignment horizontal="left"/>
      <protection locked="0"/>
    </xf>
    <xf numFmtId="0" fontId="29" fillId="2" borderId="0" xfId="0" applyFont="1" applyFill="1" applyProtection="1">
      <protection locked="0"/>
    </xf>
    <xf numFmtId="0" fontId="29" fillId="2" borderId="0" xfId="0" quotePrefix="1" applyFont="1" applyFill="1" applyAlignment="1" applyProtection="1">
      <alignment horizontal="left"/>
      <protection locked="0"/>
    </xf>
    <xf numFmtId="168" fontId="29" fillId="2" borderId="0" xfId="2" applyNumberFormat="1" applyFont="1" applyFill="1" applyBorder="1" applyProtection="1">
      <protection locked="0"/>
    </xf>
    <xf numFmtId="9" fontId="29" fillId="2" borderId="0" xfId="3" applyFont="1" applyFill="1" applyBorder="1" applyProtection="1">
      <protection locked="0"/>
    </xf>
    <xf numFmtId="3" fontId="29" fillId="2" borderId="0" xfId="0" applyNumberFormat="1" applyFont="1" applyFill="1"/>
    <xf numFmtId="168" fontId="29" fillId="2" borderId="0" xfId="2" applyNumberFormat="1" applyFont="1" applyFill="1" applyBorder="1" applyProtection="1"/>
    <xf numFmtId="167" fontId="29" fillId="0" borderId="0" xfId="2" applyNumberFormat="1" applyFont="1" applyFill="1" applyBorder="1" applyProtection="1">
      <protection locked="0"/>
    </xf>
    <xf numFmtId="6" fontId="29" fillId="0" borderId="0" xfId="2" applyNumberFormat="1" applyFont="1" applyFill="1" applyBorder="1"/>
    <xf numFmtId="43" fontId="29" fillId="0" borderId="0" xfId="2" applyFont="1" applyFill="1" applyBorder="1"/>
    <xf numFmtId="169" fontId="25" fillId="0" borderId="0" xfId="0" applyNumberFormat="1" applyFont="1"/>
    <xf numFmtId="8" fontId="25" fillId="0" borderId="0" xfId="0" applyNumberFormat="1" applyFont="1"/>
    <xf numFmtId="165" fontId="29" fillId="0" borderId="0" xfId="2" applyNumberFormat="1" applyFont="1" applyFill="1" applyBorder="1"/>
    <xf numFmtId="3" fontId="25" fillId="0" borderId="0" xfId="0" applyNumberFormat="1" applyFont="1"/>
    <xf numFmtId="6" fontId="25" fillId="0" borderId="0" xfId="0" applyNumberFormat="1" applyFont="1"/>
    <xf numFmtId="43" fontId="25" fillId="0" borderId="0" xfId="0" applyNumberFormat="1" applyFont="1"/>
    <xf numFmtId="0" fontId="31" fillId="0" borderId="0" xfId="0" applyFont="1"/>
    <xf numFmtId="0" fontId="29" fillId="0" borderId="0" xfId="0" applyFont="1"/>
    <xf numFmtId="0" fontId="32" fillId="0" borderId="0" xfId="0" applyFont="1"/>
    <xf numFmtId="0" fontId="29" fillId="0" borderId="0" xfId="0" applyFont="1" applyAlignment="1">
      <alignment horizontal="center"/>
    </xf>
    <xf numFmtId="0" fontId="29" fillId="0" borderId="0" xfId="0" applyFont="1" applyAlignment="1">
      <alignment horizontal="left"/>
    </xf>
    <xf numFmtId="0" fontId="29" fillId="0" borderId="0" xfId="0" quotePrefix="1" applyFont="1" applyAlignment="1">
      <alignment horizontal="left"/>
    </xf>
    <xf numFmtId="0" fontId="33" fillId="0" borderId="0" xfId="0" applyFont="1" applyAlignment="1">
      <alignment horizontal="left" wrapText="1"/>
    </xf>
    <xf numFmtId="0" fontId="33" fillId="0" borderId="0" xfId="0" applyFont="1" applyAlignment="1">
      <alignment wrapText="1"/>
    </xf>
    <xf numFmtId="0" fontId="33" fillId="0" borderId="0" xfId="0" applyFont="1" applyAlignment="1">
      <alignment horizontal="right" wrapText="1"/>
    </xf>
    <xf numFmtId="0" fontId="33" fillId="0" borderId="0" xfId="0" quotePrefix="1" applyFont="1" applyAlignment="1">
      <alignment horizontal="right" wrapText="1"/>
    </xf>
    <xf numFmtId="0" fontId="32" fillId="0" borderId="0" xfId="0" applyFont="1" applyAlignment="1">
      <alignment horizontal="left"/>
    </xf>
    <xf numFmtId="0" fontId="29" fillId="2" borderId="0" xfId="0" applyFont="1" applyFill="1" applyAlignment="1">
      <alignment horizontal="right"/>
    </xf>
    <xf numFmtId="3" fontId="29" fillId="6" borderId="0" xfId="0" applyNumberFormat="1" applyFont="1" applyFill="1"/>
    <xf numFmtId="167" fontId="29" fillId="0" borderId="0" xfId="0" applyNumberFormat="1" applyFont="1" applyProtection="1">
      <protection locked="0"/>
    </xf>
    <xf numFmtId="6" fontId="29" fillId="0" borderId="0" xfId="0" applyNumberFormat="1" applyFont="1" applyProtection="1">
      <protection locked="0"/>
    </xf>
    <xf numFmtId="43" fontId="29" fillId="0" borderId="0" xfId="0" applyNumberFormat="1" applyFont="1"/>
    <xf numFmtId="43" fontId="29" fillId="0" borderId="0" xfId="0" applyNumberFormat="1" applyFont="1" applyProtection="1">
      <protection locked="0"/>
    </xf>
    <xf numFmtId="4" fontId="29" fillId="0" borderId="0" xfId="0" applyNumberFormat="1" applyFont="1" applyProtection="1">
      <protection locked="0"/>
    </xf>
    <xf numFmtId="8" fontId="29" fillId="0" borderId="0" xfId="0" applyNumberFormat="1" applyFont="1" applyProtection="1">
      <protection locked="0"/>
    </xf>
    <xf numFmtId="0" fontId="34" fillId="0" borderId="0" xfId="0" quotePrefix="1" applyFont="1" applyAlignment="1">
      <alignment horizontal="left"/>
    </xf>
    <xf numFmtId="4" fontId="25" fillId="0" borderId="0" xfId="0" applyNumberFormat="1" applyFont="1"/>
    <xf numFmtId="0" fontId="26" fillId="0" borderId="1" xfId="0" applyFont="1" applyBorder="1" applyAlignment="1">
      <alignment horizontal="center"/>
    </xf>
    <xf numFmtId="0" fontId="26" fillId="0" borderId="0" xfId="0" applyFont="1" applyAlignment="1">
      <alignment horizontal="center"/>
    </xf>
    <xf numFmtId="0" fontId="26" fillId="0" borderId="10" xfId="0" applyFont="1" applyBorder="1" applyAlignment="1">
      <alignment horizontal="center"/>
    </xf>
    <xf numFmtId="0" fontId="26" fillId="0" borderId="0" xfId="0" applyFont="1" applyAlignment="1">
      <alignment horizontal="center" wrapText="1"/>
    </xf>
    <xf numFmtId="0" fontId="29" fillId="2" borderId="0" xfId="0" applyFont="1" applyFill="1"/>
    <xf numFmtId="0" fontId="29" fillId="0" borderId="0" xfId="0" applyFont="1" applyAlignment="1">
      <alignment horizontal="right"/>
    </xf>
    <xf numFmtId="39" fontId="29" fillId="0" borderId="0" xfId="4" applyNumberFormat="1" applyFont="1" applyFill="1" applyBorder="1" applyProtection="1">
      <protection locked="0"/>
    </xf>
    <xf numFmtId="0" fontId="24" fillId="0" borderId="0" xfId="0" applyFont="1"/>
    <xf numFmtId="0" fontId="36" fillId="0" borderId="0" xfId="0" applyFont="1" applyAlignment="1">
      <alignment horizontal="right"/>
    </xf>
    <xf numFmtId="167" fontId="29" fillId="2" borderId="0" xfId="0" applyNumberFormat="1" applyFont="1" applyFill="1" applyProtection="1">
      <protection locked="0"/>
    </xf>
    <xf numFmtId="40" fontId="25" fillId="0" borderId="0" xfId="0" applyNumberFormat="1" applyFont="1"/>
    <xf numFmtId="10" fontId="29" fillId="2" borderId="0" xfId="0" applyNumberFormat="1" applyFont="1" applyFill="1" applyProtection="1">
      <protection locked="0"/>
    </xf>
    <xf numFmtId="10" fontId="29" fillId="2" borderId="0" xfId="0" applyNumberFormat="1" applyFont="1" applyFill="1"/>
    <xf numFmtId="7" fontId="29" fillId="0" borderId="0" xfId="0" applyNumberFormat="1" applyFont="1" applyProtection="1">
      <protection locked="0"/>
    </xf>
    <xf numFmtId="9" fontId="29" fillId="2" borderId="0" xfId="0" applyNumberFormat="1" applyFont="1" applyFill="1" applyProtection="1">
      <protection locked="0"/>
    </xf>
    <xf numFmtId="165" fontId="29" fillId="2" borderId="0" xfId="0" applyNumberFormat="1" applyFont="1" applyFill="1" applyProtection="1">
      <protection locked="0"/>
    </xf>
    <xf numFmtId="167" fontId="29" fillId="2" borderId="0" xfId="3" applyNumberFormat="1" applyFont="1" applyFill="1" applyBorder="1" applyProtection="1">
      <protection locked="0"/>
    </xf>
    <xf numFmtId="170" fontId="29" fillId="2" borderId="0" xfId="4" applyNumberFormat="1" applyFont="1" applyFill="1" applyBorder="1" applyProtection="1">
      <protection locked="0"/>
    </xf>
    <xf numFmtId="43" fontId="29" fillId="2" borderId="0" xfId="2" applyFont="1" applyFill="1" applyBorder="1" applyProtection="1">
      <protection locked="0"/>
    </xf>
    <xf numFmtId="4" fontId="25" fillId="0" borderId="1" xfId="0" applyNumberFormat="1" applyFont="1" applyBorder="1"/>
    <xf numFmtId="40" fontId="25" fillId="0" borderId="1" xfId="0" applyNumberFormat="1" applyFont="1" applyBorder="1"/>
    <xf numFmtId="0" fontId="26" fillId="0" borderId="0" xfId="0" applyFont="1" applyAlignment="1">
      <alignment horizontal="right" wrapText="1"/>
    </xf>
    <xf numFmtId="2" fontId="26" fillId="0" borderId="0" xfId="0" applyNumberFormat="1" applyFont="1" applyAlignment="1">
      <alignment wrapText="1"/>
    </xf>
    <xf numFmtId="44" fontId="29" fillId="0" borderId="0" xfId="4" applyFont="1" applyFill="1" applyBorder="1" applyProtection="1"/>
    <xf numFmtId="0" fontId="34" fillId="0" borderId="0" xfId="0" applyFont="1" applyAlignment="1">
      <alignment horizontal="left"/>
    </xf>
    <xf numFmtId="8" fontId="29" fillId="0" borderId="16" xfId="0" applyNumberFormat="1" applyFont="1" applyBorder="1"/>
    <xf numFmtId="0" fontId="25" fillId="0" borderId="16" xfId="0" applyFont="1" applyBorder="1"/>
    <xf numFmtId="0" fontId="27" fillId="7" borderId="15" xfId="0" applyFont="1" applyFill="1" applyBorder="1"/>
    <xf numFmtId="0" fontId="27" fillId="0" borderId="0" xfId="0" applyFont="1"/>
    <xf numFmtId="8" fontId="29" fillId="2" borderId="0" xfId="0" applyNumberFormat="1" applyFont="1" applyFill="1"/>
    <xf numFmtId="0" fontId="26" fillId="0" borderId="17" xfId="0" applyFont="1" applyBorder="1"/>
    <xf numFmtId="0" fontId="26" fillId="0" borderId="17" xfId="0" applyFont="1" applyBorder="1" applyAlignment="1">
      <alignment horizontal="center"/>
    </xf>
    <xf numFmtId="39" fontId="19" fillId="0" borderId="0" xfId="4" applyNumberFormat="1" applyFont="1"/>
    <xf numFmtId="0" fontId="25" fillId="2" borderId="1" xfId="0" applyFont="1" applyFill="1" applyBorder="1"/>
    <xf numFmtId="39" fontId="19" fillId="0" borderId="1" xfId="4" applyNumberFormat="1" applyFont="1" applyBorder="1"/>
    <xf numFmtId="44" fontId="19" fillId="0" borderId="1" xfId="4" applyFont="1" applyBorder="1"/>
    <xf numFmtId="8" fontId="25" fillId="2" borderId="0" xfId="0" applyNumberFormat="1" applyFont="1" applyFill="1"/>
    <xf numFmtId="0" fontId="16" fillId="0" borderId="0" xfId="1" applyFont="1" applyAlignment="1">
      <alignment horizontal="left"/>
    </xf>
    <xf numFmtId="166" fontId="29" fillId="2" borderId="0" xfId="0" applyNumberFormat="1" applyFont="1" applyFill="1" applyProtection="1">
      <protection locked="0"/>
    </xf>
    <xf numFmtId="0" fontId="33" fillId="0" borderId="0" xfId="0" applyFont="1" applyAlignment="1">
      <alignment horizontal="center" wrapText="1"/>
    </xf>
    <xf numFmtId="0" fontId="0" fillId="0" borderId="0" xfId="0" applyAlignment="1">
      <alignment horizontal="left" indent="1"/>
    </xf>
    <xf numFmtId="0" fontId="0" fillId="0" borderId="1" xfId="0" applyBorder="1" applyAlignment="1">
      <alignment horizontal="left" indent="1"/>
    </xf>
    <xf numFmtId="0" fontId="0" fillId="0" borderId="1" xfId="0" applyBorder="1"/>
    <xf numFmtId="166" fontId="7" fillId="8" borderId="0" xfId="1" applyNumberFormat="1" applyFont="1" applyFill="1" applyAlignment="1" applyProtection="1">
      <alignment horizontal="right"/>
      <protection locked="0"/>
    </xf>
    <xf numFmtId="168" fontId="29" fillId="2" borderId="0" xfId="2" applyNumberFormat="1" applyFont="1" applyFill="1" applyProtection="1">
      <protection locked="0"/>
    </xf>
    <xf numFmtId="9" fontId="29" fillId="2" borderId="0" xfId="3" applyFont="1" applyFill="1" applyProtection="1">
      <protection locked="0"/>
    </xf>
    <xf numFmtId="167" fontId="29" fillId="0" borderId="0" xfId="2" applyNumberFormat="1" applyFont="1" applyFill="1" applyProtection="1">
      <protection locked="0"/>
    </xf>
    <xf numFmtId="6" fontId="29" fillId="0" borderId="0" xfId="2" applyNumberFormat="1" applyFont="1" applyFill="1"/>
    <xf numFmtId="43" fontId="29" fillId="0" borderId="0" xfId="2" applyFont="1" applyFill="1"/>
    <xf numFmtId="8" fontId="29" fillId="0" borderId="0" xfId="2" applyNumberFormat="1" applyFont="1" applyFill="1"/>
    <xf numFmtId="8" fontId="29" fillId="0" borderId="0" xfId="4" applyNumberFormat="1" applyFont="1" applyFill="1"/>
    <xf numFmtId="165" fontId="29" fillId="0" borderId="0" xfId="0" applyNumberFormat="1" applyFont="1" applyProtection="1">
      <protection locked="0"/>
    </xf>
    <xf numFmtId="0" fontId="28" fillId="0" borderId="0" xfId="0" applyFont="1" applyAlignment="1">
      <alignment wrapText="1"/>
    </xf>
    <xf numFmtId="3" fontId="29" fillId="0" borderId="0" xfId="0" applyNumberFormat="1" applyFont="1"/>
    <xf numFmtId="43" fontId="29" fillId="0" borderId="0" xfId="4" applyNumberFormat="1" applyFont="1" applyFill="1" applyBorder="1"/>
    <xf numFmtId="0" fontId="29" fillId="2" borderId="0" xfId="0" applyFont="1" applyFill="1" applyAlignment="1" applyProtection="1">
      <alignment wrapText="1"/>
      <protection locked="0"/>
    </xf>
    <xf numFmtId="168" fontId="29" fillId="2" borderId="0" xfId="2" applyNumberFormat="1" applyFont="1" applyFill="1" applyAlignment="1" applyProtection="1">
      <alignment horizontal="right" wrapText="1"/>
      <protection locked="0"/>
    </xf>
    <xf numFmtId="9" fontId="29" fillId="2" borderId="0" xfId="3" applyFont="1" applyFill="1" applyAlignment="1" applyProtection="1">
      <alignment horizontal="right" wrapText="1"/>
      <protection locked="0"/>
    </xf>
    <xf numFmtId="3" fontId="29" fillId="6" borderId="0" xfId="0" applyNumberFormat="1" applyFont="1" applyFill="1" applyAlignment="1">
      <alignment horizontal="right" wrapText="1"/>
    </xf>
    <xf numFmtId="0" fontId="29" fillId="2" borderId="0" xfId="0" applyFont="1" applyFill="1" applyAlignment="1" applyProtection="1">
      <alignment horizontal="right" wrapText="1"/>
      <protection locked="0"/>
    </xf>
    <xf numFmtId="0" fontId="29" fillId="2" borderId="0" xfId="0" quotePrefix="1" applyFont="1" applyFill="1" applyAlignment="1" applyProtection="1">
      <alignment horizontal="right" wrapText="1"/>
      <protection locked="0"/>
    </xf>
    <xf numFmtId="0" fontId="29" fillId="2" borderId="0" xfId="0" applyFont="1" applyFill="1" applyAlignment="1" applyProtection="1">
      <alignment horizontal="left" wrapText="1"/>
      <protection locked="0"/>
    </xf>
    <xf numFmtId="167" fontId="29" fillId="0" borderId="0" xfId="0" applyNumberFormat="1" applyFont="1" applyAlignment="1" applyProtection="1">
      <alignment horizontal="right" wrapText="1"/>
      <protection locked="0"/>
    </xf>
    <xf numFmtId="6" fontId="29" fillId="0" borderId="0" xfId="0" applyNumberFormat="1" applyFont="1" applyAlignment="1" applyProtection="1">
      <alignment horizontal="right" wrapText="1"/>
      <protection locked="0"/>
    </xf>
    <xf numFmtId="43" fontId="29" fillId="0" borderId="0" xfId="0" applyNumberFormat="1" applyFont="1" applyAlignment="1" applyProtection="1">
      <alignment horizontal="right" wrapText="1"/>
      <protection locked="0"/>
    </xf>
    <xf numFmtId="8" fontId="29" fillId="0" borderId="0" xfId="0" applyNumberFormat="1" applyFont="1" applyAlignment="1" applyProtection="1">
      <alignment horizontal="right" wrapText="1"/>
      <protection locked="0"/>
    </xf>
    <xf numFmtId="4" fontId="29" fillId="0" borderId="0" xfId="0" applyNumberFormat="1" applyFont="1" applyAlignment="1" applyProtection="1">
      <alignment horizontal="right" wrapText="1"/>
      <protection locked="0"/>
    </xf>
    <xf numFmtId="43" fontId="42" fillId="0" borderId="0" xfId="0" applyNumberFormat="1" applyFont="1" applyProtection="1">
      <protection locked="0"/>
    </xf>
    <xf numFmtId="168" fontId="29" fillId="2" borderId="0" xfId="2" applyNumberFormat="1" applyFont="1" applyFill="1" applyAlignment="1">
      <alignment horizontal="right"/>
    </xf>
    <xf numFmtId="43" fontId="25" fillId="0" borderId="0" xfId="2" applyFont="1"/>
    <xf numFmtId="9" fontId="25" fillId="0" borderId="0" xfId="0" applyNumberFormat="1" applyFont="1"/>
    <xf numFmtId="0" fontId="39" fillId="3" borderId="0" xfId="0" applyFont="1" applyFill="1" applyAlignment="1">
      <alignment horizontal="center"/>
    </xf>
    <xf numFmtId="0" fontId="40" fillId="0" borderId="0" xfId="0" applyFont="1" applyAlignment="1">
      <alignment horizontal="center"/>
    </xf>
    <xf numFmtId="3" fontId="29" fillId="0" borderId="0" xfId="0" applyNumberFormat="1" applyFont="1" applyAlignment="1">
      <alignment horizontal="right" wrapText="1"/>
    </xf>
    <xf numFmtId="171" fontId="29" fillId="2" borderId="0" xfId="2" applyNumberFormat="1" applyFont="1" applyFill="1" applyBorder="1" applyProtection="1">
      <protection locked="0"/>
    </xf>
    <xf numFmtId="2" fontId="0" fillId="0" borderId="0" xfId="0" applyNumberFormat="1"/>
    <xf numFmtId="9" fontId="0" fillId="0" borderId="0" xfId="3" applyFont="1"/>
    <xf numFmtId="9" fontId="0" fillId="0" borderId="1" xfId="3" applyFont="1" applyBorder="1"/>
    <xf numFmtId="0" fontId="18" fillId="0" borderId="1" xfId="1" applyFont="1" applyBorder="1"/>
    <xf numFmtId="168" fontId="18" fillId="0" borderId="0" xfId="2" applyNumberFormat="1" applyFont="1" applyAlignment="1" applyProtection="1">
      <alignment horizontal="right"/>
    </xf>
    <xf numFmtId="39" fontId="18" fillId="0" borderId="10" xfId="1" applyNumberFormat="1" applyFont="1" applyBorder="1"/>
    <xf numFmtId="39" fontId="18" fillId="0" borderId="0" xfId="1" applyNumberFormat="1" applyFont="1"/>
    <xf numFmtId="168" fontId="18" fillId="0" borderId="1" xfId="2" applyNumberFormat="1" applyFont="1" applyBorder="1" applyAlignment="1" applyProtection="1">
      <alignment horizontal="right"/>
    </xf>
    <xf numFmtId="39" fontId="18" fillId="0" borderId="1" xfId="1" applyNumberFormat="1" applyFont="1" applyBorder="1"/>
    <xf numFmtId="0" fontId="44" fillId="0" borderId="0" xfId="1" applyFont="1"/>
    <xf numFmtId="0" fontId="44" fillId="0" borderId="0" xfId="1" applyFont="1" applyAlignment="1">
      <alignment horizontal="right"/>
    </xf>
    <xf numFmtId="0" fontId="18" fillId="0" borderId="10" xfId="1" applyFont="1" applyBorder="1"/>
    <xf numFmtId="39" fontId="44" fillId="0" borderId="0" xfId="1" applyNumberFormat="1" applyFont="1"/>
    <xf numFmtId="43" fontId="0" fillId="0" borderId="0" xfId="2" applyFont="1"/>
    <xf numFmtId="168" fontId="0" fillId="0" borderId="0" xfId="2" applyNumberFormat="1" applyFont="1"/>
    <xf numFmtId="168" fontId="0" fillId="0" borderId="1" xfId="2" applyNumberFormat="1" applyFont="1" applyBorder="1"/>
    <xf numFmtId="0" fontId="0" fillId="0" borderId="17" xfId="0" applyBorder="1" applyAlignment="1">
      <alignment horizontal="left" indent="1"/>
    </xf>
    <xf numFmtId="43" fontId="0" fillId="0" borderId="17" xfId="2" applyFont="1" applyBorder="1"/>
    <xf numFmtId="43" fontId="0" fillId="0" borderId="0" xfId="0" applyNumberFormat="1"/>
    <xf numFmtId="3" fontId="0" fillId="0" borderId="0" xfId="0" applyNumberFormat="1"/>
    <xf numFmtId="2" fontId="9" fillId="0" borderId="4" xfId="1" applyNumberFormat="1" applyFont="1" applyBorder="1" applyAlignment="1" applyProtection="1">
      <alignment horizontal="right"/>
      <protection locked="0"/>
    </xf>
    <xf numFmtId="0" fontId="26" fillId="0" borderId="0" xfId="0" applyFont="1" applyAlignment="1">
      <alignment wrapText="1"/>
    </xf>
    <xf numFmtId="39" fontId="19" fillId="2" borderId="0" xfId="4" applyNumberFormat="1" applyFont="1" applyFill="1"/>
    <xf numFmtId="39" fontId="19" fillId="2" borderId="1" xfId="4" applyNumberFormat="1" applyFont="1" applyFill="1" applyBorder="1"/>
    <xf numFmtId="44" fontId="19" fillId="2" borderId="1" xfId="4" applyFont="1" applyFill="1" applyBorder="1"/>
    <xf numFmtId="9" fontId="7" fillId="2" borderId="0" xfId="3" applyFont="1" applyFill="1" applyAlignment="1" applyProtection="1">
      <alignment horizontal="right"/>
      <protection locked="0"/>
    </xf>
    <xf numFmtId="9" fontId="8" fillId="0" borderId="0" xfId="3" applyFont="1" applyAlignment="1">
      <alignment horizontal="right"/>
    </xf>
    <xf numFmtId="166" fontId="0" fillId="2" borderId="0" xfId="0" applyNumberFormat="1" applyFill="1"/>
    <xf numFmtId="0" fontId="39" fillId="3" borderId="0" xfId="0" applyFont="1" applyFill="1"/>
    <xf numFmtId="0" fontId="14" fillId="0" borderId="1" xfId="0" applyFont="1" applyBorder="1"/>
    <xf numFmtId="166" fontId="0" fillId="0" borderId="0" xfId="0" applyNumberFormat="1"/>
    <xf numFmtId="9" fontId="6" fillId="5" borderId="0" xfId="3" applyFont="1" applyFill="1" applyAlignment="1" applyProtection="1">
      <alignment horizontal="right"/>
      <protection locked="0"/>
    </xf>
    <xf numFmtId="0" fontId="10" fillId="0" borderId="0" xfId="1" applyFont="1"/>
    <xf numFmtId="9" fontId="9" fillId="0" borderId="0" xfId="3" applyFont="1"/>
    <xf numFmtId="43" fontId="9" fillId="0" borderId="1" xfId="2" applyFont="1" applyBorder="1"/>
    <xf numFmtId="43" fontId="9" fillId="0" borderId="18" xfId="2" applyFont="1" applyBorder="1"/>
    <xf numFmtId="43" fontId="9" fillId="0" borderId="19" xfId="2" applyFont="1" applyBorder="1"/>
    <xf numFmtId="167" fontId="46" fillId="0" borderId="0" xfId="3" applyNumberFormat="1" applyFont="1" applyFill="1" applyAlignment="1" applyProtection="1">
      <alignment horizontal="right"/>
      <protection locked="0"/>
    </xf>
    <xf numFmtId="1" fontId="26" fillId="0" borderId="0" xfId="0" applyNumberFormat="1" applyFont="1" applyAlignment="1">
      <alignment wrapText="1"/>
    </xf>
    <xf numFmtId="43" fontId="25" fillId="2" borderId="0" xfId="2" applyFont="1" applyFill="1"/>
    <xf numFmtId="43" fontId="19" fillId="2" borderId="0" xfId="2" applyFont="1" applyFill="1"/>
    <xf numFmtId="43" fontId="25" fillId="2" borderId="1" xfId="2" applyFont="1" applyFill="1" applyBorder="1"/>
    <xf numFmtId="43" fontId="19" fillId="0" borderId="1" xfId="2" applyFont="1" applyBorder="1"/>
    <xf numFmtId="43" fontId="19" fillId="2" borderId="1" xfId="2" applyFont="1" applyFill="1" applyBorder="1"/>
    <xf numFmtId="0" fontId="26" fillId="0" borderId="10" xfId="0" applyFont="1" applyBorder="1" applyAlignment="1">
      <alignment horizontal="right"/>
    </xf>
    <xf numFmtId="0" fontId="26" fillId="0" borderId="1" xfId="0" applyFont="1" applyBorder="1" applyAlignment="1">
      <alignment horizontal="right"/>
    </xf>
    <xf numFmtId="10" fontId="6" fillId="5" borderId="0" xfId="3" applyNumberFormat="1" applyFont="1" applyFill="1" applyBorder="1" applyProtection="1">
      <protection locked="0"/>
    </xf>
    <xf numFmtId="2" fontId="7" fillId="2" borderId="0" xfId="1" applyNumberFormat="1" applyFont="1" applyFill="1" applyAlignment="1" applyProtection="1">
      <alignment horizontal="right"/>
      <protection locked="0"/>
    </xf>
    <xf numFmtId="0" fontId="4" fillId="0" borderId="1" xfId="0" applyFont="1" applyBorder="1"/>
    <xf numFmtId="0" fontId="43" fillId="0" borderId="1" xfId="1" applyFont="1" applyBorder="1" applyAlignment="1">
      <alignment horizontal="left"/>
    </xf>
    <xf numFmtId="2" fontId="18" fillId="0" borderId="0" xfId="0" applyNumberFormat="1" applyFont="1" applyAlignment="1">
      <alignment horizontal="left"/>
    </xf>
    <xf numFmtId="166" fontId="18" fillId="0" borderId="10" xfId="0" applyNumberFormat="1" applyFont="1" applyBorder="1" applyAlignment="1">
      <alignment horizontal="right"/>
    </xf>
    <xf numFmtId="2" fontId="18" fillId="0" borderId="0" xfId="0" applyNumberFormat="1" applyFont="1"/>
    <xf numFmtId="3" fontId="18" fillId="0" borderId="0" xfId="0" applyNumberFormat="1" applyFont="1" applyAlignment="1">
      <alignment horizontal="right"/>
    </xf>
    <xf numFmtId="2" fontId="18" fillId="0" borderId="0" xfId="0" applyNumberFormat="1" applyFont="1" applyAlignment="1">
      <alignment horizontal="right"/>
    </xf>
    <xf numFmtId="4" fontId="18" fillId="0" borderId="0" xfId="1" applyNumberFormat="1" applyFont="1"/>
    <xf numFmtId="2" fontId="18" fillId="0" borderId="0" xfId="1" applyNumberFormat="1" applyFont="1"/>
    <xf numFmtId="4" fontId="18" fillId="0" borderId="1" xfId="1" applyNumberFormat="1" applyFont="1" applyBorder="1"/>
    <xf numFmtId="2" fontId="18" fillId="0" borderId="1" xfId="0" applyNumberFormat="1" applyFont="1" applyBorder="1" applyAlignment="1">
      <alignment horizontal="right"/>
    </xf>
    <xf numFmtId="2" fontId="18" fillId="0" borderId="1" xfId="1" applyNumberFormat="1" applyFont="1" applyBorder="1"/>
    <xf numFmtId="2" fontId="44" fillId="0" borderId="0" xfId="0" applyNumberFormat="1" applyFont="1" applyAlignment="1">
      <alignment horizontal="left"/>
    </xf>
    <xf numFmtId="0" fontId="44" fillId="0" borderId="0" xfId="0" applyFont="1" applyAlignment="1">
      <alignment horizontal="right"/>
    </xf>
    <xf numFmtId="2" fontId="44" fillId="0" borderId="0" xfId="0" applyNumberFormat="1" applyFont="1" applyAlignment="1">
      <alignment horizontal="right"/>
    </xf>
    <xf numFmtId="0" fontId="44" fillId="0" borderId="1" xfId="1" applyFont="1" applyBorder="1"/>
    <xf numFmtId="0" fontId="44" fillId="0" borderId="1" xfId="1" applyFont="1" applyBorder="1" applyAlignment="1">
      <alignment horizontal="right"/>
    </xf>
    <xf numFmtId="0" fontId="44" fillId="0" borderId="1" xfId="1" applyFont="1" applyBorder="1" applyAlignment="1">
      <alignment horizontal="center"/>
    </xf>
    <xf numFmtId="0" fontId="8" fillId="0" borderId="0" xfId="1" applyFont="1"/>
    <xf numFmtId="165" fontId="9" fillId="0" borderId="20" xfId="4" applyNumberFormat="1" applyFont="1" applyBorder="1"/>
    <xf numFmtId="165" fontId="9" fillId="0" borderId="10" xfId="4" applyNumberFormat="1" applyFont="1" applyBorder="1"/>
    <xf numFmtId="165" fontId="9" fillId="9" borderId="10" xfId="4" applyNumberFormat="1" applyFont="1" applyFill="1" applyBorder="1"/>
    <xf numFmtId="165" fontId="9" fillId="0" borderId="21" xfId="4" applyNumberFormat="1" applyFont="1" applyBorder="1"/>
    <xf numFmtId="165" fontId="9" fillId="0" borderId="22" xfId="4" applyNumberFormat="1" applyFont="1" applyBorder="1"/>
    <xf numFmtId="165" fontId="9" fillId="0" borderId="0" xfId="4" applyNumberFormat="1" applyFont="1" applyBorder="1"/>
    <xf numFmtId="165" fontId="9" fillId="9" borderId="0" xfId="4" applyNumberFormat="1" applyFont="1" applyFill="1" applyBorder="1"/>
    <xf numFmtId="165" fontId="9" fillId="0" borderId="18" xfId="4" applyNumberFormat="1" applyFont="1" applyBorder="1"/>
    <xf numFmtId="165" fontId="9" fillId="9" borderId="22" xfId="4" applyNumberFormat="1" applyFont="1" applyFill="1" applyBorder="1"/>
    <xf numFmtId="165" fontId="9" fillId="9" borderId="18" xfId="4" applyNumberFormat="1" applyFont="1" applyFill="1" applyBorder="1"/>
    <xf numFmtId="165" fontId="9" fillId="0" borderId="23" xfId="4" applyNumberFormat="1" applyFont="1" applyBorder="1"/>
    <xf numFmtId="165" fontId="9" fillId="0" borderId="1" xfId="4" applyNumberFormat="1" applyFont="1" applyBorder="1"/>
    <xf numFmtId="165" fontId="9" fillId="9" borderId="1" xfId="4" applyNumberFormat="1" applyFont="1" applyFill="1" applyBorder="1"/>
    <xf numFmtId="165" fontId="9" fillId="0" borderId="24" xfId="4" applyNumberFormat="1" applyFont="1" applyBorder="1"/>
    <xf numFmtId="43" fontId="9" fillId="0" borderId="0" xfId="2" applyFont="1" applyBorder="1"/>
    <xf numFmtId="0" fontId="9" fillId="0" borderId="10" xfId="1" applyFont="1" applyBorder="1"/>
    <xf numFmtId="0" fontId="25" fillId="2" borderId="0" xfId="0" applyFont="1" applyFill="1" applyProtection="1">
      <protection locked="0"/>
    </xf>
    <xf numFmtId="4" fontId="25" fillId="2" borderId="0" xfId="0" applyNumberFormat="1" applyFont="1" applyFill="1" applyProtection="1">
      <protection locked="0"/>
    </xf>
    <xf numFmtId="0" fontId="25" fillId="2" borderId="1" xfId="0" applyFont="1" applyFill="1" applyBorder="1" applyProtection="1">
      <protection locked="0"/>
    </xf>
    <xf numFmtId="4" fontId="25" fillId="2" borderId="1" xfId="0" applyNumberFormat="1" applyFont="1" applyFill="1" applyBorder="1" applyProtection="1">
      <protection locked="0"/>
    </xf>
    <xf numFmtId="166" fontId="18" fillId="0" borderId="0" xfId="0" applyNumberFormat="1" applyFont="1" applyAlignment="1">
      <alignment horizontal="right"/>
    </xf>
    <xf numFmtId="10" fontId="18" fillId="0" borderId="0" xfId="1" applyNumberFormat="1" applyFont="1"/>
    <xf numFmtId="1" fontId="29" fillId="0" borderId="0" xfId="0" applyNumberFormat="1" applyFont="1" applyProtection="1">
      <protection locked="0"/>
    </xf>
    <xf numFmtId="166" fontId="29" fillId="0" borderId="0" xfId="0" applyNumberFormat="1" applyFont="1" applyAlignment="1" applyProtection="1">
      <alignment horizontal="right" wrapText="1"/>
      <protection locked="0"/>
    </xf>
    <xf numFmtId="43" fontId="29" fillId="0" borderId="0" xfId="2" applyFont="1" applyAlignment="1" applyProtection="1">
      <alignment horizontal="right" wrapText="1"/>
      <protection locked="0"/>
    </xf>
    <xf numFmtId="166" fontId="29" fillId="0" borderId="0" xfId="0" applyNumberFormat="1" applyFont="1" applyProtection="1">
      <protection locked="0"/>
    </xf>
    <xf numFmtId="168" fontId="29" fillId="2" borderId="0" xfId="2" applyNumberFormat="1" applyFont="1" applyFill="1" applyProtection="1"/>
    <xf numFmtId="0" fontId="1" fillId="0" borderId="0" xfId="0" applyFont="1"/>
    <xf numFmtId="3" fontId="1" fillId="5" borderId="0" xfId="0" applyNumberFormat="1" applyFont="1" applyFill="1" applyProtection="1">
      <protection locked="0"/>
    </xf>
    <xf numFmtId="166" fontId="1" fillId="5" borderId="0" xfId="0" applyNumberFormat="1" applyFont="1" applyFill="1" applyAlignment="1" applyProtection="1">
      <alignment horizontal="right"/>
      <protection locked="0"/>
    </xf>
    <xf numFmtId="1" fontId="1" fillId="0" borderId="0" xfId="0" applyNumberFormat="1" applyFont="1" applyAlignment="1" applyProtection="1">
      <alignment horizontal="right"/>
      <protection locked="0"/>
    </xf>
    <xf numFmtId="9" fontId="1" fillId="0" borderId="0" xfId="3" applyFont="1" applyFill="1" applyAlignment="1" applyProtection="1">
      <alignment horizontal="right"/>
      <protection locked="0"/>
    </xf>
    <xf numFmtId="2" fontId="7" fillId="0" borderId="0" xfId="1" applyNumberFormat="1" applyFont="1" applyAlignment="1" applyProtection="1">
      <alignment horizontal="right"/>
      <protection locked="0"/>
    </xf>
    <xf numFmtId="3" fontId="1" fillId="0" borderId="0" xfId="0" applyNumberFormat="1" applyFont="1" applyProtection="1">
      <protection locked="0"/>
    </xf>
    <xf numFmtId="166" fontId="1" fillId="0" borderId="0" xfId="0" applyNumberFormat="1" applyFont="1" applyAlignment="1" applyProtection="1">
      <alignment horizontal="right"/>
      <protection locked="0"/>
    </xf>
    <xf numFmtId="0" fontId="14" fillId="0" borderId="0" xfId="0" applyFont="1" applyAlignment="1">
      <alignment horizontal="center"/>
    </xf>
    <xf numFmtId="0" fontId="17" fillId="3" borderId="2" xfId="5" applyFont="1" applyFill="1" applyBorder="1" applyAlignment="1">
      <alignment horizontal="left"/>
    </xf>
    <xf numFmtId="0" fontId="17" fillId="3" borderId="11" xfId="5" applyFont="1" applyFill="1" applyBorder="1" applyAlignment="1">
      <alignment horizontal="left"/>
    </xf>
    <xf numFmtId="0" fontId="14" fillId="0" borderId="1" xfId="0" applyFont="1" applyBorder="1" applyAlignment="1">
      <alignment horizontal="center"/>
    </xf>
    <xf numFmtId="0" fontId="12" fillId="0" borderId="0" xfId="0" applyFont="1" applyAlignment="1">
      <alignment horizontal="center"/>
    </xf>
    <xf numFmtId="0" fontId="40" fillId="0" borderId="0" xfId="0" applyFont="1" applyAlignment="1">
      <alignment horizontal="center"/>
    </xf>
    <xf numFmtId="0" fontId="39" fillId="3" borderId="0" xfId="0" applyFont="1" applyFill="1" applyAlignment="1">
      <alignment horizontal="center"/>
    </xf>
    <xf numFmtId="0" fontId="26" fillId="0" borderId="10" xfId="0" applyFont="1" applyBorder="1" applyAlignment="1">
      <alignment horizontal="left"/>
    </xf>
    <xf numFmtId="0" fontId="26" fillId="0" borderId="1" xfId="0" applyFont="1" applyBorder="1" applyAlignment="1">
      <alignment horizontal="left"/>
    </xf>
    <xf numFmtId="0" fontId="26" fillId="0" borderId="10" xfId="0" applyFont="1" applyBorder="1" applyAlignment="1">
      <alignment horizontal="center"/>
    </xf>
    <xf numFmtId="0" fontId="26" fillId="0" borderId="1" xfId="0" applyFont="1" applyBorder="1" applyAlignment="1">
      <alignment horizontal="center"/>
    </xf>
    <xf numFmtId="0" fontId="26" fillId="0" borderId="10" xfId="0" applyFont="1" applyBorder="1" applyAlignment="1">
      <alignment horizontal="center" wrapText="1"/>
    </xf>
    <xf numFmtId="0" fontId="26" fillId="0" borderId="1" xfId="0" applyFont="1" applyBorder="1" applyAlignment="1">
      <alignment horizontal="center" wrapText="1"/>
    </xf>
    <xf numFmtId="0" fontId="26" fillId="0" borderId="0" xfId="0" applyFont="1" applyAlignment="1">
      <alignment horizontal="center"/>
    </xf>
    <xf numFmtId="0" fontId="26" fillId="0" borderId="0" xfId="0" applyFont="1" applyAlignment="1">
      <alignment horizontal="left"/>
    </xf>
    <xf numFmtId="0" fontId="26" fillId="0" borderId="0" xfId="0" applyFont="1" applyAlignment="1">
      <alignment horizontal="center" wrapText="1"/>
    </xf>
    <xf numFmtId="0" fontId="25" fillId="0" borderId="0" xfId="0" applyFont="1" applyAlignment="1">
      <alignment horizontal="left" wrapText="1"/>
    </xf>
    <xf numFmtId="0" fontId="17" fillId="3" borderId="2" xfId="5" applyFont="1" applyFill="1" applyBorder="1" applyAlignment="1">
      <alignment horizontal="center"/>
    </xf>
    <xf numFmtId="0" fontId="17" fillId="3" borderId="11" xfId="5" applyFont="1" applyFill="1" applyBorder="1" applyAlignment="1">
      <alignment horizontal="center"/>
    </xf>
    <xf numFmtId="0" fontId="17" fillId="3" borderId="12" xfId="5" applyFont="1" applyFill="1" applyBorder="1" applyAlignment="1">
      <alignment horizontal="center"/>
    </xf>
    <xf numFmtId="0" fontId="12" fillId="0" borderId="1" xfId="1" applyFont="1" applyBorder="1" applyAlignment="1">
      <alignment horizontal="center"/>
    </xf>
    <xf numFmtId="0" fontId="12" fillId="0" borderId="18" xfId="1" applyFont="1" applyBorder="1" applyAlignment="1">
      <alignment horizontal="center" vertical="center" textRotation="90"/>
    </xf>
    <xf numFmtId="0" fontId="48" fillId="3" borderId="2" xfId="5" applyFont="1" applyFill="1" applyBorder="1" applyAlignment="1">
      <alignment horizontal="center"/>
    </xf>
    <xf numFmtId="0" fontId="48" fillId="3" borderId="11" xfId="5" applyFont="1" applyFill="1" applyBorder="1" applyAlignment="1">
      <alignment horizontal="center"/>
    </xf>
    <xf numFmtId="0" fontId="48" fillId="3" borderId="12" xfId="5" applyFont="1" applyFill="1" applyBorder="1" applyAlignment="1">
      <alignment horizontal="center"/>
    </xf>
    <xf numFmtId="0" fontId="50" fillId="3" borderId="26" xfId="5" applyFont="1" applyFill="1" applyBorder="1" applyAlignment="1">
      <alignment horizontal="center"/>
    </xf>
    <xf numFmtId="0" fontId="50" fillId="3" borderId="27" xfId="5" applyFont="1" applyFill="1" applyBorder="1" applyAlignment="1">
      <alignment horizontal="center"/>
    </xf>
    <xf numFmtId="0" fontId="50" fillId="3" borderId="28" xfId="5" applyFont="1" applyFill="1" applyBorder="1" applyAlignment="1">
      <alignment horizontal="center"/>
    </xf>
    <xf numFmtId="0" fontId="1" fillId="0" borderId="0" xfId="0" applyFont="1" applyAlignment="1">
      <alignment horizontal="right"/>
    </xf>
    <xf numFmtId="0" fontId="0" fillId="0" borderId="0" xfId="0"/>
    <xf numFmtId="0" fontId="14" fillId="0" borderId="0" xfId="0" applyFont="1"/>
    <xf numFmtId="0" fontId="14"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wrapText="1"/>
    </xf>
    <xf numFmtId="0" fontId="51" fillId="10" borderId="29" xfId="6" applyFont="1" applyBorder="1" applyAlignment="1">
      <alignment horizontal="center" wrapText="1"/>
    </xf>
    <xf numFmtId="0" fontId="51" fillId="10" borderId="30" xfId="6" applyFont="1" applyBorder="1" applyAlignment="1">
      <alignment horizontal="center" wrapText="1"/>
    </xf>
    <xf numFmtId="0" fontId="51" fillId="10" borderId="31" xfId="6" applyFont="1" applyBorder="1" applyAlignment="1">
      <alignment horizontal="center" wrapText="1"/>
    </xf>
    <xf numFmtId="0" fontId="52" fillId="3" borderId="26" xfId="0" applyFont="1" applyFill="1" applyBorder="1"/>
    <xf numFmtId="0" fontId="52" fillId="3" borderId="27" xfId="0" applyFont="1" applyFill="1" applyBorder="1"/>
    <xf numFmtId="0" fontId="24" fillId="0" borderId="0" xfId="0" applyFont="1" applyAlignment="1"/>
  </cellXfs>
  <cellStyles count="7">
    <cellStyle name="Comma" xfId="2" builtinId="3"/>
    <cellStyle name="Currency" xfId="4" builtinId="4"/>
    <cellStyle name="Normal" xfId="0" builtinId="0"/>
    <cellStyle name="Normal 2" xfId="1" xr:uid="{00000000-0005-0000-0000-000001000000}"/>
    <cellStyle name="Normal 2 2" xfId="5" xr:uid="{F63A5185-3492-45C4-AD44-1405810C5A33}"/>
    <cellStyle name="Output" xfId="6" builtinId="21"/>
    <cellStyle name="Percent" xfId="3" builtinId="5"/>
  </cellStyles>
  <dxfs count="81">
    <dxf>
      <font>
        <color theme="2" tint="-0.499984740745262"/>
      </font>
    </dxf>
    <dxf>
      <font>
        <b val="0"/>
        <i/>
        <condense val="0"/>
        <extend val="0"/>
      </font>
    </dxf>
    <dxf>
      <font>
        <color theme="2" tint="-0.499984740745262"/>
      </font>
    </dxf>
    <dxf>
      <font>
        <b val="0"/>
        <i/>
        <condense val="0"/>
        <extend val="0"/>
      </font>
    </dxf>
    <dxf>
      <font>
        <strike val="0"/>
        <outline val="0"/>
        <shadow val="0"/>
        <u val="none"/>
        <vertAlign val="baseline"/>
        <sz val="10"/>
        <color auto="1"/>
        <name val="Segoe UI"/>
        <family val="2"/>
        <scheme val="none"/>
      </font>
      <fill>
        <patternFill patternType="none">
          <fgColor indexed="64"/>
          <bgColor auto="1"/>
        </patternFill>
      </fill>
    </dxf>
    <dxf>
      <font>
        <b val="0"/>
        <i val="0"/>
        <strike val="0"/>
        <condense val="0"/>
        <extend val="0"/>
        <outline val="0"/>
        <shadow val="0"/>
        <u val="none"/>
        <vertAlign val="baseline"/>
        <sz val="10"/>
        <color auto="1"/>
        <name val="Segoe UI"/>
        <family val="2"/>
        <scheme val="none"/>
      </font>
    </dxf>
    <dxf>
      <font>
        <strike val="0"/>
        <outline val="0"/>
        <shadow val="0"/>
        <u val="none"/>
        <vertAlign val="baseline"/>
        <sz val="10"/>
        <name val="Segoe UI"/>
        <family val="2"/>
        <scheme val="none"/>
      </font>
    </dxf>
    <dxf>
      <font>
        <b val="0"/>
        <i val="0"/>
        <strike val="0"/>
        <condense val="0"/>
        <extend val="0"/>
        <outline val="0"/>
        <shadow val="0"/>
        <u val="none"/>
        <vertAlign val="baseline"/>
        <sz val="10"/>
        <color rgb="FFF1B82D"/>
        <name val="Segoe U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Segoe UI"/>
        <family val="2"/>
        <scheme val="none"/>
      </font>
      <numFmt numFmtId="35" formatCode="_(* #,##0.00_);_(* \(#,##0.00\);_(* &quot;-&quot;??_);_(@_)"/>
      <fill>
        <patternFill patternType="none">
          <fgColor indexed="64"/>
          <bgColor auto="1"/>
        </patternFill>
      </fill>
      <protection locked="0" hidden="0"/>
    </dxf>
    <dxf>
      <font>
        <b val="0"/>
        <i val="0"/>
        <strike val="0"/>
        <condense val="0"/>
        <extend val="0"/>
        <outline val="0"/>
        <shadow val="0"/>
        <u val="none"/>
        <vertAlign val="baseline"/>
        <sz val="10"/>
        <color auto="1"/>
        <name val="Segoe UI"/>
        <family val="2"/>
        <scheme val="none"/>
      </font>
      <numFmt numFmtId="4" formatCode="#,##0.00"/>
      <fill>
        <patternFill patternType="none">
          <fgColor indexed="64"/>
          <bgColor auto="1"/>
        </patternFill>
      </fill>
      <protection locked="0" hidden="0"/>
    </dxf>
    <dxf>
      <font>
        <b val="0"/>
        <i val="0"/>
        <strike val="0"/>
        <condense val="0"/>
        <extend val="0"/>
        <outline val="0"/>
        <shadow val="0"/>
        <u val="none"/>
        <vertAlign val="baseline"/>
        <sz val="10"/>
        <color auto="1"/>
        <name val="Segoe UI"/>
        <family val="2"/>
        <scheme val="none"/>
      </font>
      <numFmt numFmtId="12" formatCode="&quot;$&quot;#,##0.00_);[Red]\(&quot;$&quot;#,##0.00\)"/>
      <fill>
        <patternFill patternType="none">
          <fgColor indexed="64"/>
          <bgColor auto="1"/>
        </patternFill>
      </fill>
      <protection locked="0" hidden="0"/>
    </dxf>
    <dxf>
      <font>
        <b val="0"/>
        <i val="0"/>
        <strike val="0"/>
        <condense val="0"/>
        <extend val="0"/>
        <outline val="0"/>
        <shadow val="0"/>
        <u val="none"/>
        <vertAlign val="baseline"/>
        <sz val="10"/>
        <color auto="1"/>
        <name val="Segoe UI"/>
        <family val="2"/>
        <scheme val="none"/>
      </font>
      <numFmt numFmtId="35" formatCode="_(* #,##0.00_);_(* \(#,##0.00\);_(* &quot;-&quot;??_);_(@_)"/>
      <fill>
        <patternFill patternType="none">
          <fgColor indexed="64"/>
          <bgColor auto="1"/>
        </patternFill>
      </fill>
      <protection locked="0" hidden="0"/>
    </dxf>
    <dxf>
      <font>
        <b val="0"/>
        <i val="0"/>
        <strike val="0"/>
        <condense val="0"/>
        <extend val="0"/>
        <outline val="0"/>
        <shadow val="0"/>
        <u val="none"/>
        <vertAlign val="baseline"/>
        <sz val="10"/>
        <color auto="1"/>
        <name val="Segoe UI"/>
        <family val="2"/>
        <scheme val="none"/>
      </font>
      <numFmt numFmtId="35" formatCode="_(* #,##0.00_);_(* \(#,##0.00\);_(* &quot;-&quot;??_);_(@_)"/>
      <fill>
        <patternFill patternType="none">
          <fgColor indexed="64"/>
          <bgColor auto="1"/>
        </patternFill>
      </fill>
      <protection locked="0" hidden="0"/>
    </dxf>
    <dxf>
      <font>
        <b val="0"/>
        <i val="0"/>
        <strike val="0"/>
        <condense val="0"/>
        <extend val="0"/>
        <outline val="0"/>
        <shadow val="0"/>
        <u val="none"/>
        <vertAlign val="baseline"/>
        <sz val="10"/>
        <color auto="1"/>
        <name val="Segoe UI"/>
        <family val="2"/>
        <scheme val="none"/>
      </font>
      <numFmt numFmtId="10" formatCode="&quot;$&quot;#,##0_);[Red]\(&quot;$&quot;#,##0\)"/>
      <fill>
        <patternFill patternType="none">
          <fgColor indexed="64"/>
          <bgColor auto="1"/>
        </patternFill>
      </fill>
      <protection locked="0" hidden="0"/>
    </dxf>
    <dxf>
      <font>
        <b val="0"/>
        <i val="0"/>
        <strike val="0"/>
        <condense val="0"/>
        <extend val="0"/>
        <outline val="0"/>
        <shadow val="0"/>
        <u val="none"/>
        <vertAlign val="baseline"/>
        <sz val="10"/>
        <color auto="1"/>
        <name val="Segoe UI"/>
        <family val="2"/>
        <scheme val="none"/>
      </font>
      <numFmt numFmtId="167" formatCode="0.0%"/>
      <fill>
        <patternFill patternType="none">
          <fgColor indexed="64"/>
          <bgColor auto="1"/>
        </patternFill>
      </fill>
      <protection locked="0" hidden="0"/>
    </dxf>
    <dxf>
      <font>
        <b val="0"/>
        <i val="0"/>
        <strike val="0"/>
        <condense val="0"/>
        <extend val="0"/>
        <outline val="0"/>
        <shadow val="0"/>
        <u val="none"/>
        <vertAlign val="baseline"/>
        <sz val="10"/>
        <color auto="1"/>
        <name val="Segoe UI"/>
        <family val="2"/>
        <scheme val="none"/>
      </font>
      <fill>
        <patternFill patternType="solid">
          <fgColor indexed="64"/>
          <bgColor theme="2"/>
        </patternFill>
      </fill>
      <protection locked="0" hidden="0"/>
    </dxf>
    <dxf>
      <font>
        <b val="0"/>
        <i val="0"/>
        <strike val="0"/>
        <condense val="0"/>
        <extend val="0"/>
        <outline val="0"/>
        <shadow val="0"/>
        <u val="none"/>
        <vertAlign val="baseline"/>
        <sz val="10"/>
        <color auto="1"/>
        <name val="Segoe UI"/>
        <family val="2"/>
        <scheme val="none"/>
      </font>
      <fill>
        <patternFill patternType="solid">
          <fgColor indexed="64"/>
          <bgColor theme="2"/>
        </patternFill>
      </fill>
      <protection locked="0" hidden="0"/>
    </dxf>
    <dxf>
      <font>
        <b val="0"/>
        <i val="0"/>
        <strike val="0"/>
        <condense val="0"/>
        <extend val="0"/>
        <outline val="0"/>
        <shadow val="0"/>
        <u val="none"/>
        <vertAlign val="baseline"/>
        <sz val="10"/>
        <color auto="1"/>
        <name val="Segoe UI"/>
        <family val="2"/>
        <scheme val="none"/>
      </font>
      <fill>
        <patternFill patternType="solid">
          <fgColor indexed="64"/>
          <bgColor theme="2"/>
        </patternFill>
      </fill>
      <protection locked="0" hidden="0"/>
    </dxf>
    <dxf>
      <font>
        <b val="0"/>
        <i val="0"/>
        <strike val="0"/>
        <condense val="0"/>
        <extend val="0"/>
        <outline val="0"/>
        <shadow val="0"/>
        <u val="none"/>
        <vertAlign val="baseline"/>
        <sz val="10"/>
        <color auto="1"/>
        <name val="Segoe UI"/>
        <family val="2"/>
        <scheme val="none"/>
      </font>
      <fill>
        <patternFill patternType="solid">
          <fgColor indexed="64"/>
          <bgColor theme="2"/>
        </patternFill>
      </fill>
      <protection locked="0" hidden="0"/>
    </dxf>
    <dxf>
      <font>
        <b val="0"/>
        <i val="0"/>
        <strike val="0"/>
        <condense val="0"/>
        <extend val="0"/>
        <outline val="0"/>
        <shadow val="0"/>
        <u val="none"/>
        <vertAlign val="baseline"/>
        <sz val="10"/>
        <color auto="1"/>
        <name val="Segoe UI"/>
        <family val="2"/>
        <scheme val="none"/>
      </font>
      <numFmt numFmtId="166" formatCode="0.0"/>
      <fill>
        <patternFill patternType="none">
          <fgColor indexed="64"/>
          <bgColor auto="1"/>
        </patternFill>
      </fill>
      <protection locked="0" hidden="0"/>
    </dxf>
    <dxf>
      <font>
        <b val="0"/>
        <i val="0"/>
        <strike val="0"/>
        <condense val="0"/>
        <extend val="0"/>
        <outline val="0"/>
        <shadow val="0"/>
        <u val="none"/>
        <vertAlign val="baseline"/>
        <sz val="10"/>
        <color auto="1"/>
        <name val="Segoe UI"/>
        <family val="2"/>
        <scheme val="none"/>
      </font>
      <fill>
        <patternFill patternType="solid">
          <fgColor indexed="64"/>
          <bgColor theme="2"/>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0"/>
        <color auto="1"/>
        <name val="Segoe UI"/>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Segoe UI"/>
        <family val="2"/>
        <scheme val="none"/>
      </font>
      <numFmt numFmtId="3" formatCode="#,##0"/>
      <fill>
        <patternFill patternType="solid">
          <fgColor indexed="64"/>
          <bgColor theme="0"/>
        </patternFill>
      </fill>
    </dxf>
    <dxf>
      <font>
        <b val="0"/>
        <i val="0"/>
        <strike val="0"/>
        <condense val="0"/>
        <extend val="0"/>
        <outline val="0"/>
        <shadow val="0"/>
        <u val="none"/>
        <vertAlign val="baseline"/>
        <sz val="10"/>
        <color auto="1"/>
        <name val="Segoe UI"/>
        <family val="2"/>
        <scheme val="none"/>
      </font>
      <fill>
        <patternFill patternType="solid">
          <fgColor indexed="64"/>
          <bgColor theme="2"/>
        </patternFill>
      </fill>
      <protection locked="0" hidden="0"/>
    </dxf>
    <dxf>
      <font>
        <b val="0"/>
        <i val="0"/>
        <strike val="0"/>
        <condense val="0"/>
        <extend val="0"/>
        <outline val="0"/>
        <shadow val="0"/>
        <u val="none"/>
        <vertAlign val="baseline"/>
        <sz val="10"/>
        <color auto="1"/>
        <name val="Segoe UI"/>
        <family val="2"/>
        <scheme val="none"/>
      </font>
      <numFmt numFmtId="168" formatCode="_(* #,##0_);_(* \(#,##0\);_(* &quot;-&quot;??_);_(@_)"/>
      <fill>
        <patternFill patternType="solid">
          <fgColor indexed="64"/>
          <bgColor theme="2"/>
        </patternFill>
      </fill>
      <protection locked="0" hidden="0"/>
    </dxf>
    <dxf>
      <font>
        <b val="0"/>
        <i val="0"/>
        <strike val="0"/>
        <condense val="0"/>
        <extend val="0"/>
        <outline val="0"/>
        <shadow val="0"/>
        <u val="none"/>
        <vertAlign val="baseline"/>
        <sz val="10"/>
        <color auto="1"/>
        <name val="Segoe UI"/>
        <family val="2"/>
        <scheme val="none"/>
      </font>
      <fill>
        <patternFill patternType="solid">
          <fgColor indexed="64"/>
          <bgColor theme="2"/>
        </patternFill>
      </fill>
      <protection locked="0" hidden="0"/>
    </dxf>
    <dxf>
      <font>
        <b val="0"/>
        <i val="0"/>
        <strike val="0"/>
        <condense val="0"/>
        <extend val="0"/>
        <outline val="0"/>
        <shadow val="0"/>
        <u val="none"/>
        <vertAlign val="baseline"/>
        <sz val="10"/>
        <color auto="1"/>
        <name val="Segoe UI"/>
        <family val="2"/>
        <scheme val="none"/>
      </font>
      <fill>
        <patternFill patternType="solid">
          <fgColor indexed="64"/>
          <bgColor theme="2"/>
        </patternFill>
      </fill>
      <alignment horizontal="right" vertical="bottom" textRotation="0" wrapText="0" indent="0" justifyLastLine="0" shrinkToFit="0" readingOrder="0"/>
    </dxf>
    <dxf>
      <font>
        <b val="0"/>
        <i val="0"/>
        <strike val="0"/>
        <condense val="0"/>
        <extend val="0"/>
        <outline val="0"/>
        <shadow val="0"/>
        <u val="none"/>
        <vertAlign val="baseline"/>
        <sz val="10"/>
        <color indexed="8"/>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indexed="12"/>
        <name val="Segoe UI"/>
        <family val="2"/>
        <scheme val="none"/>
      </font>
      <fill>
        <patternFill patternType="solid">
          <fgColor indexed="64"/>
          <bgColor rgb="FFFFFF66"/>
        </patternFill>
      </fill>
      <protection locked="0" hidden="0"/>
    </dxf>
    <dxf>
      <font>
        <b val="0"/>
        <i val="0"/>
        <strike val="0"/>
        <condense val="0"/>
        <extend val="0"/>
        <outline val="0"/>
        <shadow val="0"/>
        <u val="none"/>
        <vertAlign val="baseline"/>
        <sz val="10"/>
        <color rgb="FFF1B82D"/>
        <name val="Segoe UI"/>
        <family val="2"/>
        <scheme val="none"/>
      </font>
      <alignment horizontal="left" vertical="bottom" textRotation="0" wrapText="1" indent="0" justifyLastLine="0" shrinkToFit="0" readingOrder="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auto="1"/>
        <name val="Segoe UI"/>
        <family val="2"/>
        <scheme val="none"/>
      </font>
      <fill>
        <patternFill patternType="solid">
          <fgColor indexed="64"/>
          <bgColor theme="2"/>
        </patternFill>
      </fill>
      <border diagonalUp="0" diagonalDown="0" outline="0">
        <left/>
        <right/>
        <top style="thin">
          <color theme="4" tint="0.39997558519241921"/>
        </top>
        <bottom/>
      </border>
    </dxf>
    <dxf>
      <font>
        <strike val="0"/>
        <outline val="0"/>
        <shadow val="0"/>
        <u val="none"/>
        <vertAlign val="baseline"/>
        <sz val="10"/>
        <name val="Segoe UI"/>
        <family val="2"/>
        <scheme val="none"/>
      </font>
      <fill>
        <patternFill patternType="none">
          <fgColor indexed="64"/>
          <bgColor auto="1"/>
        </patternFill>
      </fill>
    </dxf>
    <dxf>
      <font>
        <strike val="0"/>
        <outline val="0"/>
        <shadow val="0"/>
        <u val="none"/>
        <vertAlign val="baseline"/>
        <sz val="10"/>
        <name val="Segoe UI"/>
        <family val="2"/>
        <scheme val="none"/>
      </font>
      <fill>
        <patternFill patternType="none">
          <fgColor indexed="64"/>
          <bgColor auto="1"/>
        </patternFill>
      </fill>
    </dxf>
    <dxf>
      <font>
        <strike val="0"/>
        <outline val="0"/>
        <shadow val="0"/>
        <u val="none"/>
        <vertAlign val="baseline"/>
        <sz val="10"/>
        <name val="Segoe UI"/>
        <family val="2"/>
        <scheme val="none"/>
      </font>
      <fill>
        <patternFill patternType="none">
          <fgColor indexed="64"/>
          <bgColor auto="1"/>
        </patternFill>
      </fill>
    </dxf>
    <dxf>
      <font>
        <strike val="0"/>
        <outline val="0"/>
        <shadow val="0"/>
        <u val="none"/>
        <vertAlign val="baseline"/>
        <sz val="10"/>
        <name val="Segoe UI"/>
        <family val="2"/>
        <scheme val="none"/>
      </font>
      <fill>
        <patternFill patternType="none">
          <fgColor indexed="64"/>
          <bgColor auto="1"/>
        </patternFill>
      </fill>
    </dxf>
    <dxf>
      <font>
        <strike val="0"/>
        <outline val="0"/>
        <shadow val="0"/>
        <u val="none"/>
        <vertAlign val="baseline"/>
        <sz val="10"/>
        <name val="Segoe UI"/>
        <family val="2"/>
        <scheme val="none"/>
      </font>
      <fill>
        <patternFill patternType="none">
          <fgColor indexed="64"/>
          <bgColor auto="1"/>
        </patternFill>
      </fill>
    </dxf>
    <dxf>
      <font>
        <strike val="0"/>
        <outline val="0"/>
        <shadow val="0"/>
        <u val="none"/>
        <vertAlign val="baseline"/>
        <sz val="10"/>
        <name val="Segoe UI"/>
        <family val="2"/>
        <scheme val="none"/>
      </font>
      <fill>
        <patternFill patternType="none">
          <fgColor indexed="64"/>
          <bgColor auto="1"/>
        </patternFill>
      </fill>
    </dxf>
    <dxf>
      <font>
        <strike val="0"/>
        <outline val="0"/>
        <shadow val="0"/>
        <u val="none"/>
        <vertAlign val="baseline"/>
        <sz val="10"/>
        <name val="Segoe UI"/>
        <family val="2"/>
        <scheme val="none"/>
      </font>
      <fill>
        <patternFill patternType="none">
          <fgColor indexed="64"/>
          <bgColor auto="1"/>
        </patternFill>
      </fill>
    </dxf>
    <dxf>
      <font>
        <strike val="0"/>
        <outline val="0"/>
        <shadow val="0"/>
        <u val="none"/>
        <vertAlign val="baseline"/>
        <sz val="10"/>
        <name val="Segoe UI"/>
        <family val="2"/>
        <scheme val="none"/>
      </font>
      <fill>
        <patternFill patternType="none">
          <fgColor indexed="64"/>
          <bgColor auto="1"/>
        </patternFill>
      </fill>
    </dxf>
    <dxf>
      <font>
        <strike val="0"/>
        <outline val="0"/>
        <shadow val="0"/>
        <u val="none"/>
        <vertAlign val="baseline"/>
        <sz val="10"/>
        <name val="Segoe UI"/>
        <family val="2"/>
        <scheme val="none"/>
      </font>
      <fill>
        <patternFill patternType="none">
          <fgColor indexed="64"/>
          <bgColor auto="1"/>
        </patternFill>
      </fill>
    </dxf>
    <dxf>
      <font>
        <strike val="0"/>
        <outline val="0"/>
        <shadow val="0"/>
        <u val="none"/>
        <vertAlign val="baseline"/>
        <sz val="10"/>
        <name val="Segoe UI"/>
        <family val="2"/>
        <scheme val="none"/>
      </font>
      <fill>
        <patternFill patternType="none">
          <fgColor indexed="64"/>
          <bgColor auto="1"/>
        </patternFill>
      </fill>
    </dxf>
    <dxf>
      <font>
        <b val="0"/>
        <i val="0"/>
        <strike val="0"/>
        <condense val="0"/>
        <extend val="0"/>
        <outline val="0"/>
        <shadow val="0"/>
        <u val="none"/>
        <vertAlign val="baseline"/>
        <sz val="10"/>
        <color rgb="FFF1B82D"/>
        <name val="Segoe UI"/>
        <family val="2"/>
        <scheme val="none"/>
      </font>
      <alignment horizontal="left" vertical="bottom" textRotation="0" wrapText="1" indent="0" justifyLastLine="0" shrinkToFit="0" readingOrder="0"/>
    </dxf>
    <dxf>
      <font>
        <strike val="0"/>
        <outline val="0"/>
        <shadow val="0"/>
        <u val="none"/>
        <vertAlign val="baseline"/>
        <sz val="10"/>
        <name val="Segoe UI"/>
        <family val="2"/>
        <scheme val="none"/>
      </font>
      <numFmt numFmtId="12" formatCode="&quot;$&quot;#,##0.00_);[Red]\(&quot;$&quot;#,##0.00\)"/>
    </dxf>
    <dxf>
      <font>
        <strike val="0"/>
        <outline val="0"/>
        <shadow val="0"/>
        <u val="none"/>
        <vertAlign val="baseline"/>
        <sz val="10"/>
        <name val="Segoe UI"/>
        <family val="2"/>
        <scheme val="none"/>
      </font>
      <numFmt numFmtId="12" formatCode="&quot;$&quot;#,##0.00_);[Red]\(&quot;$&quot;#,##0.00\)"/>
    </dxf>
    <dxf>
      <font>
        <strike val="0"/>
        <outline val="0"/>
        <shadow val="0"/>
        <u val="none"/>
        <vertAlign val="baseline"/>
        <sz val="10"/>
        <name val="Segoe UI"/>
        <family val="2"/>
        <scheme val="none"/>
      </font>
      <numFmt numFmtId="12" formatCode="&quot;$&quot;#,##0.00_);[Red]\(&quot;$&quot;#,##0.00\)"/>
    </dxf>
    <dxf>
      <font>
        <strike val="0"/>
        <outline val="0"/>
        <shadow val="0"/>
        <u val="none"/>
        <vertAlign val="baseline"/>
        <sz val="10"/>
        <name val="Segoe UI"/>
        <family val="2"/>
        <scheme val="none"/>
      </font>
      <numFmt numFmtId="169" formatCode="#,##0.000"/>
    </dxf>
    <dxf>
      <font>
        <b val="0"/>
        <i val="0"/>
        <strike val="0"/>
        <condense val="0"/>
        <extend val="0"/>
        <outline val="0"/>
        <shadow val="0"/>
        <u val="none"/>
        <vertAlign val="baseline"/>
        <sz val="10"/>
        <color auto="1"/>
        <name val="Segoe UI"/>
        <family val="2"/>
        <scheme val="none"/>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Segoe UI"/>
        <family val="2"/>
        <scheme val="none"/>
      </font>
      <fill>
        <patternFill patternType="none">
          <fgColor indexed="64"/>
          <bgColor indexed="65"/>
        </patternFill>
      </fill>
    </dxf>
    <dxf>
      <font>
        <b val="0"/>
        <i val="0"/>
        <strike val="0"/>
        <condense val="0"/>
        <extend val="0"/>
        <outline val="0"/>
        <shadow val="0"/>
        <u val="none"/>
        <vertAlign val="baseline"/>
        <sz val="10"/>
        <color auto="1"/>
        <name val="Segoe UI"/>
        <family val="2"/>
        <scheme val="none"/>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Segoe UI"/>
        <family val="2"/>
        <scheme val="none"/>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Segoe UI"/>
        <family val="2"/>
        <scheme val="none"/>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Segoe UI"/>
        <family val="2"/>
        <scheme val="none"/>
      </font>
      <fill>
        <patternFill patternType="none">
          <fgColor indexed="64"/>
          <bgColor indexed="65"/>
        </patternFill>
      </fill>
    </dxf>
    <dxf>
      <font>
        <b val="0"/>
        <i val="0"/>
        <strike val="0"/>
        <condense val="0"/>
        <extend val="0"/>
        <outline val="0"/>
        <shadow val="0"/>
        <u val="none"/>
        <vertAlign val="baseline"/>
        <sz val="10"/>
        <color auto="1"/>
        <name val="Segoe UI"/>
        <family val="2"/>
        <scheme val="none"/>
      </font>
      <numFmt numFmtId="35" formatCode="_(* #,##0.00_);_(* \(#,##0.00\);_(* &quot;-&quot;??_);_(@_)"/>
      <fill>
        <patternFill patternType="none">
          <fgColor indexed="64"/>
          <bgColor indexed="65"/>
        </patternFill>
      </fill>
    </dxf>
    <dxf>
      <font>
        <b val="0"/>
        <i val="0"/>
        <strike val="0"/>
        <condense val="0"/>
        <extend val="0"/>
        <outline val="0"/>
        <shadow val="0"/>
        <u val="none"/>
        <vertAlign val="baseline"/>
        <sz val="10"/>
        <color auto="1"/>
        <name val="Segoe UI"/>
        <family val="2"/>
        <scheme val="none"/>
      </font>
      <numFmt numFmtId="10" formatCode="&quot;$&quot;#,##0_);[Red]\(&quot;$&quot;#,##0\)"/>
      <fill>
        <patternFill patternType="none">
          <fgColor indexed="64"/>
          <bgColor indexed="65"/>
        </patternFill>
      </fill>
    </dxf>
    <dxf>
      <font>
        <b val="0"/>
        <i val="0"/>
        <strike val="0"/>
        <condense val="0"/>
        <extend val="0"/>
        <outline val="0"/>
        <shadow val="0"/>
        <u val="none"/>
        <vertAlign val="baseline"/>
        <sz val="10"/>
        <color auto="1"/>
        <name val="Segoe UI"/>
        <family val="2"/>
        <scheme val="none"/>
      </font>
      <numFmt numFmtId="167" formatCode="0.0%"/>
      <fill>
        <patternFill patternType="none">
          <fgColor indexed="64"/>
          <bgColor indexed="65"/>
        </patternFill>
      </fill>
      <protection locked="0" hidden="0"/>
    </dxf>
    <dxf>
      <font>
        <b val="0"/>
        <i val="0"/>
        <strike val="0"/>
        <condense val="0"/>
        <extend val="0"/>
        <outline val="0"/>
        <shadow val="0"/>
        <u val="none"/>
        <vertAlign val="baseline"/>
        <sz val="10"/>
        <color auto="1"/>
        <name val="Segoe UI"/>
        <family val="2"/>
        <scheme val="none"/>
      </font>
      <fill>
        <patternFill patternType="solid">
          <fgColor indexed="64"/>
          <bgColor theme="2"/>
        </patternFill>
      </fill>
      <protection locked="0" hidden="0"/>
    </dxf>
    <dxf>
      <font>
        <b val="0"/>
        <i val="0"/>
        <strike val="0"/>
        <condense val="0"/>
        <extend val="0"/>
        <outline val="0"/>
        <shadow val="0"/>
        <u val="none"/>
        <vertAlign val="baseline"/>
        <sz val="10"/>
        <color auto="1"/>
        <name val="Segoe UI"/>
        <family val="2"/>
        <scheme val="none"/>
      </font>
      <fill>
        <patternFill patternType="solid">
          <fgColor indexed="64"/>
          <bgColor theme="2"/>
        </patternFill>
      </fill>
      <protection locked="0" hidden="0"/>
    </dxf>
    <dxf>
      <font>
        <b val="0"/>
        <i val="0"/>
        <strike val="0"/>
        <condense val="0"/>
        <extend val="0"/>
        <outline val="0"/>
        <shadow val="0"/>
        <u val="none"/>
        <vertAlign val="baseline"/>
        <sz val="10"/>
        <color auto="1"/>
        <name val="Segoe UI"/>
        <family val="2"/>
        <scheme val="none"/>
      </font>
      <fill>
        <patternFill patternType="solid">
          <fgColor indexed="64"/>
          <bgColor theme="2"/>
        </patternFill>
      </fill>
      <protection locked="0" hidden="0"/>
    </dxf>
    <dxf>
      <font>
        <b val="0"/>
        <i val="0"/>
        <strike val="0"/>
        <condense val="0"/>
        <extend val="0"/>
        <outline val="0"/>
        <shadow val="0"/>
        <u val="none"/>
        <vertAlign val="baseline"/>
        <sz val="10"/>
        <color auto="1"/>
        <name val="Segoe UI"/>
        <family val="2"/>
        <scheme val="none"/>
      </font>
      <fill>
        <patternFill patternType="solid">
          <fgColor indexed="64"/>
          <bgColor theme="2"/>
        </patternFill>
      </fill>
      <protection locked="0" hidden="0"/>
    </dxf>
    <dxf>
      <font>
        <b val="0"/>
        <i val="0"/>
        <strike val="0"/>
        <condense val="0"/>
        <extend val="0"/>
        <outline val="0"/>
        <shadow val="0"/>
        <u val="none"/>
        <vertAlign val="baseline"/>
        <sz val="10"/>
        <color auto="1"/>
        <name val="Segoe UI"/>
        <family val="2"/>
        <scheme val="none"/>
      </font>
      <fill>
        <patternFill patternType="solid">
          <fgColor indexed="64"/>
          <bgColor theme="2"/>
        </patternFill>
      </fill>
      <protection locked="0" hidden="0"/>
    </dxf>
    <dxf>
      <font>
        <b val="0"/>
        <i val="0"/>
        <strike val="0"/>
        <condense val="0"/>
        <extend val="0"/>
        <outline val="0"/>
        <shadow val="0"/>
        <u val="none"/>
        <vertAlign val="baseline"/>
        <sz val="10"/>
        <color auto="1"/>
        <name val="Segoe UI"/>
        <family val="2"/>
        <scheme val="none"/>
      </font>
      <numFmt numFmtId="168" formatCode="_(* #,##0_);_(* \(#,##0\);_(* &quot;-&quot;??_);_(@_)"/>
      <fill>
        <patternFill patternType="solid">
          <fgColor indexed="64"/>
          <bgColor theme="2"/>
        </patternFill>
      </fill>
      <protection locked="1" hidden="0"/>
    </dxf>
    <dxf>
      <font>
        <b val="0"/>
        <i val="0"/>
        <strike val="0"/>
        <condense val="0"/>
        <extend val="0"/>
        <outline val="0"/>
        <shadow val="0"/>
        <u val="none"/>
        <vertAlign val="baseline"/>
        <sz val="10"/>
        <color auto="1"/>
        <name val="Segoe UI"/>
        <family val="2"/>
        <scheme val="none"/>
      </font>
      <numFmt numFmtId="168" formatCode="_(* #,##0_);_(* \(#,##0\);_(* &quot;-&quot;??_);_(@_)"/>
      <fill>
        <patternFill patternType="solid">
          <fgColor indexed="64"/>
          <bgColor theme="2"/>
        </patternFill>
      </fill>
      <protection locked="1" hidden="0"/>
    </dxf>
    <dxf>
      <font>
        <b val="0"/>
        <i val="0"/>
        <strike val="0"/>
        <condense val="0"/>
        <extend val="0"/>
        <outline val="0"/>
        <shadow val="0"/>
        <u val="none"/>
        <vertAlign val="baseline"/>
        <sz val="10"/>
        <color auto="1"/>
        <name val="Segoe UI"/>
        <family val="2"/>
        <scheme val="none"/>
      </font>
      <fill>
        <patternFill patternType="solid">
          <fgColor indexed="64"/>
          <bgColor theme="2"/>
        </patternFill>
      </fill>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Segoe UI"/>
        <family val="2"/>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Segoe UI"/>
        <family val="2"/>
        <scheme val="none"/>
      </font>
      <fill>
        <patternFill patternType="solid">
          <fgColor indexed="64"/>
          <bgColor theme="2"/>
        </patternFill>
      </fill>
      <protection locked="0" hidden="0"/>
    </dxf>
    <dxf>
      <font>
        <b val="0"/>
        <i val="0"/>
        <strike val="0"/>
        <condense val="0"/>
        <extend val="0"/>
        <outline val="0"/>
        <shadow val="0"/>
        <u val="none"/>
        <vertAlign val="baseline"/>
        <sz val="10"/>
        <color auto="1"/>
        <name val="Segoe UI"/>
        <family val="2"/>
        <scheme val="none"/>
      </font>
      <numFmt numFmtId="168" formatCode="_(* #,##0_);_(* \(#,##0\);_(* &quot;-&quot;??_);_(@_)"/>
      <fill>
        <patternFill patternType="solid">
          <fgColor indexed="64"/>
          <bgColor theme="2"/>
        </patternFill>
      </fill>
      <protection locked="0" hidden="0"/>
    </dxf>
    <dxf>
      <font>
        <b val="0"/>
        <i val="0"/>
        <strike val="0"/>
        <condense val="0"/>
        <extend val="0"/>
        <outline val="0"/>
        <shadow val="0"/>
        <u val="none"/>
        <vertAlign val="baseline"/>
        <sz val="10"/>
        <color auto="1"/>
        <name val="Segoe UI"/>
        <family val="2"/>
        <scheme val="none"/>
      </font>
      <fill>
        <patternFill patternType="solid">
          <fgColor indexed="64"/>
          <bgColor theme="2"/>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auto="1"/>
        <name val="Segoe UI"/>
        <family val="2"/>
        <scheme val="none"/>
      </font>
      <fill>
        <patternFill patternType="solid">
          <fgColor indexed="64"/>
          <bgColor theme="2"/>
        </patternFill>
      </fill>
      <protection locked="0" hidden="0"/>
    </dxf>
    <dxf>
      <font>
        <b val="0"/>
        <i val="0"/>
        <strike val="0"/>
        <condense val="0"/>
        <extend val="0"/>
        <outline val="0"/>
        <shadow val="0"/>
        <u val="none"/>
        <vertAlign val="baseline"/>
        <sz val="10"/>
        <color auto="1"/>
        <name val="Segoe UI"/>
        <family val="2"/>
        <scheme val="none"/>
      </font>
      <fill>
        <patternFill patternType="solid">
          <fgColor indexed="64"/>
          <bgColor theme="2"/>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auto="1"/>
        <name val="Segoe UI"/>
        <family val="2"/>
        <scheme val="none"/>
      </font>
      <fill>
        <patternFill patternType="solid">
          <fgColor indexed="64"/>
          <bgColor theme="2"/>
        </patternFill>
      </fill>
      <protection locked="0" hidden="0"/>
    </dxf>
    <dxf>
      <font>
        <b val="0"/>
        <i val="0"/>
        <strike val="0"/>
        <condense val="0"/>
        <extend val="0"/>
        <outline val="0"/>
        <shadow val="0"/>
        <u val="none"/>
        <vertAlign val="baseline"/>
        <sz val="10"/>
        <color auto="1"/>
        <name val="Segoe UI"/>
        <family val="2"/>
        <scheme val="none"/>
      </font>
      <fill>
        <patternFill patternType="solid">
          <fgColor indexed="64"/>
          <bgColor theme="2"/>
        </patternFill>
      </fill>
      <alignment horizontal="left" vertical="bottom" textRotation="0" wrapText="0" indent="0" justifyLastLine="0" shrinkToFit="0" readingOrder="0"/>
      <protection locked="0" hidden="0"/>
    </dxf>
    <dxf>
      <font>
        <strike val="0"/>
        <outline val="0"/>
        <shadow val="0"/>
        <u val="none"/>
        <vertAlign val="baseline"/>
        <sz val="10"/>
        <name val="Segoe UI"/>
        <family val="2"/>
        <scheme val="none"/>
      </font>
      <numFmt numFmtId="0" formatCode="General"/>
    </dxf>
    <dxf>
      <font>
        <strike val="0"/>
        <outline val="0"/>
        <shadow val="0"/>
        <u val="none"/>
        <vertAlign val="baseline"/>
        <sz val="10"/>
        <name val="Segoe UI"/>
        <family val="2"/>
        <scheme val="none"/>
      </font>
    </dxf>
    <dxf>
      <font>
        <b val="0"/>
        <i val="0"/>
        <strike val="0"/>
        <condense val="0"/>
        <extend val="0"/>
        <outline val="0"/>
        <shadow val="0"/>
        <u val="none"/>
        <vertAlign val="baseline"/>
        <sz val="10"/>
        <color rgb="FFFFC000"/>
        <name val="Segoe UI"/>
        <family val="2"/>
        <scheme val="none"/>
      </font>
      <fill>
        <patternFill patternType="solid">
          <fgColor indexed="64"/>
          <bgColor theme="1"/>
        </patternFill>
      </fill>
      <alignment horizontal="general" vertical="bottom" textRotation="0" wrapText="1" indent="0" justifyLastLine="0" shrinkToFit="0" readingOrder="0"/>
    </dxf>
    <dxf>
      <font>
        <strike val="0"/>
        <outline val="0"/>
        <shadow val="0"/>
        <u val="none"/>
        <vertAlign val="baseline"/>
        <sz val="10"/>
        <name val="Segoe UI"/>
        <family val="2"/>
        <scheme val="none"/>
      </font>
      <fill>
        <patternFill patternType="solid">
          <fgColor indexed="64"/>
          <bgColor theme="2"/>
        </patternFill>
      </fill>
    </dxf>
    <dxf>
      <font>
        <strike val="0"/>
        <outline val="0"/>
        <shadow val="0"/>
        <u val="none"/>
        <vertAlign val="baseline"/>
        <sz val="10"/>
        <name val="Segoe UI"/>
        <family val="2"/>
        <scheme val="none"/>
      </font>
      <numFmt numFmtId="12" formatCode="&quot;$&quot;#,##0.00_);[Red]\(&quot;$&quot;#,##0.00\)"/>
      <fill>
        <patternFill patternType="solid">
          <fgColor indexed="64"/>
          <bgColor theme="2"/>
        </patternFill>
      </fill>
    </dxf>
    <dxf>
      <font>
        <strike val="0"/>
        <outline val="0"/>
        <shadow val="0"/>
        <u val="none"/>
        <vertAlign val="baseline"/>
        <sz val="10"/>
        <name val="Segoe UI"/>
        <family val="2"/>
        <scheme val="none"/>
      </font>
      <fill>
        <patternFill patternType="solid">
          <fgColor indexed="64"/>
          <bgColor theme="2"/>
        </patternFill>
      </fill>
    </dxf>
    <dxf>
      <font>
        <strike val="0"/>
        <outline val="0"/>
        <shadow val="0"/>
        <u val="none"/>
        <vertAlign val="baseline"/>
        <sz val="10"/>
        <name val="Segoe UI"/>
        <family val="2"/>
        <scheme val="none"/>
      </font>
      <fill>
        <patternFill patternType="solid">
          <fgColor indexed="64"/>
          <bgColor theme="2"/>
        </patternFill>
      </fill>
    </dxf>
    <dxf>
      <font>
        <b/>
        <i val="0"/>
        <strike val="0"/>
        <condense val="0"/>
        <extend val="0"/>
        <outline val="0"/>
        <shadow val="0"/>
        <u val="none"/>
        <vertAlign val="baseline"/>
        <sz val="10"/>
        <color rgb="FFF1B82D"/>
        <name val="Segoe UI"/>
        <family val="2"/>
        <scheme val="none"/>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3.xml"/><Relationship Id="rId10" Type="http://schemas.openxmlformats.org/officeDocument/2006/relationships/externalLink" Target="externalLinks/externalLink1.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milhollinr_umsystem_edu/Documents/Crops/Crop%20Budgets/2025/Forage/ForageBudgets%202025.xlsx" TargetMode="External"/><Relationship Id="rId1" Type="http://schemas.openxmlformats.org/officeDocument/2006/relationships/externalLinkPath" Target="/personal/milhollinr_umsystem_edu/Documents/Crops/Crop%20Budgets/2025/Forage/ForageBudgets%202025.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mailmissouri.sharepoint.com/sites/MUEXTPlantSciences-Ogrp-ABPInternalMaterials/Shared%20Documents/ABP%20Internal%20Materials/Clare%20Staley%202025/High%20Tunnel%20Budgets%20Updated/Excel%20files%20ready%20for%20Final%20Checks/ht-tomato-budget.xlsx" TargetMode="External"/><Relationship Id="rId2" Type="http://schemas.microsoft.com/office/2019/04/relationships/externalLinkLongPath" Target="/sites/MUEXTPlantSciences-Ogrp-ABPInternalMaterials/Shared%20Documents/ABP%20Internal%20Materials/Clare%20Staley%202025/High%20Tunnel%20Budgets%20Updated/Excel%20files%20ready%20for%20Final%20Checks/ht-tomato-budget.xlsx?FCBA202B" TargetMode="External"/><Relationship Id="rId1" Type="http://schemas.openxmlformats.org/officeDocument/2006/relationships/externalLinkPath" Target="file:///\\FCBA202B\ht-tomato-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puts"/>
      <sheetName val="Alfalfa Establishment"/>
      <sheetName val="Alfalfa Small Squares"/>
      <sheetName val="Alfalfa Baleage"/>
      <sheetName val="Corn Silage"/>
      <sheetName val="Pasture Establishment"/>
      <sheetName val="Mixed Hay"/>
      <sheetName val="Fescue Seed+Forage"/>
      <sheetName val="Equipment"/>
      <sheetName val="Machinery Input Tables"/>
      <sheetName val="Custom Hire"/>
      <sheetName val="ForageBudgets 2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troduction"/>
      <sheetName val="Budget"/>
      <sheetName val="Financial Sensitivity"/>
    </sheetNames>
    <sheetDataSet>
      <sheetData sheetId="0" refreshError="1"/>
      <sheetData sheetId="1" refreshError="1"/>
      <sheetData sheetId="2"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University of Missouri - Extension and Food &amp; Agricultural Policy Research Institute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F4CBA25-9CF6-4C46-8087-CC0B337E3EEB}" name="Table4" displayName="Table4" ref="J3:L48" totalsRowShown="0" headerRowDxfId="80" dataDxfId="79">
  <autoFilter ref="J3:L48" xr:uid="{AF4CBA25-9CF6-4C46-8087-CC0B337E3EEB}"/>
  <tableColumns count="3">
    <tableColumn id="1" xr3:uid="{3211DC34-26AE-4998-905A-5657B2466F32}" name="Activity" dataDxfId="78"/>
    <tableColumn id="2" xr3:uid="{574E9492-607A-4CF4-A81E-2A8A2635819F}" name="Avg. cost/unit" dataDxfId="77"/>
    <tableColumn id="3" xr3:uid="{514FAB6B-F788-48CD-A3F5-B9D1C16A4C66}" name="Unit" dataDxfId="76"/>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D92B3C8-8C90-4758-8357-8F05BD7D5192}" name="Implements7" displayName="Implements7" ref="B5:AF121" totalsRowShown="0" headerRowDxfId="75" dataDxfId="74">
  <autoFilter ref="B5:AF121" xr:uid="{2D92B3C8-8C90-4758-8357-8F05BD7D5192}"/>
  <sortState xmlns:xlrd2="http://schemas.microsoft.com/office/spreadsheetml/2017/richdata2" ref="B6:AF106">
    <sortCondition ref="AF6:AF106"/>
    <sortCondition ref="B6:B106"/>
  </sortState>
  <tableColumns count="31">
    <tableColumn id="2" xr3:uid="{A0F41214-D3D0-4762-9932-BF9781CCBBC3}" name="Selection" dataDxfId="73">
      <calculatedColumnFormula>Implements7[[#This Row],[Implement type]]&amp;", "&amp;Implements7[[#This Row],[Width]]&amp;" "&amp;Implements7[[#This Row],[Width Unit]]</calculatedColumnFormula>
    </tableColumn>
    <tableColumn id="3" xr3:uid="{B2384CA9-2520-44F3-962D-AF74AFD39500}" name="Implement type" dataDxfId="72"/>
    <tableColumn id="4" xr3:uid="{8CD3119B-657C-4CD1-8095-FE29C5226619}" name="Width" dataDxfId="71"/>
    <tableColumn id="5" xr3:uid="{CAE6E5DF-42D9-41B1-875A-A99768E4C89D}" name="Width Unit" dataDxfId="70"/>
    <tableColumn id="6" xr3:uid="{DD407D72-D3FB-4191-9318-A24D408E3146}" name="Size" dataDxfId="69"/>
    <tableColumn id="7" xr3:uid="{E0A16194-8ED6-4DE7-AA5F-C15DBB1BC7B6}" name="Size unit" dataDxfId="68"/>
    <tableColumn id="9" xr3:uid="{CDDD0D8B-AAC6-4398-A2D1-BF4040373100}" name="PriceP" dataDxfId="67" dataCellStyle="Comma"/>
    <tableColumn id="10" xr3:uid="{7E52408D-6C34-4B17-AD54-B797BAE1E67E}" name="Discount" dataDxfId="66" dataCellStyle="Percent"/>
    <tableColumn id="11" xr3:uid="{FF7ECCFB-7E71-4232-A1F1-C3D830B4EDAC}" name="PriceL" dataDxfId="65">
      <calculatedColumnFormula>H6/(1-I6)</calculatedColumnFormula>
    </tableColumn>
    <tableColumn id="12" xr3:uid="{BE4E95DC-9226-46E8-B255-14AB7FCFC10F}" name="Life (yr)" dataDxfId="64"/>
    <tableColumn id="13" xr3:uid="{7796B94E-D8C9-4EBD-AA3F-9D0026E7DA9D}" name="Use (hr/yr)" dataDxfId="63"/>
    <tableColumn id="14" xr3:uid="{4C31720E-D095-48F7-8926-382BEC675769}" name="Use (ac/yr)" dataDxfId="62" dataCellStyle="Comma">
      <calculatedColumnFormula>IF(AND(P6&lt;&gt;0,Q6&lt;&gt;0),L6*(D6*P6*Q6)/8.25,L6*D6)</calculatedColumnFormula>
    </tableColumn>
    <tableColumn id="35" xr3:uid="{B4334CB3-852B-4BCD-B90C-CB8365AB7590}" name="Use basis" dataDxfId="61" dataCellStyle="Comma"/>
    <tableColumn id="15" xr3:uid="{064958DF-8042-49AE-9487-569E2FC2EDC5}" name="ASABEtype" dataDxfId="60"/>
    <tableColumn id="16" xr3:uid="{BBFEF187-38A1-44D4-9DDC-D42B04F94399}" name="Speed" dataDxfId="59"/>
    <tableColumn id="17" xr3:uid="{6561ED4A-FE88-4501-881F-B6700DE66694}" name="Efficiency" dataDxfId="58" dataCellStyle="Percent"/>
    <tableColumn id="19" xr3:uid="{356011B7-9F25-47D9-8B7E-9AF71857EF72}" name="LaborUse" dataDxfId="57" dataCellStyle="Percent"/>
    <tableColumn id="22" xr3:uid="{67AB7FEA-B56B-4521-A8D9-9280DA875BA7}" name="Shed (ft^2)" dataDxfId="56"/>
    <tableColumn id="23" xr3:uid="{84423A6B-CFB5-413C-AC0B-A8689708456A}" name="TradeIn%" dataDxfId="55" dataCellStyle="Comma">
      <calculatedColumnFormula>(VLOOKUP(Implements7[[#This Row],[ASABEtype]],#REF!,5)-VLOOKUP(Implements7[[#This Row],[ASABEtype]],#REF!,6)*Implements7[[#This Row],[Life (yr)]]^0.5-VLOOKUP(Implements7[[#This Row],[ASABEtype]],#REF!,7)*Implements7[[#This Row],[Use (hr/yr)]]^0.5+VLOOKUP(Implements7[[#This Row],[ASABEtype]],#REF!,8)*$BP$17)^2+0.25*VLOOKUP(Implements7[[#This Row],[ASABEtype]],#REF!,9)</calculatedColumnFormula>
    </tableColumn>
    <tableColumn id="24" xr3:uid="{23EC48B8-44C7-4D7E-9AEF-92FAE9775C42}" name="TradeIn$" dataDxfId="54" dataCellStyle="Comma">
      <calculatedColumnFormula>Implements7[[#This Row],[TradeIn%]]*Implements7[[#This Row],[PriceL]]</calculatedColumnFormula>
    </tableColumn>
    <tableColumn id="31" xr3:uid="{B1B346DD-C0AB-4742-AFD2-CFFD2961C139}" name="Depr ($/hr)" dataDxfId="53" dataCellStyle="Comma">
      <calculatedColumnFormula>(Implements7[[#This Row],[PriceP]]-Implements7[[#This Row],[TradeIn$]])/Implements7[[#This Row],[Life (yr)]]/Implements7[[#This Row],[Use (hr/yr)]]</calculatedColumnFormula>
    </tableColumn>
    <tableColumn id="32" xr3:uid="{C76119F1-CA25-4997-96D3-B6330F2B8FE4}" name="OH ($/hr)" dataDxfId="52" dataCellStyle="Comma">
      <calculatedColumnFormula>((Implements7[[#This Row],[PriceP]]+Implements7[[#This Row],[TradeIn$]])/2*($BP$7+$BP$8+$BP$9)+Implements7[[#This Row],[Shed (ft^2)]]*$BP$12)/Implements7[[#This Row],[Use (hr/yr)]]</calculatedColumnFormula>
    </tableColumn>
    <tableColumn id="33" xr3:uid="{3720DC8F-E0BE-49E3-B8DC-78604147CA62}" name="Rep ($/hr)" dataDxfId="51" dataCellStyle="Comma">
      <calculatedColumnFormula>Implements7[[#This Row],[PriceL]]*(VLOOKUP(Implements7[[#This Row],[ASABEtype]],$BC$6:$BM$52,2)*(Implements7[[#This Row],[Life (yr)]]*Implements7[[#This Row],[Use (hr/yr)]]/1000)^VLOOKUP(Implements7[[#This Row],[ASABEtype]],$BC$6:$BM$52,3))/Implements7[[#This Row],[Life (yr)]]/Implements7[[#This Row],[Use (hr/yr)]]</calculatedColumnFormula>
    </tableColumn>
    <tableColumn id="34" xr3:uid="{36DFBFCB-C75B-46D0-92D7-ECC27F1044A9}" name="Ownership costs ($/hr)" dataDxfId="50" dataCellStyle="Comma">
      <calculatedColumnFormula>Implements7[[#This Row],[Depr ($/hr)]]+Implements7[[#This Row],[OH ($/hr)]]</calculatedColumnFormula>
    </tableColumn>
    <tableColumn id="25" xr3:uid="{5E75C463-933D-4AA0-A9A0-41CA697465E9}" name="Depr ($/ac)2" dataDxfId="49" dataCellStyle="Comma">
      <calculatedColumnFormula>(Implements7[[#This Row],[PriceP]]-Implements7[[#This Row],[TradeIn$]])/Implements7[[#This Row],[Life (yr)]]/Implements7[[#This Row],[Use (ac/yr)]]</calculatedColumnFormula>
    </tableColumn>
    <tableColumn id="26" xr3:uid="{3F7F695D-4561-4706-9914-46E79CA57D9F}" name="OH ($/ac)" dataDxfId="48" dataCellStyle="Comma">
      <calculatedColumnFormula>((Implements7[[#This Row],[PriceP]]+Implements7[[#This Row],[TradeIn$]])/2*($BP$7+$BP$8+$BP$9)+Implements7[[#This Row],[Shed (ft^2)]]*$BP$12)/Implements7[[#This Row],[Use (ac/yr)]]</calculatedColumnFormula>
    </tableColumn>
    <tableColumn id="27" xr3:uid="{5FD46977-A570-4E65-8C98-5A71AFC5C63E}" name="Rep ($/ac)4" dataDxfId="47" dataCellStyle="Currency">
      <calculatedColumnFormula>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calculatedColumnFormula>
    </tableColumn>
    <tableColumn id="8" xr3:uid="{3E25DCD1-C00A-44C2-8352-9EA2A76FDF59}" name="hr/ac" dataDxfId="46">
      <calculatedColumnFormula>$BP$18/(Implements7[[#This Row],[Width]]*Implements7[[#This Row],[Speed]]*Implements7[[#This Row],[Efficiency]])</calculatedColumnFormula>
    </tableColumn>
    <tableColumn id="1" xr3:uid="{F2E8EA4E-8A34-44C7-8A72-A8C48C43E1F9}" name="Ownership costs($/ac)" dataDxfId="45">
      <calculatedColumnFormula>IF(Implements7[[#This Row],[Use basis]]=$N$128,Implements7[[#This Row],[Ownership costs ($/hr)]],SUM(Implements7[[#This Row],[Depr ($/ac)2]:[OH ($/ac)]]))</calculatedColumnFormula>
    </tableColumn>
    <tableColumn id="18" xr3:uid="{9D752E62-1D95-400B-AA49-397BA1DB039C}" name="Order in Lazarus" dataDxfId="44"/>
    <tableColumn id="21" xr3:uid="{18401324-0C89-4C1F-96D5-DB2AF080301D}" name="Operation type" dataDxfId="4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4BCD974-4F4D-4963-AE1E-4B22440619F5}" name="ASABECoefficients8" displayName="ASABECoefficients8" ref="BC5:BM52" totalsRowShown="0" headerRowDxfId="42" dataDxfId="41">
  <autoFilter ref="BC5:BM52" xr:uid="{24BCD974-4F4D-4963-AE1E-4B22440619F5}"/>
  <sortState xmlns:xlrd2="http://schemas.microsoft.com/office/spreadsheetml/2017/richdata2" ref="BC6:BM52">
    <sortCondition ref="BC6:BC53"/>
  </sortState>
  <tableColumns count="11">
    <tableColumn id="5" xr3:uid="{A37CD62D-A123-4D0C-B865-CB9F078FF9AF}" name="ASABE Category" dataDxfId="40"/>
    <tableColumn id="6" xr3:uid="{44D776FF-3CA9-4810-AE81-549FB46F68E7}" name="RF1" dataDxfId="39"/>
    <tableColumn id="7" xr3:uid="{5577D2E7-3E59-422E-8ECF-51209B98401A}" name="RF2" dataDxfId="38"/>
    <tableColumn id="8" xr3:uid="{8DE71B6B-32CE-40DD-8C72-E898E4E6F1E0}" name="Life (hr)" dataDxfId="37"/>
    <tableColumn id="9" xr3:uid="{D2854295-8DE1-46BC-8545-C80A3B0F3BFB}" name="RV1" dataDxfId="36"/>
    <tableColumn id="10" xr3:uid="{997A638B-2B6C-4534-B695-02628EDCE3BB}" name="RV2" dataDxfId="35"/>
    <tableColumn id="11" xr3:uid="{60BA3A6E-D9E4-4F48-931C-09C0BB087E83}" name="RV3" dataDxfId="34"/>
    <tableColumn id="12" xr3:uid="{D0B61CBA-C765-4AA3-AEF7-8E50A84DB745}" name="RV4" dataDxfId="33"/>
    <tableColumn id="14" xr3:uid="{C024B195-218A-4D96-85C1-E3B7B6CC2E84}" name="δ2" dataDxfId="32"/>
    <tableColumn id="1" xr3:uid="{F7A5399F-CB7A-424D-BBF1-DA18FA0C29D4}" name="δ" dataDxfId="31"/>
    <tableColumn id="2" xr3:uid="{28C2C18F-5FD1-4E76-BF3F-08634A8AE868}" name="Note" dataDxfId="30"/>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E673FF4-37E5-4758-A9DC-B0428524AA92}" name="Power20259" displayName="Power20259" ref="AH5:BA32" totalsRowShown="0" headerRowDxfId="29" dataDxfId="28">
  <autoFilter ref="AH5:BA32" xr:uid="{9E673FF4-37E5-4758-A9DC-B0428524AA92}"/>
  <tableColumns count="20">
    <tableColumn id="1" xr3:uid="{56B56D7C-8A63-4AC5-B589-85D15578A1F5}" name="HP &amp; descriptive information" dataDxfId="27">
      <calculatedColumnFormula>CONCATENATE(AI6&amp;" "&amp;AJ6)</calculatedColumnFormula>
    </tableColumn>
    <tableColumn id="2" xr3:uid="{D66A2935-02F8-4283-9BB6-9A7D66B8A389}" name="HP" dataDxfId="26"/>
    <tableColumn id="3" xr3:uid="{6226AF23-7ABA-4737-8CD1-AD3C8AE4ED31}" name="Information" dataDxfId="25"/>
    <tableColumn id="4" xr3:uid="{85CBCA0F-B405-466F-8A35-10DEA3A6DC4F}" name="PriceP" dataDxfId="24" dataCellStyle="Comma"/>
    <tableColumn id="5" xr3:uid="{673B7C83-727F-45E1-B80B-97B03627A6D5}" name="Discount" dataDxfId="23" dataCellStyle="Percent"/>
    <tableColumn id="6" xr3:uid="{4AF18178-01A5-438B-B6F0-1A0188A1262D}" name="PriceL" dataDxfId="22">
      <calculatedColumnFormula>AK6/(1-AL6)</calculatedColumnFormula>
    </tableColumn>
    <tableColumn id="19" xr3:uid="{3DE9E0F4-1CB1-43FF-A192-35F0E3A83873}" name="Lifespan (hours)" dataDxfId="21"/>
    <tableColumn id="20" xr3:uid="{545AFB50-EE71-4B20-A2DF-40AE087109FB}" name="Life used (%)" dataDxfId="20" dataCellStyle="Percent"/>
    <tableColumn id="7" xr3:uid="{D93FD04C-8755-4D40-B6C4-F8D2E0DD37A2}" name="Life (yr)" dataDxfId="19">
      <calculatedColumnFormula>Power20259[[#This Row],[Lifespan (hours)]]/Power20259[[#This Row],[Use (hr/yr)]]</calculatedColumnFormula>
    </tableColumn>
    <tableColumn id="8" xr3:uid="{152C7366-4128-46AC-9B25-CC03B46FA908}" name="Use (hr/yr)" dataDxfId="18"/>
    <tableColumn id="9" xr3:uid="{8070B3FF-B716-4FCB-A9F7-6C85ED0B8DD3}" name="Fuel (gal/hph)" dataDxfId="17"/>
    <tableColumn id="10" xr3:uid="{DED3292A-E0B3-4673-86D6-9D1CAA0B004E}" name="ASABEtype" dataDxfId="16"/>
    <tableColumn id="11" xr3:uid="{57D77976-6C11-4CDA-AB63-2314DD7DC70C}" name="Shed (ft^2)" dataDxfId="15"/>
    <tableColumn id="13" xr3:uid="{8BF38BFC-3795-4F3E-ABDF-5FC5408F74B5}" name="TradeIn%" dataDxfId="14"/>
    <tableColumn id="14" xr3:uid="{E5DCAAD0-63D3-49EB-BD7D-2339380ED789}" name="TradeIn$" dataDxfId="13">
      <calculatedColumnFormula>Power20259[[#This Row],[TradeIn%]]*Power20259[[#This Row],[PriceL]]</calculatedColumnFormula>
    </tableColumn>
    <tableColumn id="15" xr3:uid="{9054AA32-ACB6-4AF1-A774-08818D70B877}" name="Depr ($/hr)" dataDxfId="12">
      <calculatedColumnFormula>(Power20259[[#This Row],[PriceP]]-Power20259[[#This Row],[TradeIn$]])/Power20259[[#This Row],[Life (yr)]]/Power20259[[#This Row],[Use (hr/yr)]]</calculatedColumnFormula>
    </tableColumn>
    <tableColumn id="16" xr3:uid="{A3EC52D8-B584-48F2-97A1-7A91A267F4C1}" name="OH ($/hr)" dataDxfId="11">
      <calculatedColumnFormula>((Power20259[[#This Row],[PriceP]]+Power20259[[#This Row],[TradeIn$]])*($BH$8+$BH$9+$BH$10)+Power20259[[#This Row],[Shed (ft^2)]]*$BH$13)/Power20259[[#This Row],[Use (hr/yr)]]</calculatedColumnFormula>
    </tableColumn>
    <tableColumn id="17" xr3:uid="{48002800-0B65-4CC4-8E3F-FFF72AC156E9}" name="Rep ($/hr)" dataDxfId="10"/>
    <tableColumn id="18" xr3:uid="{2234AA9B-9436-4BBA-9391-7EC77B105B17}" name="Fuel (gal/hr)" dataDxfId="9">
      <calculatedColumnFormula>Power20259[[#This Row],[Fuel (gal/hph)]]*Power20259[[#This Row],[HP]]</calculatedColumnFormula>
    </tableColumn>
    <tableColumn id="12" xr3:uid="{31070333-6621-43E5-B127-F57A45A242D4}" name="Ownership costs ($/hr)" dataDxfId="8">
      <calculatedColumnFormula>SUM(AW6:AX6)</calculatedColumnFormula>
    </tableColumn>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D7A7A9A-A0A2-40DC-BA12-F4B4E73FCB0C}" name="Prices10" displayName="Prices10" ref="BO5:BP18" totalsRowShown="0" headerRowDxfId="7" dataDxfId="6">
  <autoFilter ref="BO5:BP18" xr:uid="{7D7A7A9A-A0A2-40DC-BA12-F4B4E73FCB0C}"/>
  <tableColumns count="2">
    <tableColumn id="1" xr3:uid="{43883ACA-9B41-453A-BAAA-283F893F5A0D}" name="Item" dataDxfId="5"/>
    <tableColumn id="2" xr3:uid="{E2C7631D-B99D-4CF2-A077-23AE89776133}" name="Value" dataDxfId="4"/>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 12">
      <a:majorFont>
        <a:latin typeface="Segoe UI Black"/>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vmlDrawing" Target="../drawings/vmlDrawing3.vml"/><Relationship Id="rId6" Type="http://schemas.openxmlformats.org/officeDocument/2006/relationships/comments" Target="../comments2.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8AC68-DE06-4F47-B451-0F09FA291039}">
  <sheetPr>
    <pageSetUpPr fitToPage="1"/>
  </sheetPr>
  <dimension ref="A1:M25"/>
  <sheetViews>
    <sheetView showGridLines="0" workbookViewId="0">
      <selection activeCell="D5" sqref="D5"/>
    </sheetView>
  </sheetViews>
  <sheetFormatPr defaultColWidth="0" defaultRowHeight="16.5" customHeight="1" zeroHeight="1"/>
  <cols>
    <col min="1" max="1" width="2.83203125" style="149" customWidth="1"/>
    <col min="2" max="2" width="35.75" style="149" customWidth="1"/>
    <col min="3" max="3" width="16.1640625" style="149" customWidth="1"/>
    <col min="4" max="4" width="36.33203125" style="149" customWidth="1"/>
    <col min="5" max="5" width="3" style="149" customWidth="1"/>
    <col min="6" max="8" width="9" style="149" hidden="1" customWidth="1"/>
    <col min="9" max="13" width="0" style="149" hidden="1" customWidth="1"/>
    <col min="14" max="16384" width="9" style="149" hidden="1"/>
  </cols>
  <sheetData>
    <row r="1" spans="2:4" ht="17" thickBot="1">
      <c r="B1"/>
      <c r="C1"/>
      <c r="D1"/>
    </row>
    <row r="2" spans="2:4" ht="19.5" customHeight="1" thickBot="1">
      <c r="B2" s="344" t="s">
        <v>884</v>
      </c>
      <c r="C2" s="345"/>
      <c r="D2" s="346"/>
    </row>
    <row r="3" spans="2:4" ht="16.5" customHeight="1">
      <c r="B3" s="347" t="s">
        <v>886</v>
      </c>
      <c r="C3" s="347"/>
      <c r="D3" s="347"/>
    </row>
    <row r="4" spans="2:4">
      <c r="B4" s="348"/>
      <c r="C4" s="348"/>
      <c r="D4" s="348"/>
    </row>
    <row r="5" spans="2:4" ht="77" customHeight="1">
      <c r="B5" s="349" t="s">
        <v>882</v>
      </c>
      <c r="C5" s="311"/>
      <c r="D5" s="359" t="e" vm="1">
        <v>#VALUE!</v>
      </c>
    </row>
    <row r="6" spans="2:4" ht="16.5" customHeight="1">
      <c r="B6" s="350"/>
      <c r="C6" s="350"/>
      <c r="D6" s="359"/>
    </row>
    <row r="7" spans="2:4" ht="57" customHeight="1">
      <c r="B7" s="351" t="s">
        <v>885</v>
      </c>
      <c r="C7" s="351"/>
      <c r="D7" s="351"/>
    </row>
    <row r="8" spans="2:4" ht="17.5">
      <c r="B8" s="352"/>
      <c r="C8" s="352"/>
      <c r="D8" s="352"/>
    </row>
    <row r="9" spans="2:4" ht="17.5" customHeight="1">
      <c r="B9" s="353"/>
      <c r="C9" s="353"/>
      <c r="D9" s="353"/>
    </row>
    <row r="10" spans="2:4" ht="16.5" customHeight="1">
      <c r="B10" s="311"/>
      <c r="C10" s="311"/>
      <c r="D10" s="311"/>
    </row>
    <row r="11" spans="2:4" ht="16.5" customHeight="1">
      <c r="B11" s="354" t="s">
        <v>883</v>
      </c>
      <c r="C11" s="355"/>
      <c r="D11" s="356"/>
    </row>
    <row r="12" spans="2:4" ht="17" thickBot="1">
      <c r="B12"/>
      <c r="C12"/>
      <c r="D12"/>
    </row>
    <row r="13" spans="2:4" ht="21.5" thickBot="1">
      <c r="B13" s="357"/>
      <c r="C13" s="358"/>
      <c r="D13" s="358"/>
    </row>
    <row r="14" spans="2:4"/>
    <row r="15" spans="2:4" hidden="1"/>
    <row r="16" spans="2:4" hidden="1"/>
    <row r="17" hidden="1"/>
    <row r="18" hidden="1"/>
    <row r="19" hidden="1"/>
    <row r="20" hidden="1"/>
    <row r="21" hidden="1"/>
    <row r="22" hidden="1"/>
    <row r="23" hidden="1"/>
    <row r="24" hidden="1"/>
    <row r="25" hidden="1"/>
  </sheetData>
  <sheetProtection sheet="1" objects="1" scenarios="1"/>
  <mergeCells count="7">
    <mergeCell ref="B11:D11"/>
    <mergeCell ref="B13:D13"/>
    <mergeCell ref="B2:D2"/>
    <mergeCell ref="B3:D3"/>
    <mergeCell ref="B4:D4"/>
    <mergeCell ref="B7:D7"/>
    <mergeCell ref="B9:D9"/>
  </mergeCells>
  <pageMargins left="0.7" right="0.7" top="0.75" bottom="0.75" header="0.3" footer="0.3"/>
  <pageSetup scale="76"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3F90A-CA5C-4E4C-8057-006F6ED826FE}">
  <sheetPr codeName="Sheet2"/>
  <dimension ref="A1:M29"/>
  <sheetViews>
    <sheetView workbookViewId="0">
      <selection activeCell="D25" sqref="D25"/>
    </sheetView>
  </sheetViews>
  <sheetFormatPr defaultColWidth="0" defaultRowHeight="17.5" zeroHeight="1"/>
  <cols>
    <col min="1" max="1" width="2.6640625" style="45" customWidth="1"/>
    <col min="2" max="2" width="30.6640625" style="45" customWidth="1"/>
    <col min="3" max="3" width="28.6640625" style="45" bestFit="1" customWidth="1"/>
    <col min="4" max="4" width="15.33203125" style="45" bestFit="1" customWidth="1"/>
    <col min="5" max="5" width="16" style="45" bestFit="1" customWidth="1"/>
    <col min="6" max="6" width="16" style="45" customWidth="1"/>
    <col min="7" max="7" width="11.83203125" style="45" bestFit="1" customWidth="1"/>
    <col min="8" max="8" width="13.1640625" style="45" bestFit="1" customWidth="1"/>
    <col min="9" max="10" width="13.1640625" style="45" customWidth="1"/>
    <col min="11" max="11" width="13.83203125" style="45" bestFit="1" customWidth="1"/>
    <col min="12" max="12" width="12.33203125" style="45" hidden="1" customWidth="1"/>
    <col min="13" max="13" width="2.83203125" style="45" hidden="1" customWidth="1"/>
    <col min="14" max="16384" width="9" style="45" hidden="1"/>
  </cols>
  <sheetData>
    <row r="1" spans="2:12" ht="21">
      <c r="B1" s="320" t="s">
        <v>387</v>
      </c>
      <c r="C1" s="321"/>
      <c r="D1" s="321"/>
      <c r="E1" s="44"/>
      <c r="F1" s="44"/>
      <c r="G1" s="44"/>
      <c r="H1" s="44"/>
      <c r="I1" s="44"/>
      <c r="J1" s="44"/>
      <c r="K1"/>
      <c r="L1"/>
    </row>
    <row r="2" spans="2:12">
      <c r="D2" s="46"/>
      <c r="E2" s="319" t="s">
        <v>0</v>
      </c>
      <c r="F2" s="319"/>
      <c r="G2" s="319" t="s">
        <v>1</v>
      </c>
      <c r="H2" s="319"/>
      <c r="I2" s="319" t="s">
        <v>3</v>
      </c>
      <c r="J2" s="319" t="s">
        <v>792</v>
      </c>
    </row>
    <row r="3" spans="2:12">
      <c r="B3" s="48" t="s">
        <v>388</v>
      </c>
      <c r="C3" s="48" t="s">
        <v>4</v>
      </c>
      <c r="D3" s="49" t="s">
        <v>5</v>
      </c>
      <c r="E3" s="50" t="s">
        <v>6</v>
      </c>
      <c r="F3" s="50" t="s">
        <v>791</v>
      </c>
      <c r="G3" s="49" t="s">
        <v>7</v>
      </c>
      <c r="H3" s="50" t="s">
        <v>8</v>
      </c>
      <c r="I3" s="322"/>
      <c r="J3" s="322"/>
    </row>
    <row r="4" spans="2:12">
      <c r="B4" s="179"/>
      <c r="C4" s="179"/>
      <c r="D4" s="52"/>
      <c r="E4" s="53"/>
      <c r="F4" s="53"/>
      <c r="G4" s="52"/>
      <c r="H4" s="47"/>
      <c r="I4" s="47"/>
      <c r="J4" s="47"/>
    </row>
    <row r="5" spans="2:12">
      <c r="B5" s="62" t="s">
        <v>17</v>
      </c>
      <c r="C5" s="57"/>
      <c r="D5" s="60"/>
      <c r="E5" s="60"/>
      <c r="F5" s="60"/>
      <c r="G5" s="60"/>
      <c r="H5" s="60"/>
      <c r="I5" s="60"/>
      <c r="J5" s="60"/>
    </row>
    <row r="6" spans="2:12">
      <c r="B6" s="58" t="s">
        <v>38</v>
      </c>
      <c r="C6" s="59" t="s">
        <v>18</v>
      </c>
      <c r="D6" s="41">
        <v>0.6</v>
      </c>
      <c r="E6" s="61"/>
      <c r="F6" s="61"/>
      <c r="G6" s="61"/>
      <c r="H6" s="60"/>
      <c r="I6" s="60"/>
      <c r="J6" s="60"/>
    </row>
    <row r="7" spans="2:12">
      <c r="B7" s="58" t="s">
        <v>831</v>
      </c>
      <c r="C7" s="59" t="s">
        <v>18</v>
      </c>
      <c r="D7" s="41">
        <v>0.45</v>
      </c>
      <c r="E7" s="61"/>
      <c r="F7" s="61"/>
      <c r="G7" s="61"/>
      <c r="H7" s="60"/>
      <c r="I7" s="60"/>
      <c r="J7" s="60"/>
    </row>
    <row r="8" spans="2:12">
      <c r="B8" s="58" t="s">
        <v>11</v>
      </c>
      <c r="C8" s="59" t="s">
        <v>389</v>
      </c>
      <c r="D8" s="41">
        <v>0.55000000000000004</v>
      </c>
      <c r="E8" s="60"/>
      <c r="F8" s="60"/>
      <c r="G8" s="60"/>
      <c r="H8" s="60"/>
      <c r="I8" s="60"/>
      <c r="J8" s="60"/>
    </row>
    <row r="9" spans="2:12">
      <c r="B9" s="63" t="s">
        <v>12</v>
      </c>
      <c r="C9" s="64" t="s">
        <v>390</v>
      </c>
      <c r="D9" s="41">
        <v>0.38</v>
      </c>
      <c r="E9" s="61"/>
      <c r="F9" s="61"/>
      <c r="G9" s="61"/>
      <c r="H9" s="60"/>
      <c r="I9" s="60"/>
      <c r="J9" s="60"/>
    </row>
    <row r="10" spans="2:12">
      <c r="B10" s="63" t="s">
        <v>652</v>
      </c>
      <c r="C10" s="64" t="s">
        <v>700</v>
      </c>
      <c r="D10" s="41">
        <v>0.55000000000000004</v>
      </c>
      <c r="E10" s="61"/>
      <c r="F10" s="61"/>
      <c r="G10" s="61"/>
      <c r="H10" s="60"/>
      <c r="I10" s="60"/>
      <c r="J10" s="60"/>
    </row>
    <row r="11" spans="2:12">
      <c r="B11" s="63" t="s">
        <v>653</v>
      </c>
      <c r="C11" s="64" t="s">
        <v>700</v>
      </c>
      <c r="D11" s="41">
        <v>2.5</v>
      </c>
      <c r="E11" s="61"/>
      <c r="F11" s="61"/>
      <c r="G11" s="61"/>
      <c r="H11" s="60"/>
      <c r="I11" s="60"/>
      <c r="J11" s="60"/>
    </row>
    <row r="12" spans="2:12">
      <c r="B12" s="63" t="s">
        <v>654</v>
      </c>
      <c r="C12" s="64" t="s">
        <v>700</v>
      </c>
      <c r="D12" s="41">
        <v>4.5</v>
      </c>
      <c r="E12" s="61"/>
      <c r="F12" s="61"/>
      <c r="G12" s="61"/>
      <c r="H12" s="60"/>
      <c r="I12" s="60"/>
      <c r="J12" s="60"/>
    </row>
    <row r="13" spans="2:12">
      <c r="B13" s="63" t="s">
        <v>759</v>
      </c>
      <c r="C13" s="64" t="s">
        <v>700</v>
      </c>
      <c r="D13" s="41"/>
      <c r="E13" s="61"/>
      <c r="F13" s="61"/>
      <c r="G13" s="61"/>
      <c r="H13" s="60"/>
      <c r="I13" s="60"/>
      <c r="J13" s="60"/>
    </row>
    <row r="14" spans="2:12">
      <c r="B14" s="63" t="s">
        <v>13</v>
      </c>
      <c r="C14" s="64" t="s">
        <v>19</v>
      </c>
      <c r="D14" s="41">
        <v>30</v>
      </c>
      <c r="E14" s="61"/>
      <c r="F14" s="61"/>
      <c r="G14" s="61"/>
      <c r="H14" s="60"/>
      <c r="I14" s="60"/>
      <c r="J14" s="60"/>
    </row>
    <row r="15" spans="2:12">
      <c r="B15" s="54" t="s">
        <v>20</v>
      </c>
      <c r="C15" s="55" t="s">
        <v>21</v>
      </c>
      <c r="D15" s="56"/>
      <c r="E15" s="41">
        <v>265</v>
      </c>
      <c r="F15" s="41">
        <v>265</v>
      </c>
      <c r="G15" s="41">
        <v>75</v>
      </c>
      <c r="H15" s="42">
        <v>60</v>
      </c>
      <c r="I15" s="42">
        <v>17</v>
      </c>
      <c r="J15" s="42">
        <v>90</v>
      </c>
    </row>
    <row r="16" spans="2:12">
      <c r="B16" s="63" t="s">
        <v>22</v>
      </c>
      <c r="C16" s="64" t="s">
        <v>775</v>
      </c>
      <c r="D16" s="65"/>
      <c r="E16" s="41">
        <v>35</v>
      </c>
      <c r="F16" s="41">
        <v>35</v>
      </c>
      <c r="G16" s="41">
        <v>37</v>
      </c>
      <c r="H16" s="42">
        <v>42</v>
      </c>
      <c r="I16" s="42">
        <v>25</v>
      </c>
      <c r="J16" s="42">
        <v>20</v>
      </c>
    </row>
    <row r="17" spans="2:12">
      <c r="B17" s="63" t="s">
        <v>760</v>
      </c>
      <c r="C17" s="64" t="s">
        <v>753</v>
      </c>
      <c r="D17" s="65"/>
      <c r="E17" s="41">
        <v>6</v>
      </c>
      <c r="F17" s="41">
        <v>6</v>
      </c>
      <c r="G17" s="41">
        <v>8</v>
      </c>
      <c r="H17" s="42"/>
      <c r="I17" s="42">
        <v>0</v>
      </c>
      <c r="J17" s="42">
        <v>6</v>
      </c>
    </row>
    <row r="18" spans="2:12">
      <c r="B18" s="63" t="s">
        <v>761</v>
      </c>
      <c r="C18" s="64" t="s">
        <v>753</v>
      </c>
      <c r="D18" s="65"/>
      <c r="E18" s="41">
        <v>25</v>
      </c>
      <c r="F18" s="41">
        <v>25</v>
      </c>
      <c r="G18" s="41">
        <v>28</v>
      </c>
      <c r="H18" s="42"/>
      <c r="I18" s="42">
        <v>22</v>
      </c>
      <c r="J18" s="42"/>
    </row>
    <row r="19" spans="2:12">
      <c r="B19" s="63" t="s">
        <v>788</v>
      </c>
      <c r="C19" s="64" t="s">
        <v>789</v>
      </c>
      <c r="D19" s="43">
        <v>0.05</v>
      </c>
      <c r="E19" s="65"/>
      <c r="F19" s="65"/>
      <c r="G19" s="65"/>
      <c r="H19" s="66"/>
      <c r="I19" s="66"/>
      <c r="J19" s="66"/>
    </row>
    <row r="20" spans="2:12">
      <c r="B20" s="63" t="s">
        <v>393</v>
      </c>
      <c r="C20" s="64" t="s">
        <v>23</v>
      </c>
      <c r="D20" s="43">
        <v>26</v>
      </c>
      <c r="E20" s="65"/>
      <c r="F20" s="65"/>
      <c r="G20" s="65"/>
      <c r="H20" s="66"/>
      <c r="I20" s="66"/>
      <c r="J20" s="66"/>
    </row>
    <row r="21" spans="2:12">
      <c r="B21" s="63" t="s">
        <v>394</v>
      </c>
      <c r="C21" s="64" t="s">
        <v>24</v>
      </c>
      <c r="D21" s="43">
        <v>3.25</v>
      </c>
      <c r="E21" s="65"/>
      <c r="F21" s="65"/>
      <c r="G21" s="65"/>
      <c r="H21" s="66"/>
      <c r="I21" s="66"/>
      <c r="J21" s="66"/>
    </row>
    <row r="22" spans="2:12">
      <c r="B22" s="54" t="s">
        <v>16</v>
      </c>
      <c r="C22" s="55" t="s">
        <v>391</v>
      </c>
      <c r="D22" s="263">
        <v>0.09</v>
      </c>
      <c r="E22" s="65"/>
      <c r="F22" s="65"/>
      <c r="G22" s="65"/>
      <c r="H22" s="66"/>
      <c r="I22" s="66"/>
      <c r="J22" s="66"/>
    </row>
    <row r="23" spans="2:12">
      <c r="B23" s="63"/>
      <c r="C23" s="64"/>
      <c r="D23" s="66"/>
      <c r="E23" s="65"/>
      <c r="F23" s="65"/>
      <c r="G23" s="65"/>
      <c r="H23" s="66"/>
      <c r="I23" s="66"/>
      <c r="J23" s="66"/>
    </row>
    <row r="24" spans="2:12">
      <c r="B24" s="67" t="s">
        <v>25</v>
      </c>
      <c r="C24" s="57"/>
      <c r="D24" s="66"/>
      <c r="E24" s="66"/>
      <c r="F24" s="66"/>
      <c r="G24" s="66"/>
      <c r="H24" s="66"/>
      <c r="I24" s="66"/>
      <c r="J24" s="66"/>
    </row>
    <row r="25" spans="2:12">
      <c r="B25" s="58" t="s">
        <v>26</v>
      </c>
      <c r="C25" s="59" t="s">
        <v>813</v>
      </c>
      <c r="D25" s="248">
        <v>0.01</v>
      </c>
      <c r="E25" s="66"/>
      <c r="F25" s="66"/>
      <c r="G25" s="66"/>
      <c r="H25" s="66"/>
      <c r="I25" s="66"/>
      <c r="J25" s="66"/>
    </row>
    <row r="26" spans="2:12">
      <c r="B26" s="45" t="s">
        <v>45</v>
      </c>
      <c r="C26" s="57" t="s">
        <v>27</v>
      </c>
      <c r="D26" s="42"/>
      <c r="E26" s="42">
        <v>185</v>
      </c>
      <c r="F26" s="42">
        <v>222</v>
      </c>
      <c r="G26" s="42">
        <v>185</v>
      </c>
      <c r="H26" s="42"/>
      <c r="I26" s="42">
        <v>145</v>
      </c>
      <c r="J26" s="42">
        <v>145</v>
      </c>
    </row>
    <row r="27" spans="2:12"/>
    <row r="28" spans="2:12" hidden="1">
      <c r="C28" s="68"/>
      <c r="E28" s="69"/>
      <c r="F28" s="69"/>
      <c r="G28" s="69"/>
      <c r="H28" s="69"/>
      <c r="I28" s="69"/>
      <c r="J28" s="69"/>
      <c r="K28" s="69"/>
      <c r="L28" s="69"/>
    </row>
    <row r="29" spans="2:12" hidden="1">
      <c r="E29" s="69"/>
      <c r="F29" s="69"/>
      <c r="G29" s="69"/>
      <c r="H29" s="69"/>
      <c r="I29" s="69"/>
      <c r="J29" s="69"/>
      <c r="K29" s="69"/>
      <c r="L29" s="69"/>
    </row>
  </sheetData>
  <sheetProtection sheet="1" selectLockedCells="1"/>
  <protectedRanges>
    <protectedRange sqref="D6:D14 E15:J18 D19:D22 D25:D26 E26:J26" name="Grey cells_2"/>
  </protectedRanges>
  <mergeCells count="5">
    <mergeCell ref="G2:H2"/>
    <mergeCell ref="B1:D1"/>
    <mergeCell ref="J2:J3"/>
    <mergeCell ref="I2:I3"/>
    <mergeCell ref="E2:F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67387-FB9B-4243-AC08-56DE51C01A62}">
  <sheetPr codeName="Sheet3"/>
  <dimension ref="A1:L25"/>
  <sheetViews>
    <sheetView workbookViewId="0">
      <selection activeCell="D8" sqref="D8"/>
    </sheetView>
  </sheetViews>
  <sheetFormatPr defaultColWidth="0" defaultRowHeight="16" customHeight="1" zeroHeight="1"/>
  <cols>
    <col min="1" max="1" width="29" customWidth="1"/>
    <col min="2" max="2" width="15.1640625" customWidth="1"/>
    <col min="3" max="8" width="13.1640625" customWidth="1"/>
    <col min="9" max="9" width="9" customWidth="1"/>
    <col min="10" max="12" width="0" hidden="1" customWidth="1"/>
    <col min="13" max="16384" width="9" hidden="1"/>
  </cols>
  <sheetData>
    <row r="1" spans="1:11" ht="21">
      <c r="A1" s="320" t="s">
        <v>696</v>
      </c>
      <c r="B1" s="321"/>
      <c r="C1" s="321"/>
      <c r="D1" s="321"/>
      <c r="E1" s="245"/>
      <c r="F1" s="245"/>
      <c r="G1" s="245"/>
      <c r="H1" s="245"/>
    </row>
    <row r="2" spans="1:11" ht="17.5">
      <c r="C2" s="47" t="s">
        <v>0</v>
      </c>
      <c r="D2" s="47" t="s">
        <v>1</v>
      </c>
      <c r="F2" s="47"/>
      <c r="G2" s="47"/>
      <c r="H2" s="47"/>
    </row>
    <row r="3" spans="1:11" ht="17.5">
      <c r="A3" s="265" t="s">
        <v>388</v>
      </c>
      <c r="B3" s="246" t="s">
        <v>4</v>
      </c>
      <c r="C3" s="246" t="s">
        <v>879</v>
      </c>
      <c r="D3" s="49" t="s">
        <v>7</v>
      </c>
      <c r="F3" s="47"/>
      <c r="G3" s="47"/>
      <c r="H3" s="47"/>
    </row>
    <row r="4" spans="1:11" ht="17.5">
      <c r="C4" s="53"/>
      <c r="D4" s="52"/>
      <c r="F4" s="47"/>
      <c r="G4" s="47"/>
      <c r="H4" s="47"/>
    </row>
    <row r="5" spans="1:11" ht="17.5">
      <c r="A5" s="54" t="s">
        <v>9</v>
      </c>
      <c r="B5" s="59" t="s">
        <v>33</v>
      </c>
      <c r="C5" s="40">
        <v>140</v>
      </c>
      <c r="D5" s="40">
        <v>45</v>
      </c>
      <c r="F5" s="314"/>
      <c r="G5" s="314"/>
      <c r="H5" s="314"/>
    </row>
    <row r="6" spans="1:11" ht="17.5">
      <c r="A6" s="54" t="s">
        <v>790</v>
      </c>
      <c r="B6" s="59" t="s">
        <v>821</v>
      </c>
      <c r="C6" s="242">
        <v>0.17</v>
      </c>
      <c r="D6" s="242">
        <v>0.13</v>
      </c>
      <c r="F6" s="315"/>
      <c r="G6" s="315"/>
      <c r="H6" s="315"/>
    </row>
    <row r="7" spans="1:11" ht="17.5">
      <c r="A7" s="54" t="s">
        <v>827</v>
      </c>
      <c r="B7" s="59" t="s">
        <v>822</v>
      </c>
      <c r="C7" s="264">
        <v>8</v>
      </c>
      <c r="D7" s="264">
        <v>21.5</v>
      </c>
      <c r="F7" s="316"/>
      <c r="G7" s="316"/>
      <c r="H7" s="316"/>
    </row>
    <row r="8" spans="1:11" ht="17.5">
      <c r="A8" s="54"/>
      <c r="B8" s="54"/>
      <c r="C8" s="56"/>
      <c r="D8" s="56"/>
      <c r="F8" s="54"/>
      <c r="G8" s="54"/>
      <c r="H8" s="54"/>
    </row>
    <row r="9" spans="1:11" ht="17.5">
      <c r="A9" s="51" t="s">
        <v>392</v>
      </c>
      <c r="B9" s="51"/>
      <c r="C9" s="56"/>
      <c r="D9" s="56"/>
      <c r="F9" s="54"/>
      <c r="G9" s="54"/>
      <c r="H9" s="54"/>
    </row>
    <row r="10" spans="1:11" ht="17.5">
      <c r="A10" s="311" t="s">
        <v>10</v>
      </c>
      <c r="B10" s="55" t="s">
        <v>830</v>
      </c>
      <c r="C10" s="312">
        <v>80000</v>
      </c>
      <c r="D10" s="312">
        <v>140000</v>
      </c>
      <c r="F10" s="317"/>
      <c r="G10" s="317"/>
      <c r="H10" s="317"/>
    </row>
    <row r="11" spans="1:11" ht="17.5">
      <c r="A11" s="54" t="s">
        <v>699</v>
      </c>
      <c r="B11" s="55"/>
      <c r="C11" s="312">
        <v>30000</v>
      </c>
      <c r="D11" s="312">
        <v>140000</v>
      </c>
      <c r="F11" s="317"/>
      <c r="G11" s="317"/>
      <c r="H11" s="317"/>
    </row>
    <row r="12" spans="1:11" ht="17.5">
      <c r="A12" s="54" t="s">
        <v>794</v>
      </c>
      <c r="B12" s="55" t="s">
        <v>823</v>
      </c>
      <c r="C12" s="39"/>
      <c r="D12" s="185"/>
      <c r="F12" s="318"/>
      <c r="G12" s="318"/>
      <c r="H12" s="318"/>
    </row>
    <row r="13" spans="1:11" ht="17.5">
      <c r="A13" s="54" t="s">
        <v>793</v>
      </c>
      <c r="B13" s="55" t="s">
        <v>823</v>
      </c>
      <c r="C13" s="39"/>
      <c r="D13" s="185"/>
      <c r="F13" s="318"/>
      <c r="G13" s="318"/>
      <c r="H13" s="318"/>
      <c r="J13" s="247">
        <f>C12-C13</f>
        <v>0</v>
      </c>
      <c r="K13" s="247" t="e">
        <f>#REF!-#REF!</f>
        <v>#REF!</v>
      </c>
    </row>
    <row r="14" spans="1:11" ht="17.5">
      <c r="A14" s="54" t="s">
        <v>11</v>
      </c>
      <c r="B14" s="55" t="s">
        <v>823</v>
      </c>
      <c r="C14" s="39"/>
      <c r="D14" s="39"/>
      <c r="F14" s="318"/>
      <c r="G14" s="318"/>
      <c r="H14" s="318"/>
      <c r="J14" s="247">
        <f>C13</f>
        <v>0</v>
      </c>
      <c r="K14" s="247" t="e">
        <f>#REF!</f>
        <v>#REF!</v>
      </c>
    </row>
    <row r="15" spans="1:11" ht="17.5">
      <c r="A15" s="54" t="s">
        <v>12</v>
      </c>
      <c r="B15" s="55" t="s">
        <v>823</v>
      </c>
      <c r="C15" s="313"/>
      <c r="D15" s="313"/>
      <c r="F15" s="318"/>
      <c r="G15" s="318"/>
      <c r="H15" s="318"/>
    </row>
    <row r="16" spans="1:11" ht="17.5">
      <c r="A16" s="54" t="s">
        <v>652</v>
      </c>
      <c r="B16" s="55" t="s">
        <v>823</v>
      </c>
      <c r="C16" s="313"/>
      <c r="D16" s="313"/>
      <c r="F16" s="318"/>
      <c r="G16" s="318"/>
      <c r="H16" s="318"/>
    </row>
    <row r="17" spans="1:8" ht="17.5">
      <c r="A17" s="54" t="s">
        <v>653</v>
      </c>
      <c r="B17" s="55" t="s">
        <v>823</v>
      </c>
      <c r="C17" s="313"/>
      <c r="D17" s="313"/>
      <c r="F17" s="318"/>
      <c r="G17" s="318"/>
      <c r="H17" s="318"/>
    </row>
    <row r="18" spans="1:8" ht="17.5">
      <c r="A18" s="54" t="s">
        <v>654</v>
      </c>
      <c r="B18" s="55" t="s">
        <v>823</v>
      </c>
      <c r="C18" s="313"/>
      <c r="D18" s="313"/>
      <c r="F18" s="318"/>
      <c r="G18" s="318"/>
      <c r="H18" s="318"/>
    </row>
    <row r="19" spans="1:8" ht="17.5">
      <c r="A19" s="54" t="s">
        <v>759</v>
      </c>
      <c r="B19" s="55" t="s">
        <v>823</v>
      </c>
      <c r="C19" s="313"/>
      <c r="D19" s="313"/>
      <c r="F19" s="318"/>
      <c r="G19" s="318"/>
      <c r="H19" s="318"/>
    </row>
    <row r="20" spans="1:8" ht="17.5">
      <c r="A20" s="54" t="s">
        <v>13</v>
      </c>
      <c r="B20" s="55" t="s">
        <v>824</v>
      </c>
      <c r="C20" s="313">
        <v>0.6</v>
      </c>
      <c r="D20" s="313">
        <v>0.5</v>
      </c>
      <c r="F20" s="318"/>
      <c r="G20" s="318"/>
      <c r="H20" s="318"/>
    </row>
    <row r="21" spans="1:8" ht="17.5">
      <c r="A21" s="58" t="s">
        <v>14</v>
      </c>
      <c r="B21" s="59" t="s">
        <v>825</v>
      </c>
      <c r="C21" s="313"/>
      <c r="D21" s="39"/>
      <c r="F21" s="318"/>
      <c r="G21" s="318"/>
      <c r="H21" s="318"/>
    </row>
    <row r="22" spans="1:8" ht="17.5">
      <c r="A22" s="54" t="s">
        <v>754</v>
      </c>
      <c r="B22" s="59" t="s">
        <v>825</v>
      </c>
      <c r="C22" s="313" t="s">
        <v>880</v>
      </c>
      <c r="D22" s="39"/>
      <c r="F22" s="318"/>
      <c r="G22" s="318"/>
      <c r="H22" s="318"/>
    </row>
    <row r="23" spans="1:8" ht="17.5">
      <c r="A23" s="54" t="s">
        <v>755</v>
      </c>
      <c r="B23" s="59" t="s">
        <v>825</v>
      </c>
      <c r="C23" s="313"/>
      <c r="D23" s="39"/>
      <c r="F23" s="318"/>
      <c r="G23" s="318"/>
      <c r="H23" s="318"/>
    </row>
    <row r="24" spans="1:8" ht="17.5">
      <c r="A24" s="54" t="s">
        <v>756</v>
      </c>
      <c r="B24" s="55" t="s">
        <v>826</v>
      </c>
      <c r="C24" s="313"/>
      <c r="D24" s="39"/>
      <c r="F24" s="318"/>
      <c r="G24" s="318"/>
      <c r="H24" s="318"/>
    </row>
    <row r="25" spans="1:8" ht="17.5">
      <c r="C25" s="254">
        <v>0.14499999999999999</v>
      </c>
      <c r="D25" s="254">
        <v>0.14499999999999999</v>
      </c>
      <c r="E25" s="254">
        <v>0.13</v>
      </c>
      <c r="F25" s="254">
        <v>0.13</v>
      </c>
      <c r="G25" s="254">
        <v>0.12</v>
      </c>
      <c r="H25" s="254">
        <v>0.13500000000000001</v>
      </c>
    </row>
  </sheetData>
  <sheetProtection sheet="1" objects="1" scenarios="1"/>
  <protectedRanges>
    <protectedRange sqref="D5:D7 D10:D24 C10:C24 F10:H24 C5:C7 F5:H7" name="Grey cells_1_1"/>
  </protectedRanges>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EB039-82E9-442A-9EE2-49A0D79EC575}">
  <sheetPr codeName="Sheet4"/>
  <dimension ref="A1:O32"/>
  <sheetViews>
    <sheetView workbookViewId="0">
      <selection activeCell="B5" sqref="B5"/>
    </sheetView>
  </sheetViews>
  <sheetFormatPr defaultColWidth="8.83203125" defaultRowHeight="16.5"/>
  <cols>
    <col min="1" max="1" width="23" bestFit="1" customWidth="1"/>
    <col min="2" max="2" width="13.1640625" bestFit="1" customWidth="1"/>
    <col min="3" max="3" width="14.1640625" bestFit="1" customWidth="1"/>
    <col min="4" max="4" width="13.33203125" bestFit="1" customWidth="1"/>
    <col min="5" max="5" width="13.33203125" customWidth="1"/>
  </cols>
  <sheetData>
    <row r="1" spans="1:15">
      <c r="A1" s="325" t="s">
        <v>655</v>
      </c>
      <c r="B1" s="325"/>
      <c r="C1" s="325"/>
      <c r="D1" s="325"/>
      <c r="E1" s="213"/>
    </row>
    <row r="2" spans="1:15">
      <c r="B2" s="323" t="s">
        <v>657</v>
      </c>
      <c r="C2" s="324"/>
      <c r="D2" s="324"/>
      <c r="E2" s="214"/>
    </row>
    <row r="3" spans="1:15">
      <c r="A3" s="184"/>
      <c r="B3" s="184" t="s">
        <v>656</v>
      </c>
      <c r="C3" s="184" t="s">
        <v>757</v>
      </c>
      <c r="D3" s="184" t="s">
        <v>733</v>
      </c>
    </row>
    <row r="4" spans="1:15">
      <c r="A4" s="1" t="s">
        <v>400</v>
      </c>
    </row>
    <row r="5" spans="1:15">
      <c r="A5" s="182" t="s">
        <v>59</v>
      </c>
      <c r="B5" s="230">
        <f>B25*N5*B23/B10/60*'Input prices'!D21</f>
        <v>5.004999999999999</v>
      </c>
      <c r="C5" s="230">
        <f>21.08*N5/C29*'Input prices'!$D$21/C10</f>
        <v>2.0988231733333329</v>
      </c>
      <c r="D5" s="230">
        <f>21.08*N5/D29*'Input prices'!$D$21/D10</f>
        <v>2.7284701253333328</v>
      </c>
      <c r="E5" t="s">
        <v>742</v>
      </c>
      <c r="F5" t="s">
        <v>734</v>
      </c>
      <c r="N5">
        <v>4.3999999999999997E-2</v>
      </c>
      <c r="O5" t="s">
        <v>735</v>
      </c>
    </row>
    <row r="6" spans="1:15">
      <c r="A6" s="182" t="s">
        <v>658</v>
      </c>
      <c r="B6" s="230" t="e">
        <f>B13*B26/B24/D32</f>
        <v>#DIV/0!</v>
      </c>
      <c r="C6" s="230" t="e">
        <f>C13*E26/80/D32</f>
        <v>#DIV/0!</v>
      </c>
      <c r="D6" s="230" t="e">
        <f>D13*E26/80/D32</f>
        <v>#DIV/0!</v>
      </c>
      <c r="E6" t="s">
        <v>742</v>
      </c>
      <c r="F6" t="s">
        <v>776</v>
      </c>
      <c r="N6" t="s">
        <v>737</v>
      </c>
    </row>
    <row r="7" spans="1:15">
      <c r="A7" s="182" t="s">
        <v>58</v>
      </c>
      <c r="B7" s="230" t="e">
        <f>(2+8+0.5*D32)/B24*'Input prices'!D20/D32</f>
        <v>#DIV/0!</v>
      </c>
      <c r="C7" s="230" t="e">
        <f>(2+1+1)*D32/80*'Input prices'!D20/D32</f>
        <v>#DIV/0!</v>
      </c>
      <c r="D7" s="230" t="e">
        <f>(2+1+2*D32)/80*'Input prices'!D20/'Irrigation costs'!D32</f>
        <v>#DIV/0!</v>
      </c>
      <c r="E7" t="s">
        <v>742</v>
      </c>
      <c r="F7" t="s">
        <v>664</v>
      </c>
    </row>
    <row r="8" spans="1:15">
      <c r="A8" s="182" t="s">
        <v>743</v>
      </c>
      <c r="B8" s="230"/>
      <c r="C8" s="230" t="e">
        <f>7.5/D32</f>
        <v>#DIV/0!</v>
      </c>
      <c r="D8" s="230"/>
      <c r="E8" t="s">
        <v>742</v>
      </c>
      <c r="F8" t="s">
        <v>751</v>
      </c>
    </row>
    <row r="9" spans="1:15">
      <c r="A9" s="182" t="s">
        <v>814</v>
      </c>
      <c r="B9" s="230"/>
      <c r="C9" s="230"/>
      <c r="D9" s="230" t="e">
        <f>10/D32</f>
        <v>#DIV/0!</v>
      </c>
      <c r="E9" t="s">
        <v>742</v>
      </c>
    </row>
    <row r="10" spans="1:15">
      <c r="A10" s="183" t="s">
        <v>744</v>
      </c>
      <c r="B10" s="219">
        <v>0.9</v>
      </c>
      <c r="C10" s="219">
        <v>0.65</v>
      </c>
      <c r="D10" s="219">
        <v>0.5</v>
      </c>
      <c r="F10" t="s">
        <v>752</v>
      </c>
    </row>
    <row r="11" spans="1:15">
      <c r="A11" s="233" t="s">
        <v>779</v>
      </c>
      <c r="B11" s="234" t="e">
        <f>SUM(B5:B9)/B10</f>
        <v>#DIV/0!</v>
      </c>
      <c r="C11" s="234" t="e">
        <f t="shared" ref="C11:D11" si="0">SUM(C5:C9)/C10</f>
        <v>#DIV/0!</v>
      </c>
      <c r="D11" s="234" t="e">
        <f t="shared" si="0"/>
        <v>#DIV/0!</v>
      </c>
      <c r="E11" t="s">
        <v>780</v>
      </c>
    </row>
    <row r="12" spans="1:15">
      <c r="A12" s="1" t="s">
        <v>665</v>
      </c>
    </row>
    <row r="13" spans="1:15">
      <c r="A13" s="182" t="s">
        <v>659</v>
      </c>
      <c r="B13" s="231">
        <v>55000</v>
      </c>
      <c r="C13" s="231">
        <v>20000</v>
      </c>
      <c r="D13" s="231">
        <v>25000</v>
      </c>
      <c r="F13" t="s">
        <v>832</v>
      </c>
      <c r="J13" t="s">
        <v>833</v>
      </c>
      <c r="N13" t="s">
        <v>839</v>
      </c>
    </row>
    <row r="14" spans="1:15">
      <c r="A14" s="182" t="s">
        <v>660</v>
      </c>
      <c r="B14" s="231">
        <v>30</v>
      </c>
      <c r="C14" s="231">
        <v>30</v>
      </c>
      <c r="D14" s="231">
        <v>30</v>
      </c>
    </row>
    <row r="15" spans="1:15">
      <c r="A15" s="183" t="s">
        <v>663</v>
      </c>
      <c r="B15" s="232">
        <v>40000</v>
      </c>
      <c r="C15" s="232">
        <v>5000</v>
      </c>
      <c r="D15" s="232">
        <v>7500</v>
      </c>
    </row>
    <row r="16" spans="1:15">
      <c r="A16" s="182" t="s">
        <v>745</v>
      </c>
      <c r="C16">
        <v>3</v>
      </c>
      <c r="D16">
        <v>3</v>
      </c>
      <c r="E16" t="s">
        <v>746</v>
      </c>
      <c r="G16" t="s">
        <v>749</v>
      </c>
      <c r="K16" t="s">
        <v>750</v>
      </c>
    </row>
    <row r="17" spans="1:10">
      <c r="A17" s="182" t="s">
        <v>778</v>
      </c>
      <c r="B17" s="217" t="e">
        <f>((B13-B15)/B14+B13/2*'Input prices'!$D$22)/120/D32</f>
        <v>#DIV/0!</v>
      </c>
      <c r="C17" s="217" t="e">
        <f>((C13-C15)/C14+C13/2*'Input prices'!$D$22)/80/D32</f>
        <v>#DIV/0!</v>
      </c>
      <c r="D17" s="217" t="e">
        <f>((D13-D15)/D14+D13/2*'Input prices'!$D$22)/80/D32</f>
        <v>#DIV/0!</v>
      </c>
    </row>
    <row r="18" spans="1:10">
      <c r="A18" s="182" t="s">
        <v>781</v>
      </c>
      <c r="B18" s="235" t="e">
        <f>B11+B17</f>
        <v>#DIV/0!</v>
      </c>
      <c r="C18" s="235" t="e">
        <f t="shared" ref="C18:D18" si="1">C11+C17</f>
        <v>#DIV/0!</v>
      </c>
      <c r="D18" s="235" t="e">
        <f t="shared" si="1"/>
        <v>#DIV/0!</v>
      </c>
    </row>
    <row r="21" spans="1:10">
      <c r="J21" t="s">
        <v>656</v>
      </c>
    </row>
    <row r="22" spans="1:10">
      <c r="B22" t="s">
        <v>736</v>
      </c>
      <c r="E22" s="236">
        <v>110000</v>
      </c>
      <c r="J22" t="s">
        <v>757</v>
      </c>
    </row>
    <row r="23" spans="1:10">
      <c r="B23">
        <v>35</v>
      </c>
      <c r="C23" t="s">
        <v>739</v>
      </c>
      <c r="J23" t="s">
        <v>733</v>
      </c>
    </row>
    <row r="24" spans="1:10">
      <c r="B24">
        <v>127</v>
      </c>
      <c r="C24" t="s">
        <v>740</v>
      </c>
      <c r="J24" t="s">
        <v>758</v>
      </c>
    </row>
    <row r="25" spans="1:10">
      <c r="B25">
        <v>54</v>
      </c>
      <c r="C25" t="s">
        <v>738</v>
      </c>
    </row>
    <row r="26" spans="1:10">
      <c r="B26" s="218">
        <v>0.03</v>
      </c>
      <c r="C26" t="s">
        <v>741</v>
      </c>
      <c r="E26" s="218">
        <v>0.06</v>
      </c>
    </row>
    <row r="28" spans="1:10">
      <c r="C28">
        <v>1000</v>
      </c>
      <c r="D28">
        <v>1000</v>
      </c>
      <c r="E28" t="s">
        <v>747</v>
      </c>
    </row>
    <row r="29" spans="1:10">
      <c r="C29">
        <f>C28*60/27154</f>
        <v>2.2096192089563234</v>
      </c>
      <c r="D29">
        <f>D28*60/27154</f>
        <v>2.2096192089563234</v>
      </c>
      <c r="E29" t="s">
        <v>748</v>
      </c>
    </row>
    <row r="32" spans="1:10">
      <c r="B32" t="s">
        <v>777</v>
      </c>
      <c r="D32" s="244" t="e">
        <f>AVERAGE('Input quantities'!C24:H24)</f>
        <v>#DIV/0!</v>
      </c>
    </row>
  </sheetData>
  <mergeCells count="2">
    <mergeCell ref="B2:D2"/>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157C2-99E9-4674-8D1B-57F97E1A6AA7}">
  <sheetPr codeName="Sheet11"/>
  <dimension ref="A1:CY142"/>
  <sheetViews>
    <sheetView workbookViewId="0">
      <selection activeCell="C9" sqref="C9"/>
    </sheetView>
  </sheetViews>
  <sheetFormatPr defaultColWidth="0" defaultRowHeight="0" customHeight="1" zeroHeight="1"/>
  <cols>
    <col min="1" max="1" width="2.83203125" style="100" customWidth="1"/>
    <col min="2" max="2" width="30.83203125" style="100" customWidth="1"/>
    <col min="3" max="3" width="20.83203125" style="100" bestFit="1" customWidth="1"/>
    <col min="4" max="4" width="13" style="100" customWidth="1"/>
    <col min="5" max="5" width="12.5" style="100" customWidth="1"/>
    <col min="6" max="7" width="10" style="100" customWidth="1"/>
    <col min="8" max="8" width="11.6640625" style="100" customWidth="1"/>
    <col min="9" max="9" width="10.6640625" style="100" customWidth="1"/>
    <col min="10" max="10" width="2.83203125" style="100" customWidth="1"/>
    <col min="11" max="103" width="0" hidden="1" customWidth="1"/>
    <col min="104" max="16384" width="9" style="100" hidden="1"/>
  </cols>
  <sheetData>
    <row r="1" spans="1:10" ht="23.25" customHeight="1">
      <c r="B1" s="336" t="s">
        <v>698</v>
      </c>
      <c r="C1" s="337"/>
      <c r="D1" s="337"/>
      <c r="E1" s="337"/>
      <c r="F1" s="337"/>
      <c r="G1" s="337"/>
      <c r="H1" s="337"/>
      <c r="I1" s="337"/>
    </row>
    <row r="2" spans="1:10" ht="16.5">
      <c r="A2" s="141"/>
      <c r="B2" s="335" t="s">
        <v>697</v>
      </c>
      <c r="C2" s="335"/>
      <c r="D2" s="335"/>
      <c r="E2" s="335"/>
      <c r="F2" s="335"/>
      <c r="G2" s="335"/>
      <c r="H2" s="335"/>
      <c r="I2" s="335"/>
    </row>
    <row r="3" spans="1:10" ht="16.5">
      <c r="B3" s="335"/>
      <c r="C3" s="335"/>
      <c r="D3" s="335"/>
      <c r="E3" s="335"/>
      <c r="F3" s="335"/>
      <c r="G3" s="335"/>
      <c r="H3" s="335"/>
      <c r="I3" s="335"/>
    </row>
    <row r="4" spans="1:10" ht="16.5">
      <c r="B4" s="329" t="s">
        <v>877</v>
      </c>
      <c r="C4" s="329"/>
      <c r="D4" s="329"/>
      <c r="E4" s="329"/>
      <c r="F4" s="329"/>
      <c r="G4" s="329"/>
      <c r="H4" s="329"/>
      <c r="I4" s="329"/>
      <c r="J4" s="143"/>
    </row>
    <row r="5" spans="1:10" ht="28.5" customHeight="1">
      <c r="B5" s="326" t="s">
        <v>535</v>
      </c>
      <c r="C5" s="328" t="s">
        <v>536</v>
      </c>
      <c r="D5" s="261" t="s">
        <v>15</v>
      </c>
      <c r="E5" s="328" t="s">
        <v>537</v>
      </c>
      <c r="F5" s="328" t="s">
        <v>538</v>
      </c>
      <c r="G5" s="144" t="s">
        <v>539</v>
      </c>
      <c r="H5" s="144" t="s">
        <v>540</v>
      </c>
      <c r="I5" s="330" t="s">
        <v>541</v>
      </c>
      <c r="J5" s="145"/>
    </row>
    <row r="6" spans="1:10" ht="16.5">
      <c r="B6" s="327"/>
      <c r="C6" s="329"/>
      <c r="D6" s="262" t="s">
        <v>810</v>
      </c>
      <c r="E6" s="329"/>
      <c r="F6" s="329"/>
      <c r="G6" s="142" t="s">
        <v>554</v>
      </c>
      <c r="H6" s="142" t="s">
        <v>554</v>
      </c>
      <c r="I6" s="331"/>
      <c r="J6" s="145"/>
    </row>
    <row r="7" spans="1:10" ht="16.5">
      <c r="B7" s="149"/>
      <c r="C7" s="149"/>
      <c r="D7" s="150" t="s">
        <v>560</v>
      </c>
      <c r="E7" s="150" t="s">
        <v>557</v>
      </c>
      <c r="F7" s="150" t="s">
        <v>558</v>
      </c>
      <c r="G7" s="150" t="s">
        <v>559</v>
      </c>
      <c r="H7" s="150" t="s">
        <v>559</v>
      </c>
      <c r="I7" s="150" t="s">
        <v>561</v>
      </c>
      <c r="J7" s="150"/>
    </row>
    <row r="8" spans="1:10" ht="16.5">
      <c r="B8" s="300" t="s">
        <v>866</v>
      </c>
      <c r="C8" s="300" t="s">
        <v>881</v>
      </c>
      <c r="D8" s="301">
        <v>1</v>
      </c>
      <c r="E8" s="141">
        <f>IFERROR(IF(ISBLANK(C8),"",IF(OR(ISBLANK(B8),IFERROR(VLOOKUP(B8,'Machinery Input Tables'!$B$6:$AF$121,13,FALSE),"")='Machinery Input Tables'!$N$128),1,VLOOKUP(B8,'Machinery Input Tables'!$B$6:$AF$121,28,FALSE))*VLOOKUP(C8,'Machinery Input Tables'!$AH$6:$BA$30,19,FALSE))*D8,"-")</f>
        <v>0.77647058823529402</v>
      </c>
      <c r="F8" s="141">
        <f>IFERROR(IF(AND(ISBLANK(B8)*ISBLANK(C8)),"",IF(ISBLANK(B8),1,IF(VLOOKUP(B8,'Machinery Input Tables'!$B$6:$AF$121,13,FALSE)='Machinery Input Tables'!$N$128,VLOOKUP(B8,'Machinery Input Tables'!$B$6:$AF$121,17,FALSE),VLOOKUP(B8,'Machinery Input Tables'!$B$6:$AF$121,28,FALSE))))*D8,"-")</f>
        <v>8.8235294117647065E-2</v>
      </c>
      <c r="G8" s="152">
        <f>IFERROR(IF(ISBLANK(C8),"",E8*'Machinery Input Tables'!$BP$10*'Machinery Input Tables'!$BP$11+E8*'Machinery Input Tables'!$BP$10+F8*'Machinery Input Tables'!$BP$6+(VLOOKUP(C8,'Machinery Input Tables'!$AH$6:$BA$30,18,FALSE)*IF(IFERROR(VLOOKUP(B8,'Machinery Input Tables'!$B$6:$AF$121,13,FALSE)='Machinery Input Tables'!$N$128,1),1,VLOOKUP(B8,'Machinery Input Tables'!$B$6:$AF$121,28,FALSE))+IFERROR(VLOOKUP(B8,'Machinery Input Tables'!$B$6:$AF$121,27,FALSE),0))*D8),"-")</f>
        <v>8.4272624866121184</v>
      </c>
      <c r="H8" s="141">
        <f>IFERROR((IFERROR(VLOOKUP(B8,'Machinery Input Tables'!$B$6:$AF$121,24,FALSE),0)+VLOOKUP(C8,'Machinery Input Tables'!$AH$6:$BA$30,20,FALSE))*IF(IFERROR(VLOOKUP(B8,'Machinery Input Tables'!$B$6:$AF$121,13,FALSE)='Machinery Input Tables'!$N$128,1),1,VLOOKUP(B8,'Machinery Input Tables'!$B$6:$AF$121,28,FALSE))*D8,"-")</f>
        <v>12.73136686869473</v>
      </c>
      <c r="I8" s="152">
        <f>IFERROR(IF(ISBLANK(AND(B8,C8)),"",SUM(G8:H8)),"-")</f>
        <v>21.15862935530685</v>
      </c>
      <c r="J8" s="152"/>
    </row>
    <row r="9" spans="1:10" ht="16.5">
      <c r="B9" s="300" t="s">
        <v>868</v>
      </c>
      <c r="C9" s="300" t="s">
        <v>881</v>
      </c>
      <c r="D9" s="301">
        <v>2</v>
      </c>
      <c r="E9" s="141">
        <f>IFERROR(IF(ISBLANK(C9),"",IF(OR(ISBLANK(B9),IFERROR(VLOOKUP(B9,'Machinery Input Tables'!$B$6:$AF$121,13,FALSE),"")='Machinery Input Tables'!$N$128),1,VLOOKUP(B9,'Machinery Input Tables'!$B$6:$AF$121,28,FALSE))*VLOOKUP(C9,'Machinery Input Tables'!$AH$6:$BA$30,19,FALSE))*D9,"-")</f>
        <v>1.44047619047619</v>
      </c>
      <c r="F9" s="141">
        <f>IFERROR(IF(AND(ISBLANK(B9)*ISBLANK(C9)),"",IF(ISBLANK(B9),1,IF(VLOOKUP(B9,'Machinery Input Tables'!$B$6:$AF$121,13,FALSE)='Machinery Input Tables'!$N$128,VLOOKUP(B9,'Machinery Input Tables'!$B$6:$AF$121,17,FALSE),VLOOKUP(B9,'Machinery Input Tables'!$B$6:$AF$121,28,FALSE))))*D9,"-")</f>
        <v>0.16369047619047616</v>
      </c>
      <c r="G9" s="152">
        <f>IFERROR(IF(ISBLANK(C9),"",E9*'Machinery Input Tables'!$BP$10+F9*'Machinery Input Tables'!$BP$6+(VLOOKUP(C9,'Machinery Input Tables'!$AH$6:$BA$30,18,FALSE)*IF(IFERROR(VLOOKUP(B9,'Machinery Input Tables'!$B$6:$AF$121,13,FALSE)='Machinery Input Tables'!$N$128,1),1,VLOOKUP(B9,'Machinery Input Tables'!$B$6:$AF$121,28,FALSE))+IFERROR(VLOOKUP(B9,'Machinery Input Tables'!$B$6:$AF$121,27,FALSE),0))*D9),"-")</f>
        <v>15.849080958305125</v>
      </c>
      <c r="H9" s="141">
        <f>IFERROR((IFERROR(VLOOKUP(B9,'Machinery Input Tables'!$B$6:$AF$121,24,FALSE),0)+VLOOKUP(C9,'Machinery Input Tables'!$AH$6:$BA$30,20,FALSE))*IF(IFERROR(VLOOKUP(B9,'Machinery Input Tables'!$B$6:$AF$121,13,FALSE)='Machinery Input Tables'!$N$128,1),1,VLOOKUP(B9,'Machinery Input Tables'!$B$6:$AF$121,28,FALSE))*D9,"-")</f>
        <v>24.41697555603243</v>
      </c>
      <c r="I9" s="152">
        <f t="shared" ref="I9:I17" si="0">IFERROR(IF(ISBLANK(AND(B9,C9)),"",SUM(G9:H9)),"-")</f>
        <v>40.266056514337556</v>
      </c>
      <c r="J9" s="152"/>
    </row>
    <row r="10" spans="1:10" ht="16.5">
      <c r="B10" s="300" t="s">
        <v>867</v>
      </c>
      <c r="C10" s="300" t="s">
        <v>871</v>
      </c>
      <c r="D10" s="301">
        <v>2</v>
      </c>
      <c r="E10" s="141">
        <f>IFERROR(IF(ISBLANK(C10),"",IF(OR(ISBLANK(B10),IFERROR(VLOOKUP(B10,'Machinery Input Tables'!$B$6:$AF$121,13,FALSE),"")='Machinery Input Tables'!$N$128),1,VLOOKUP(B10,'Machinery Input Tables'!$B$6:$AF$121,28,FALSE))*VLOOKUP(C10,'Machinery Input Tables'!$AH$6:$BA$30,19,FALSE))*D10,"-")</f>
        <v>0.69723889555822327</v>
      </c>
      <c r="F10" s="141">
        <f>IFERROR(IF(AND(ISBLANK(B10)*ISBLANK(C10)),"",IF(ISBLANK(B10),1,IF(VLOOKUP(B10,'Machinery Input Tables'!$B$6:$AF$121,13,FALSE)='Machinery Input Tables'!$N$128,VLOOKUP(B10,'Machinery Input Tables'!$B$6:$AF$121,17,FALSE),VLOOKUP(B10,'Machinery Input Tables'!$B$6:$AF$121,28,FALSE))))*D10,"-")</f>
        <v>9.9039615846338538E-2</v>
      </c>
      <c r="G10" s="152">
        <f>IFERROR(IF(ISBLANK(C10),"",E10*'Machinery Input Tables'!$BP$10+F10*'Machinery Input Tables'!$BP$6+(VLOOKUP(C10,'Machinery Input Tables'!$AH$6:$BA$30,18,FALSE)*IF(IFERROR(VLOOKUP(B10,'Machinery Input Tables'!$B$6:$AF$121,13,FALSE)='Machinery Input Tables'!$N$128,1),1,VLOOKUP(B10,'Machinery Input Tables'!$B$6:$AF$121,28,FALSE))+IFERROR(VLOOKUP(B10,'Machinery Input Tables'!$B$6:$AF$121,27,FALSE),0))*D10),"-")</f>
        <v>8.0829852889381666</v>
      </c>
      <c r="H10" s="141">
        <f>IFERROR((IFERROR(VLOOKUP(B10,'Machinery Input Tables'!$B$6:$AF$121,24,FALSE),0)+VLOOKUP(C10,'Machinery Input Tables'!$AH$6:$BA$30,20,FALSE))*IF(IFERROR(VLOOKUP(B10,'Machinery Input Tables'!$B$6:$AF$121,13,FALSE)='Machinery Input Tables'!$N$128,1),1,VLOOKUP(B10,'Machinery Input Tables'!$B$6:$AF$121,28,FALSE))*D10,"-")</f>
        <v>10.432093520387751</v>
      </c>
      <c r="I10" s="152">
        <f t="shared" si="0"/>
        <v>18.515078809325917</v>
      </c>
      <c r="J10" s="152"/>
    </row>
    <row r="11" spans="1:10" ht="16.5">
      <c r="B11" s="300" t="s">
        <v>872</v>
      </c>
      <c r="C11" s="300" t="s">
        <v>871</v>
      </c>
      <c r="D11" s="301">
        <v>2</v>
      </c>
      <c r="E11" s="141"/>
      <c r="F11" s="141"/>
      <c r="G11" s="152"/>
      <c r="H11" s="141"/>
      <c r="I11" s="152"/>
      <c r="J11" s="152"/>
    </row>
    <row r="12" spans="1:10" ht="16.5">
      <c r="B12" s="300" t="s">
        <v>869</v>
      </c>
      <c r="C12" s="300" t="s">
        <v>871</v>
      </c>
      <c r="D12" s="301">
        <v>1</v>
      </c>
      <c r="E12" s="141">
        <f>IFERROR(IF(ISBLANK(C12),"",IF(OR(ISBLANK(B12),IFERROR(VLOOKUP(B12,'Machinery Input Tables'!$B$6:$AF$121,13,FALSE),"")='Machinery Input Tables'!$N$128),1,VLOOKUP(B12,'Machinery Input Tables'!$B$6:$AF$121,28,FALSE))*VLOOKUP(C12,'Machinery Input Tables'!$AH$6:$BA$30,19,FALSE))*D12,"-")</f>
        <v>0.75428571428571412</v>
      </c>
      <c r="F12" s="141">
        <f>IFERROR(IF(AND(ISBLANK(B12)*ISBLANK(C12)),"",IF(ISBLANK(B12),1,IF(VLOOKUP(B12,'Machinery Input Tables'!$B$6:$AF$121,13,FALSE)='Machinery Input Tables'!$N$128,VLOOKUP(B12,'Machinery Input Tables'!$B$6:$AF$121,17,FALSE),VLOOKUP(B12,'Machinery Input Tables'!$B$6:$AF$121,28,FALSE))))*D12,"-")</f>
        <v>0.10714285714285714</v>
      </c>
      <c r="G12" s="152">
        <f>IFERROR(IF(ISBLANK(C12),"",E12*'Machinery Input Tables'!$BP$10+F12*'Machinery Input Tables'!$BP$6+(VLOOKUP(C12,'Machinery Input Tables'!$AH$6:$BA$30,18,FALSE)*IF(IFERROR(VLOOKUP(B12,'Machinery Input Tables'!$B$6:$AF$121,13,FALSE)='Machinery Input Tables'!$N$128,1),1,VLOOKUP(B12,'Machinery Input Tables'!$B$6:$AF$121,28,FALSE))+IFERROR(VLOOKUP(B12,'Machinery Input Tables'!$B$6:$AF$121,27,FALSE),0))*D12),"-")</f>
        <v>9.9861755178410796</v>
      </c>
      <c r="H12" s="141">
        <f>IFERROR((IFERROR(VLOOKUP(B12,'Machinery Input Tables'!$B$6:$AF$121,24,FALSE),0)+VLOOKUP(C12,'Machinery Input Tables'!$AH$6:$BA$30,20,FALSE))*IF(IFERROR(VLOOKUP(B12,'Machinery Input Tables'!$B$6:$AF$121,13,FALSE)='Machinery Input Tables'!$N$128,1),1,VLOOKUP(B12,'Machinery Input Tables'!$B$6:$AF$121,28,FALSE))*D12,"-")</f>
        <v>14.199056463772342</v>
      </c>
      <c r="I12" s="152">
        <f t="shared" si="0"/>
        <v>24.18523198161342</v>
      </c>
      <c r="J12" s="152"/>
    </row>
    <row r="13" spans="1:10" ht="16.5">
      <c r="B13" s="300" t="s">
        <v>870</v>
      </c>
      <c r="C13" s="300" t="s">
        <v>804</v>
      </c>
      <c r="D13" s="301">
        <v>1</v>
      </c>
      <c r="E13" s="141">
        <f>IFERROR(IF(ISBLANK(C13),"",IF(OR(ISBLANK(B13),IFERROR(VLOOKUP(B13,'Machinery Input Tables'!$B$6:$AF$121,13,FALSE),"")='Machinery Input Tables'!$N$128),1,VLOOKUP(B13,'Machinery Input Tables'!$B$6:$AF$121,28,FALSE))*VLOOKUP(C13,'Machinery Input Tables'!$AH$6:$BA$30,19,FALSE))*D13,"-")</f>
        <v>1.8246031746031743</v>
      </c>
      <c r="F13" s="141">
        <f>IFERROR(IF(AND(ISBLANK(B13)*ISBLANK(C13)),"",IF(ISBLANK(B13),1,IF(VLOOKUP(B13,'Machinery Input Tables'!$B$6:$AF$121,13,FALSE)='Machinery Input Tables'!$N$128,VLOOKUP(B13,'Machinery Input Tables'!$B$6:$AF$121,17,FALSE),VLOOKUP(B13,'Machinery Input Tables'!$B$6:$AF$121,28,FALSE))))*D13,"-")</f>
        <v>0.17460317460317459</v>
      </c>
      <c r="G13" s="152">
        <f>IFERROR(IF(ISBLANK(C13),"",E13*'Machinery Input Tables'!$BP$10+F13*'Machinery Input Tables'!$BP$6+(VLOOKUP(C13,'Machinery Input Tables'!$AH$6:$BA$30,18,FALSE)*IF(IFERROR(VLOOKUP(B13,'Machinery Input Tables'!$B$6:$AF$121,13,FALSE)='Machinery Input Tables'!$N$128,1),1,VLOOKUP(B13,'Machinery Input Tables'!$B$6:$AF$121,28,FALSE))+IFERROR(VLOOKUP(B13,'Machinery Input Tables'!$B$6:$AF$121,27,FALSE),0))*D13),"-")</f>
        <v>25.231700551805574</v>
      </c>
      <c r="H13" s="141">
        <f>IFERROR((IFERROR(VLOOKUP(B13,'Machinery Input Tables'!$B$6:$AF$121,24,FALSE),0)+VLOOKUP(C13,'Machinery Input Tables'!$AH$6:$BA$30,20,FALSE))*IF(IFERROR(VLOOKUP(B13,'Machinery Input Tables'!$B$6:$AF$121,13,FALSE)='Machinery Input Tables'!$N$128,1),1,VLOOKUP(B13,'Machinery Input Tables'!$B$6:$AF$121,28,FALSE))*D13,"-")</f>
        <v>35.851657280157099</v>
      </c>
      <c r="I13" s="152">
        <f t="shared" si="0"/>
        <v>61.083357831962672</v>
      </c>
      <c r="J13" s="152"/>
    </row>
    <row r="14" spans="1:10" ht="16.5">
      <c r="B14" s="300" t="s">
        <v>806</v>
      </c>
      <c r="C14" s="300" t="s">
        <v>881</v>
      </c>
      <c r="D14" s="301">
        <v>0.05</v>
      </c>
      <c r="E14" s="141">
        <f>IFERROR(IF(ISBLANK(C14),"",IF(OR(ISBLANK(B14),IFERROR(VLOOKUP(B14,'Machinery Input Tables'!$B$6:$AF$121,13,FALSE),"")='Machinery Input Tables'!$N$128),1,VLOOKUP(B14,'Machinery Input Tables'!$B$6:$AF$121,28,FALSE))*VLOOKUP(C14,'Machinery Input Tables'!$AH$6:$BA$30,19,FALSE))*D14,"-")</f>
        <v>0.43999999999999995</v>
      </c>
      <c r="F14" s="141">
        <f>IFERROR(IF(AND(ISBLANK(B14)*ISBLANK(C14)),"",IF(ISBLANK(B14),1,IF(VLOOKUP(B14,'Machinery Input Tables'!$B$6:$AF$121,13,FALSE)='Machinery Input Tables'!$N$128,VLOOKUP(B14,'Machinery Input Tables'!$B$6:$AF$121,17,FALSE),VLOOKUP(B14,'Machinery Input Tables'!$B$6:$AF$121,28,FALSE))))*D14,"-")</f>
        <v>5.5500000000000008E-2</v>
      </c>
      <c r="G14" s="152">
        <f>IFERROR(IF(ISBLANK(C14),"",E14*'Machinery Input Tables'!$BP$10+F14*'Machinery Input Tables'!$BP$6+(VLOOKUP(C14,'Machinery Input Tables'!$AH$6:$BA$30,18,FALSE)*IF(IFERROR(VLOOKUP(B14,'Machinery Input Tables'!$B$6:$AF$121,13,FALSE)='Machinery Input Tables'!$N$128,1),1,VLOOKUP(B14,'Machinery Input Tables'!$B$6:$AF$121,28,FALSE))+IFERROR(VLOOKUP(B14,'Machinery Input Tables'!$B$6:$AF$121,27,FALSE),0))*D14),"-")</f>
        <v>5.5251596344634999</v>
      </c>
      <c r="H14" s="141">
        <f>IFERROR((IFERROR(VLOOKUP(B14,'Machinery Input Tables'!$B$6:$AF$121,24,FALSE),0)+VLOOKUP(C14,'Machinery Input Tables'!$AH$6:$BA$30,20,FALSE))*IF(IFERROR(VLOOKUP(B14,'Machinery Input Tables'!$B$6:$AF$121,13,FALSE)='Machinery Input Tables'!$N$128,1),1,VLOOKUP(B14,'Machinery Input Tables'!$B$6:$AF$121,28,FALSE))*D14,"-")</f>
        <v>6.9239420292434888</v>
      </c>
      <c r="I14" s="152">
        <f t="shared" si="0"/>
        <v>12.449101663706989</v>
      </c>
      <c r="J14" s="152"/>
    </row>
    <row r="15" spans="1:10" ht="16.5">
      <c r="B15" s="300"/>
      <c r="C15" s="300" t="s">
        <v>799</v>
      </c>
      <c r="D15" s="301">
        <v>0.11</v>
      </c>
      <c r="E15" s="141">
        <f>IFERROR(IF(ISBLANK(C15),"",IF(OR(ISBLANK(B15),IFERROR(VLOOKUP(B15,'Machinery Input Tables'!$B$6:$AF$121,13,FALSE),"")='Machinery Input Tables'!$N$128),1,VLOOKUP(B15,'Machinery Input Tables'!$B$6:$AF$121,28,FALSE))*VLOOKUP(C15,'Machinery Input Tables'!$AH$6:$BA$30,19,FALSE))*D15,"-")</f>
        <v>0.53625</v>
      </c>
      <c r="F15" s="141">
        <f>IFERROR(IF(AND(ISBLANK(B15)*ISBLANK(C15)),"",IF(ISBLANK(B15),1,IF(VLOOKUP(B15,'Machinery Input Tables'!$B$6:$AF$121,13,FALSE)='Machinery Input Tables'!$N$128,VLOOKUP(B15,'Machinery Input Tables'!$B$6:$AF$121,17,FALSE),VLOOKUP(B15,'Machinery Input Tables'!$B$6:$AF$121,28,FALSE))))*D15,"-")</f>
        <v>0.11</v>
      </c>
      <c r="G15" s="152">
        <f>IFERROR(IF(ISBLANK(C15),"",E15*'Machinery Input Tables'!$BP$10+F15*'Machinery Input Tables'!$BP$6+(VLOOKUP(C15,'Machinery Input Tables'!$AH$6:$BA$30,18,FALSE)*IF(IFERROR(VLOOKUP(B15,'Machinery Input Tables'!$B$6:$AF$121,13,FALSE)='Machinery Input Tables'!$N$128,1),1,VLOOKUP(B15,'Machinery Input Tables'!$B$6:$AF$121,28,FALSE))+IFERROR(VLOOKUP(B15,'Machinery Input Tables'!$B$6:$AF$121,27,FALSE),0))*D15),"-")</f>
        <v>5.1051458333333333</v>
      </c>
      <c r="H15" s="141">
        <f>IFERROR((IFERROR(VLOOKUP(B15,'Machinery Input Tables'!$B$6:$AF$121,24,FALSE),0)+VLOOKUP(C15,'Machinery Input Tables'!$AH$6:$BA$30,20,FALSE))*IF(IFERROR(VLOOKUP(B15,'Machinery Input Tables'!$B$6:$AF$121,13,FALSE)='Machinery Input Tables'!$N$128,1),1,VLOOKUP(B15,'Machinery Input Tables'!$B$6:$AF$121,28,FALSE))*D15,"-")</f>
        <v>1.5918307004015182</v>
      </c>
      <c r="I15" s="152">
        <f t="shared" si="0"/>
        <v>6.6969765337348512</v>
      </c>
      <c r="J15" s="152"/>
    </row>
    <row r="16" spans="1:10" ht="16.5">
      <c r="B16" s="300" t="s">
        <v>800</v>
      </c>
      <c r="C16" s="300" t="s">
        <v>803</v>
      </c>
      <c r="D16" s="301">
        <v>0.05</v>
      </c>
      <c r="E16" s="141" t="str">
        <f>IFERROR(IF(ISBLANK(C16),"",IF(OR(ISBLANK(B16),IFERROR(VLOOKUP(B16,'Machinery Input Tables'!$B$6:$AF$121,13,FALSE),"")='Machinery Input Tables'!$N$128),1,VLOOKUP(B16,'Machinery Input Tables'!$B$6:$AF$121,28,FALSE))*VLOOKUP(C16,'Machinery Input Tables'!$AH$6:$BA$30,19,FALSE))*D16,"-")</f>
        <v>-</v>
      </c>
      <c r="F16" s="141" t="str">
        <f>IFERROR(IF(AND(ISBLANK(B16)*ISBLANK(C16)),"",IF(ISBLANK(B16),1,IF(VLOOKUP(B16,'Machinery Input Tables'!$B$6:$AF$121,13,FALSE)='Machinery Input Tables'!$N$128,VLOOKUP(B16,'Machinery Input Tables'!$B$6:$AF$121,17,FALSE),VLOOKUP(B16,'Machinery Input Tables'!$B$6:$AF$121,28,FALSE))))*D16,"-")</f>
        <v>-</v>
      </c>
      <c r="G16" s="152" t="str">
        <f>IFERROR(IF(ISBLANK(C16),"",E16*'Machinery Input Tables'!$BP$10+F16*'Machinery Input Tables'!$BP$6+(VLOOKUP(C16,'Machinery Input Tables'!$AH$6:$BA$30,18,FALSE)*IF(IFERROR(VLOOKUP(B16,'Machinery Input Tables'!$B$6:$AF$121,13,FALSE)='Machinery Input Tables'!$N$128,1),1,VLOOKUP(B16,'Machinery Input Tables'!$B$6:$AF$121,28,FALSE))+IFERROR(VLOOKUP(B16,'Machinery Input Tables'!$B$6:$AF$121,27,FALSE),0))*D16),"-")</f>
        <v>-</v>
      </c>
      <c r="H16" s="141">
        <f>IFERROR((IFERROR(VLOOKUP(B16,'Machinery Input Tables'!$B$6:$AF$121,24,FALSE),0)+VLOOKUP(C16,'Machinery Input Tables'!$AH$6:$BA$30,20,FALSE))*IF(IFERROR(VLOOKUP(B16,'Machinery Input Tables'!$B$6:$AF$121,13,FALSE)='Machinery Input Tables'!$N$128,1),1,VLOOKUP(B16,'Machinery Input Tables'!$B$6:$AF$121,28,FALSE))*D16,"-")</f>
        <v>2.0296807880304071</v>
      </c>
      <c r="I16" s="152">
        <f t="shared" si="0"/>
        <v>2.0296807880304071</v>
      </c>
      <c r="J16" s="152"/>
    </row>
    <row r="17" spans="2:10" ht="16.5">
      <c r="B17" s="302"/>
      <c r="C17" s="302" t="s">
        <v>765</v>
      </c>
      <c r="D17" s="303">
        <v>0.2</v>
      </c>
      <c r="E17" s="161">
        <f>IFERROR(IF(ISBLANK(C17),"",IF(OR(ISBLANK(B17),IFERROR(VLOOKUP(B17,'Machinery Input Tables'!$B$6:$AF$121,13,FALSE),"")='Machinery Input Tables'!$N$128),1,VLOOKUP(B17,'Machinery Input Tables'!$B$6:$AF$121,28,FALSE))*VLOOKUP(C17,'Machinery Input Tables'!$AH$6:$BA$30,19,FALSE))*D17,"-")</f>
        <v>0.60000000000000009</v>
      </c>
      <c r="F17" s="161">
        <f>IFERROR(IF(AND(ISBLANK(B17)*ISBLANK(C17)),"",IF(ISBLANK(B17),1,IF(VLOOKUP(B17,'Machinery Input Tables'!$B$6:$AF$121,13,FALSE)='Machinery Input Tables'!$N$128,VLOOKUP(B17,'Machinery Input Tables'!$B$6:$AF$121,17,FALSE),VLOOKUP(B17,'Machinery Input Tables'!$B$6:$AF$121,28,FALSE))))*D17,"-")</f>
        <v>0.2</v>
      </c>
      <c r="G17" s="162">
        <f>IFERROR(IF(ISBLANK(C17),"",E17*'Machinery Input Tables'!$BP$10+F17*'Machinery Input Tables'!$BP$6+(VLOOKUP(C17,'Machinery Input Tables'!$AH$6:$BA$30,18,FALSE)*IF(IFERROR(VLOOKUP(B17,'Machinery Input Tables'!$B$6:$AF$121,13,FALSE)='Machinery Input Tables'!$N$128,1),1,VLOOKUP(B17,'Machinery Input Tables'!$B$6:$AF$121,28,FALSE))+IFERROR(VLOOKUP(B17,'Machinery Input Tables'!$B$6:$AF$121,27,FALSE),0))*D17),"-")</f>
        <v>10.686842105263159</v>
      </c>
      <c r="H17" s="161">
        <f>IFERROR((IFERROR(VLOOKUP(B17,'Machinery Input Tables'!$B$6:$AF$121,24,FALSE),0)+VLOOKUP(C17,'Machinery Input Tables'!$AH$6:$BA$30,20,FALSE))*IF(IFERROR(VLOOKUP(B17,'Machinery Input Tables'!$B$6:$AF$121,13,FALSE)='Machinery Input Tables'!$N$128,1),1,VLOOKUP(B17,'Machinery Input Tables'!$B$6:$AF$121,28,FALSE))*D17,"-")</f>
        <v>4.3284407717677809</v>
      </c>
      <c r="I17" s="162">
        <f t="shared" si="0"/>
        <v>15.015282877030939</v>
      </c>
      <c r="J17" s="164"/>
    </row>
    <row r="18" spans="2:10" ht="16.5">
      <c r="B18" s="149"/>
      <c r="C18" s="163" t="s">
        <v>31</v>
      </c>
      <c r="D18" s="255"/>
      <c r="E18" s="164">
        <f>SUM(E8:E17)</f>
        <v>7.0693245631585953</v>
      </c>
      <c r="F18" s="164">
        <f>SUM(F8:F17)</f>
        <v>0.9982114179004935</v>
      </c>
      <c r="G18" s="164">
        <f>SUM(G8:G17)</f>
        <v>88.894352376562068</v>
      </c>
      <c r="H18" s="164">
        <f>SUM(H8:H17)</f>
        <v>112.50504397848755</v>
      </c>
      <c r="I18" s="164">
        <f>SUM(I8:I17)</f>
        <v>201.39939635504959</v>
      </c>
    </row>
    <row r="19" spans="2:10" ht="14.25" customHeight="1">
      <c r="B19" s="149"/>
      <c r="C19" s="163"/>
      <c r="D19" s="164"/>
      <c r="E19" s="164"/>
      <c r="F19" s="164"/>
      <c r="G19" s="164"/>
      <c r="H19" s="164"/>
      <c r="I19" s="164"/>
    </row>
    <row r="20" spans="2:10" ht="16.5">
      <c r="B20" s="329" t="s">
        <v>828</v>
      </c>
      <c r="C20" s="329"/>
      <c r="D20" s="329"/>
      <c r="E20" s="329"/>
      <c r="F20" s="329"/>
      <c r="G20" s="329"/>
      <c r="H20" s="329"/>
      <c r="I20" s="329"/>
    </row>
    <row r="21" spans="2:10" ht="16.5">
      <c r="B21" s="326" t="s">
        <v>535</v>
      </c>
      <c r="C21" s="328" t="s">
        <v>536</v>
      </c>
      <c r="D21" s="261" t="s">
        <v>15</v>
      </c>
      <c r="E21" s="328" t="s">
        <v>537</v>
      </c>
      <c r="F21" s="328" t="s">
        <v>538</v>
      </c>
      <c r="G21" s="144" t="s">
        <v>539</v>
      </c>
      <c r="H21" s="144" t="s">
        <v>540</v>
      </c>
      <c r="I21" s="330" t="s">
        <v>541</v>
      </c>
    </row>
    <row r="22" spans="2:10" ht="16.5">
      <c r="B22" s="327"/>
      <c r="C22" s="329"/>
      <c r="D22" s="262" t="s">
        <v>810</v>
      </c>
      <c r="E22" s="329"/>
      <c r="F22" s="329"/>
      <c r="G22" s="142" t="s">
        <v>554</v>
      </c>
      <c r="H22" s="142" t="s">
        <v>554</v>
      </c>
      <c r="I22" s="331"/>
    </row>
    <row r="23" spans="2:10" ht="16.5">
      <c r="B23" s="149"/>
      <c r="C23" s="149"/>
      <c r="D23" s="150" t="s">
        <v>560</v>
      </c>
      <c r="E23" s="150" t="s">
        <v>557</v>
      </c>
      <c r="F23" s="150" t="s">
        <v>558</v>
      </c>
      <c r="G23" s="150" t="s">
        <v>559</v>
      </c>
      <c r="H23" s="150" t="s">
        <v>559</v>
      </c>
      <c r="I23" s="150" t="s">
        <v>561</v>
      </c>
    </row>
    <row r="24" spans="2:10" ht="16.5">
      <c r="B24" s="300" t="s">
        <v>807</v>
      </c>
      <c r="C24" s="300" t="s">
        <v>801</v>
      </c>
      <c r="D24" s="301">
        <v>1</v>
      </c>
      <c r="E24" s="141">
        <f>IFERROR(IF(ISBLANK(C24),"",IF(OR(ISBLANK(B24),IFERROR(VLOOKUP(B24,'Machinery Input Tables'!$B$6:$AF$121,13,FALSE),"")='Machinery Input Tables'!$N$128),1,VLOOKUP(B24,'Machinery Input Tables'!$B$6:$AF$121,28,FALSE))*VLOOKUP(C24,'Machinery Input Tables'!$AH$6:$BA$30,19,FALSE))*D24,"-")</f>
        <v>0.82714843749999978</v>
      </c>
      <c r="F24" s="141">
        <f>IFERROR(IF(AND(ISBLANK(B24)*ISBLANK(C24)),"",IF(ISBLANK(B24),1,IF(VLOOKUP(B24,'Machinery Input Tables'!$B$6:$AF$121,13,FALSE)='Machinery Input Tables'!$N$128,VLOOKUP(B24,'Machinery Input Tables'!$B$6:$AF$121,17,FALSE),VLOOKUP(B24,'Machinery Input Tables'!$B$6:$AF$121,28,FALSE))))*D24,"-")</f>
        <v>5.3710937499999993E-2</v>
      </c>
      <c r="G24" s="152">
        <f>IFERROR(IF(ISBLANK(C24),"",E24*'Machinery Input Tables'!$BP$10+F24*'Machinery Input Tables'!$BP$6+(VLOOKUP(C24,'Machinery Input Tables'!$AH$6:$BA$30,18,FALSE)*IF(IFERROR(VLOOKUP(B24,'Machinery Input Tables'!$B$6:$AF$121,13,FALSE)='Machinery Input Tables'!$N$128,1),1,VLOOKUP(B24,'Machinery Input Tables'!$B$6:$AF$121,28,FALSE))+IFERROR(VLOOKUP(B24,'Machinery Input Tables'!$B$6:$AF$121,27,FALSE),0))*D24),"-")</f>
        <v>7.5686817442480105</v>
      </c>
      <c r="H24" s="141">
        <f>IFERROR((IFERROR(VLOOKUP(B24,'Machinery Input Tables'!$B$6:$AF$121,24,FALSE),0)+VLOOKUP(C24,'Machinery Input Tables'!$AH$6:$BA$30,20,FALSE))*IF(IFERROR(VLOOKUP(B24,'Machinery Input Tables'!$B$6:$AF$121,13,FALSE)='Machinery Input Tables'!$N$128,1),1,VLOOKUP(B24,'Machinery Input Tables'!$B$6:$AF$121,28,FALSE))*D24,"-")</f>
        <v>10.594328870449727</v>
      </c>
      <c r="I24" s="152">
        <f>IFERROR(IF(ISBLANK(AND(B24,C24)),"",SUM(G24:H24)),"-")</f>
        <v>18.16301061469774</v>
      </c>
    </row>
    <row r="25" spans="2:10" ht="16.5">
      <c r="B25" s="300" t="s">
        <v>808</v>
      </c>
      <c r="C25" s="300" t="s">
        <v>801</v>
      </c>
      <c r="D25" s="301">
        <v>1</v>
      </c>
      <c r="E25" s="141">
        <f>IFERROR(IF(ISBLANK(C25),"",IF(OR(ISBLANK(B25),IFERROR(VLOOKUP(B25,'Machinery Input Tables'!$B$6:$AF$121,13,FALSE),"")='Machinery Input Tables'!$N$128),1,VLOOKUP(B25,'Machinery Input Tables'!$B$6:$AF$121,28,FALSE))*VLOOKUP(C25,'Machinery Input Tables'!$AH$6:$BA$30,19,FALSE))*D25,"-")</f>
        <v>0.50840336134453779</v>
      </c>
      <c r="F25" s="141">
        <f>IFERROR(IF(AND(ISBLANK(B25)*ISBLANK(C25)),"",IF(ISBLANK(B25),1,IF(VLOOKUP(B25,'Machinery Input Tables'!$B$6:$AF$121,13,FALSE)='Machinery Input Tables'!$N$128,VLOOKUP(B25,'Machinery Input Tables'!$B$6:$AF$121,17,FALSE),VLOOKUP(B25,'Machinery Input Tables'!$B$6:$AF$121,28,FALSE))))*D25,"-")</f>
        <v>3.3013205282112844E-2</v>
      </c>
      <c r="G25" s="152">
        <f>IFERROR(IF(ISBLANK(C25),"",E25*'Machinery Input Tables'!$BP$10+F25*'Machinery Input Tables'!$BP$6+(VLOOKUP(C25,'Machinery Input Tables'!$AH$6:$BA$30,18,FALSE)*IF(IFERROR(VLOOKUP(B25,'Machinery Input Tables'!$B$6:$AF$121,13,FALSE)='Machinery Input Tables'!$N$128,1),1,VLOOKUP(B25,'Machinery Input Tables'!$B$6:$AF$121,28,FALSE))+IFERROR(VLOOKUP(B25,'Machinery Input Tables'!$B$6:$AF$121,27,FALSE),0))*D25),"-")</f>
        <v>4.311313613743966</v>
      </c>
      <c r="H25" s="141">
        <f>IFERROR((IFERROR(VLOOKUP(B25,'Machinery Input Tables'!$B$6:$AF$121,24,FALSE),0)+VLOOKUP(C25,'Machinery Input Tables'!$AH$6:$BA$30,20,FALSE))*IF(IFERROR(VLOOKUP(B25,'Machinery Input Tables'!$B$6:$AF$121,13,FALSE)='Machinery Input Tables'!$N$128,1),1,VLOOKUP(B25,'Machinery Input Tables'!$B$6:$AF$121,28,FALSE))*D25,"-")</f>
        <v>5.8907332230838643</v>
      </c>
      <c r="I25" s="152">
        <f t="shared" ref="I25:I34" si="1">IFERROR(IF(ISBLANK(AND(B25,C25)),"",SUM(G25:H25)),"-")</f>
        <v>10.202046836827829</v>
      </c>
    </row>
    <row r="26" spans="2:10" ht="16.5">
      <c r="B26" s="300" t="s">
        <v>802</v>
      </c>
      <c r="C26" s="300" t="s">
        <v>763</v>
      </c>
      <c r="D26" s="301">
        <v>1</v>
      </c>
      <c r="E26" s="141">
        <f>IFERROR(IF(ISBLANK(C26),"",IF(OR(ISBLANK(B26),IFERROR(VLOOKUP(B26,'Machinery Input Tables'!$B$6:$AF$121,13,FALSE),"")='Machinery Input Tables'!$N$128),1,VLOOKUP(B26,'Machinery Input Tables'!$B$6:$AF$121,28,FALSE))*VLOOKUP(C26,'Machinery Input Tables'!$AH$6:$BA$30,19,FALSE))*D26,"-")</f>
        <v>0.73333333333333328</v>
      </c>
      <c r="F26" s="141">
        <f>IFERROR(IF(AND(ISBLANK(B26)*ISBLANK(C26)),"",IF(ISBLANK(B26),1,IF(VLOOKUP(B26,'Machinery Input Tables'!$B$6:$AF$121,13,FALSE)='Machinery Input Tables'!$N$128,VLOOKUP(B26,'Machinery Input Tables'!$B$6:$AF$121,17,FALSE),VLOOKUP(B26,'Machinery Input Tables'!$B$6:$AF$121,28,FALSE))))*D26,"-")</f>
        <v>5.9523809523809527E-2</v>
      </c>
      <c r="G26" s="152">
        <f>IFERROR(IF(ISBLANK(C26),"",E26*'Machinery Input Tables'!$BP$10+F26*'Machinery Input Tables'!$BP$6+(VLOOKUP(C26,'Machinery Input Tables'!$AH$6:$BA$30,18,FALSE)*IF(IFERROR(VLOOKUP(B26,'Machinery Input Tables'!$B$6:$AF$121,13,FALSE)='Machinery Input Tables'!$N$128,1),1,VLOOKUP(B26,'Machinery Input Tables'!$B$6:$AF$121,28,FALSE))+IFERROR(VLOOKUP(B26,'Machinery Input Tables'!$B$6:$AF$121,27,FALSE),0))*D26),"-")</f>
        <v>7.39962208167392</v>
      </c>
      <c r="H26" s="141">
        <f>IFERROR((IFERROR(VLOOKUP(B26,'Machinery Input Tables'!$B$6:$AF$121,24,FALSE),0)+VLOOKUP(C26,'Machinery Input Tables'!$AH$6:$BA$30,20,FALSE))*IF(IFERROR(VLOOKUP(B26,'Machinery Input Tables'!$B$6:$AF$121,13,FALSE)='Machinery Input Tables'!$N$128,1),1,VLOOKUP(B26,'Machinery Input Tables'!$B$6:$AF$121,28,FALSE))*D26,"-")</f>
        <v>8.2207352556140325</v>
      </c>
      <c r="I26" s="152">
        <f t="shared" si="1"/>
        <v>15.620357337287953</v>
      </c>
    </row>
    <row r="27" spans="2:10" ht="16.5">
      <c r="B27" s="300" t="s">
        <v>764</v>
      </c>
      <c r="C27" s="300" t="s">
        <v>763</v>
      </c>
      <c r="D27" s="301">
        <v>1</v>
      </c>
      <c r="E27" s="141">
        <f>IFERROR(IF(ISBLANK(C27),"",IF(OR(ISBLANK(B27),IFERROR(VLOOKUP(B27,'Machinery Input Tables'!$B$6:$AF$121,13,FALSE),"")='Machinery Input Tables'!$N$128),1,VLOOKUP(B27,'Machinery Input Tables'!$B$6:$AF$121,28,FALSE))*VLOOKUP(C27,'Machinery Input Tables'!$AH$6:$BA$30,19,FALSE))*D27,"-")</f>
        <v>0.65999999999999992</v>
      </c>
      <c r="F27" s="141">
        <f>IFERROR(IF(AND(ISBLANK(B27)*ISBLANK(C27)),"",IF(ISBLANK(B27),1,IF(VLOOKUP(B27,'Machinery Input Tables'!$B$6:$AF$121,13,FALSE)='Machinery Input Tables'!$N$128,VLOOKUP(B27,'Machinery Input Tables'!$B$6:$AF$121,17,FALSE),VLOOKUP(B27,'Machinery Input Tables'!$B$6:$AF$121,28,FALSE))))*D27,"-")</f>
        <v>5.3571428571428568E-2</v>
      </c>
      <c r="G27" s="152">
        <f>IFERROR(IF(ISBLANK(C27),"",E27*'Machinery Input Tables'!$BP$10+F27*'Machinery Input Tables'!$BP$6+(VLOOKUP(C27,'Machinery Input Tables'!$AH$6:$BA$30,18,FALSE)*IF(IFERROR(VLOOKUP(B27,'Machinery Input Tables'!$B$6:$AF$121,13,FALSE)='Machinery Input Tables'!$N$128,1),1,VLOOKUP(B27,'Machinery Input Tables'!$B$6:$AF$121,28,FALSE))+IFERROR(VLOOKUP(B27,'Machinery Input Tables'!$B$6:$AF$121,27,FALSE),0))*D27),"-")</f>
        <v>10.315987687271134</v>
      </c>
      <c r="H27" s="141">
        <f>IFERROR((IFERROR(VLOOKUP(B27,'Machinery Input Tables'!$B$6:$AF$121,24,FALSE),0)+VLOOKUP(C27,'Machinery Input Tables'!$AH$6:$BA$30,20,FALSE))*IF(IFERROR(VLOOKUP(B27,'Machinery Input Tables'!$B$6:$AF$121,13,FALSE)='Machinery Input Tables'!$N$128,1),1,VLOOKUP(B27,'Machinery Input Tables'!$B$6:$AF$121,28,FALSE))*D27,"-")</f>
        <v>15.04263219469928</v>
      </c>
      <c r="I27" s="152">
        <f t="shared" si="1"/>
        <v>25.358619881970412</v>
      </c>
    </row>
    <row r="28" spans="2:10" ht="16.5">
      <c r="B28" s="300" t="s">
        <v>798</v>
      </c>
      <c r="C28" s="300" t="s">
        <v>803</v>
      </c>
      <c r="D28" s="301">
        <v>2</v>
      </c>
      <c r="E28" s="141">
        <f>IFERROR(IF(ISBLANK(C28),"",IF(OR(ISBLANK(B28),IFERROR(VLOOKUP(B28,'Machinery Input Tables'!$B$6:$AF$121,13,FALSE),"")='Machinery Input Tables'!$N$128),1,VLOOKUP(B28,'Machinery Input Tables'!$B$6:$AF$121,28,FALSE))*VLOOKUP(C28,'Machinery Input Tables'!$AH$6:$BA$30,19,FALSE))*D28,"-")</f>
        <v>0.16385416666666666</v>
      </c>
      <c r="F28" s="141">
        <f>IFERROR(IF(AND(ISBLANK(B28)*ISBLANK(C28)),"",IF(ISBLANK(B28),1,IF(VLOOKUP(B28,'Machinery Input Tables'!$B$6:$AF$121,13,FALSE)='Machinery Input Tables'!$N$128,VLOOKUP(B28,'Machinery Input Tables'!$B$6:$AF$121,17,FALSE),VLOOKUP(B28,'Machinery Input Tables'!$B$6:$AF$121,28,FALSE))))*D28,"-")</f>
        <v>2.8645833333333332E-2</v>
      </c>
      <c r="G28" s="152">
        <f>IFERROR(IF(ISBLANK(C28),"",E28*'Machinery Input Tables'!$BP$10+F28*'Machinery Input Tables'!$BP$6+(VLOOKUP(C28,'Machinery Input Tables'!$AH$6:$BA$30,18,FALSE)*IF(IFERROR(VLOOKUP(B28,'Machinery Input Tables'!$B$6:$AF$121,13,FALSE)='Machinery Input Tables'!$N$128,1),1,VLOOKUP(B28,'Machinery Input Tables'!$B$6:$AF$121,28,FALSE))+IFERROR(VLOOKUP(B28,'Machinery Input Tables'!$B$6:$AF$121,27,FALSE),0))*D28),"-")</f>
        <v>2.3160556423628984</v>
      </c>
      <c r="H28" s="141">
        <f>IFERROR((IFERROR(VLOOKUP(B28,'Machinery Input Tables'!$B$6:$AF$121,24,FALSE),0)+VLOOKUP(C28,'Machinery Input Tables'!$AH$6:$BA$30,20,FALSE))*IF(IFERROR(VLOOKUP(B28,'Machinery Input Tables'!$B$6:$AF$121,13,FALSE)='Machinery Input Tables'!$N$128,1),1,VLOOKUP(B28,'Machinery Input Tables'!$B$6:$AF$121,28,FALSE))*D28,"-")</f>
        <v>2.0241260734095912</v>
      </c>
      <c r="I28" s="152">
        <f t="shared" si="1"/>
        <v>4.3401817157724896</v>
      </c>
    </row>
    <row r="29" spans="2:10" ht="16.5">
      <c r="B29" s="300" t="s">
        <v>809</v>
      </c>
      <c r="C29" s="300" t="s">
        <v>804</v>
      </c>
      <c r="D29" s="301">
        <v>1</v>
      </c>
      <c r="E29" s="141">
        <f>IFERROR(IF(ISBLANK(C29),"",IF(OR(ISBLANK(B29),IFERROR(VLOOKUP(B29,'Machinery Input Tables'!$B$6:$AF$121,13,FALSE),"")='Machinery Input Tables'!$N$128),1,VLOOKUP(B29,'Machinery Input Tables'!$B$6:$AF$121,28,FALSE))*VLOOKUP(C29,'Machinery Input Tables'!$AH$6:$BA$30,19,FALSE))*D29,"-")</f>
        <v>1.368452380952381</v>
      </c>
      <c r="F29" s="141">
        <f>IFERROR(IF(AND(ISBLANK(B29)*ISBLANK(C29)),"",IF(ISBLANK(B29),1,IF(VLOOKUP(B29,'Machinery Input Tables'!$B$6:$AF$121,13,FALSE)='Machinery Input Tables'!$N$128,VLOOKUP(B29,'Machinery Input Tables'!$B$6:$AF$121,17,FALSE),VLOOKUP(B29,'Machinery Input Tables'!$B$6:$AF$121,28,FALSE))))*D29,"-")</f>
        <v>0.13095238095238096</v>
      </c>
      <c r="G29" s="152">
        <f>IFERROR(IF(ISBLANK(C29),"",E29*'Machinery Input Tables'!$BP$10+F29*'Machinery Input Tables'!$BP$6+(VLOOKUP(C29,'Machinery Input Tables'!$AH$6:$BA$30,18,FALSE)*IF(IFERROR(VLOOKUP(B29,'Machinery Input Tables'!$B$6:$AF$121,13,FALSE)='Machinery Input Tables'!$N$128,1),1,VLOOKUP(B29,'Machinery Input Tables'!$B$6:$AF$121,28,FALSE))+IFERROR(VLOOKUP(B29,'Machinery Input Tables'!$B$6:$AF$121,27,FALSE),0))*D29),"-")</f>
        <v>19.987082044831126</v>
      </c>
      <c r="H29" s="141">
        <f>IFERROR((IFERROR(VLOOKUP(B29,'Machinery Input Tables'!$B$6:$AF$121,24,FALSE),0)+VLOOKUP(C29,'Machinery Input Tables'!$AH$6:$BA$30,20,FALSE))*IF(IFERROR(VLOOKUP(B29,'Machinery Input Tables'!$B$6:$AF$121,13,FALSE)='Machinery Input Tables'!$N$128,1),1,VLOOKUP(B29,'Machinery Input Tables'!$B$6:$AF$121,28,FALSE))*D29,"-")</f>
        <v>30.34908050745798</v>
      </c>
      <c r="I29" s="152">
        <f t="shared" si="1"/>
        <v>50.33616255228911</v>
      </c>
    </row>
    <row r="30" spans="2:10" ht="16.5">
      <c r="B30" s="300" t="s">
        <v>806</v>
      </c>
      <c r="C30" s="300" t="s">
        <v>763</v>
      </c>
      <c r="D30" s="301">
        <v>0.06</v>
      </c>
      <c r="E30" s="141">
        <f>IFERROR(IF(ISBLANK(C30),"",IF(OR(ISBLANK(B30),IFERROR(VLOOKUP(B30,'Machinery Input Tables'!$B$6:$AF$121,13,FALSE),"")='Machinery Input Tables'!$N$128),1,VLOOKUP(B30,'Machinery Input Tables'!$B$6:$AF$121,28,FALSE))*VLOOKUP(C30,'Machinery Input Tables'!$AH$6:$BA$30,19,FALSE))*D30,"-")</f>
        <v>0.73919999999999986</v>
      </c>
      <c r="F30" s="141">
        <f>IFERROR(IF(AND(ISBLANK(B30)*ISBLANK(C30)),"",IF(ISBLANK(B30),1,IF(VLOOKUP(B30,'Machinery Input Tables'!$B$6:$AF$121,13,FALSE)='Machinery Input Tables'!$N$128,VLOOKUP(B30,'Machinery Input Tables'!$B$6:$AF$121,17,FALSE),VLOOKUP(B30,'Machinery Input Tables'!$B$6:$AF$121,28,FALSE))))*D30,"-")</f>
        <v>6.6600000000000006E-2</v>
      </c>
      <c r="G30" s="152">
        <f>IFERROR(IF(ISBLANK(C30),"",E30*'Machinery Input Tables'!$BP$10+F30*'Machinery Input Tables'!$BP$6+(VLOOKUP(C30,'Machinery Input Tables'!$AH$6:$BA$30,18,FALSE)*IF(IFERROR(VLOOKUP(B30,'Machinery Input Tables'!$B$6:$AF$121,13,FALSE)='Machinery Input Tables'!$N$128,1),1,VLOOKUP(B30,'Machinery Input Tables'!$B$6:$AF$121,28,FALSE))+IFERROR(VLOOKUP(B30,'Machinery Input Tables'!$B$6:$AF$121,27,FALSE),0))*D30),"-")</f>
        <v>7.4099248946895333</v>
      </c>
      <c r="H30" s="141">
        <f>IFERROR((IFERROR(VLOOKUP(B30,'Machinery Input Tables'!$B$6:$AF$121,24,FALSE),0)+VLOOKUP(C30,'Machinery Input Tables'!$AH$6:$BA$30,20,FALSE))*IF(IFERROR(VLOOKUP(B30,'Machinery Input Tables'!$B$6:$AF$121,13,FALSE)='Machinery Input Tables'!$N$128,1),1,VLOOKUP(B30,'Machinery Input Tables'!$B$6:$AF$121,28,FALSE))*D30,"-")</f>
        <v>8.7439014270392299</v>
      </c>
      <c r="I30" s="152">
        <f t="shared" si="1"/>
        <v>16.153826321728765</v>
      </c>
    </row>
    <row r="31" spans="2:10" ht="16.5">
      <c r="B31" s="300" t="s">
        <v>782</v>
      </c>
      <c r="C31" s="300" t="s">
        <v>783</v>
      </c>
      <c r="D31" s="301">
        <v>0.14000000000000001</v>
      </c>
      <c r="E31" s="141">
        <f>IFERROR(IF(ISBLANK(C31),"",IF(OR(ISBLANK(B31),IFERROR(VLOOKUP(B31,'Machinery Input Tables'!$B$6:$AF$121,13,FALSE),"")='Machinery Input Tables'!$N$128),1,VLOOKUP(B31,'Machinery Input Tables'!$B$6:$AF$121,28,FALSE))*VLOOKUP(C31,'Machinery Input Tables'!$AH$6:$BA$30,19,FALSE))*D31,"-")</f>
        <v>0.99750000000000005</v>
      </c>
      <c r="F31" s="141">
        <f>IFERROR(IF(AND(ISBLANK(B31)*ISBLANK(C31)),"",IF(ISBLANK(B31),1,IF(VLOOKUP(B31,'Machinery Input Tables'!$B$6:$AF$121,13,FALSE)='Machinery Input Tables'!$N$128,VLOOKUP(B31,'Machinery Input Tables'!$B$6:$AF$121,17,FALSE),VLOOKUP(B31,'Machinery Input Tables'!$B$6:$AF$121,28,FALSE))))*D31,"-")</f>
        <v>0.15400000000000003</v>
      </c>
      <c r="G31" s="152">
        <f>IFERROR(IF(ISBLANK(C31),"",E31*'Machinery Input Tables'!$BP$10+F31*'Machinery Input Tables'!$BP$6+(VLOOKUP(C31,'Machinery Input Tables'!$AH$6:$BA$30,18,FALSE)*IF(IFERROR(VLOOKUP(B31,'Machinery Input Tables'!$B$6:$AF$121,13,FALSE)='Machinery Input Tables'!$N$128,1),1,VLOOKUP(B31,'Machinery Input Tables'!$B$6:$AF$121,28,FALSE))+IFERROR(VLOOKUP(B31,'Machinery Input Tables'!$B$6:$AF$121,27,FALSE),0))*D31),"-")</f>
        <v>9.9072278850224009</v>
      </c>
      <c r="H31" s="141">
        <f>IFERROR((IFERROR(VLOOKUP(B31,'Machinery Input Tables'!$B$6:$AF$121,24,FALSE),0)+VLOOKUP(C31,'Machinery Input Tables'!$AH$6:$BA$30,20,FALSE))*IF(IFERROR(VLOOKUP(B31,'Machinery Input Tables'!$B$6:$AF$121,13,FALSE)='Machinery Input Tables'!$N$128,1),1,VLOOKUP(B31,'Machinery Input Tables'!$B$6:$AF$121,28,FALSE))*D31,"-")</f>
        <v>4.5419419948390516</v>
      </c>
      <c r="I31" s="152">
        <f t="shared" si="1"/>
        <v>14.449169879861453</v>
      </c>
    </row>
    <row r="32" spans="2:10" ht="16.5">
      <c r="B32" s="300"/>
      <c r="C32" s="300" t="s">
        <v>799</v>
      </c>
      <c r="D32" s="301">
        <v>0.14000000000000001</v>
      </c>
      <c r="E32" s="141">
        <f>IFERROR(IF(ISBLANK(C32),"",IF(OR(ISBLANK(B32),IFERROR(VLOOKUP(B32,'Machinery Input Tables'!$B$6:$AF$121,13,FALSE),"")='Machinery Input Tables'!$N$128),1,VLOOKUP(B32,'Machinery Input Tables'!$B$6:$AF$121,28,FALSE))*VLOOKUP(C32,'Machinery Input Tables'!$AH$6:$BA$30,19,FALSE))*D32,"-")</f>
        <v>0.68250000000000011</v>
      </c>
      <c r="F32" s="141">
        <f>IFERROR(IF(AND(ISBLANK(B32)*ISBLANK(C32)),"",IF(ISBLANK(B32),1,IF(VLOOKUP(B32,'Machinery Input Tables'!$B$6:$AF$121,13,FALSE)='Machinery Input Tables'!$N$128,VLOOKUP(B32,'Machinery Input Tables'!$B$6:$AF$121,17,FALSE),VLOOKUP(B32,'Machinery Input Tables'!$B$6:$AF$121,28,FALSE))))*D32,"-")</f>
        <v>0.14000000000000001</v>
      </c>
      <c r="G32" s="152">
        <f>IFERROR(IF(ISBLANK(C32),"",E32*'Machinery Input Tables'!$BP$10+F32*'Machinery Input Tables'!$BP$6+(VLOOKUP(C32,'Machinery Input Tables'!$AH$6:$BA$30,18,FALSE)*IF(IFERROR(VLOOKUP(B32,'Machinery Input Tables'!$B$6:$AF$121,13,FALSE)='Machinery Input Tables'!$N$128,1),1,VLOOKUP(B32,'Machinery Input Tables'!$B$6:$AF$121,28,FALSE))+IFERROR(VLOOKUP(B32,'Machinery Input Tables'!$B$6:$AF$121,27,FALSE),0))*D32),"-")</f>
        <v>6.4974583333333342</v>
      </c>
      <c r="H32" s="141">
        <f>IFERROR((IFERROR(VLOOKUP(B32,'Machinery Input Tables'!$B$6:$AF$121,24,FALSE),0)+VLOOKUP(C32,'Machinery Input Tables'!$AH$6:$BA$30,20,FALSE))*IF(IFERROR(VLOOKUP(B32,'Machinery Input Tables'!$B$6:$AF$121,13,FALSE)='Machinery Input Tables'!$N$128,1),1,VLOOKUP(B32,'Machinery Input Tables'!$B$6:$AF$121,28,FALSE))*D32,"-")</f>
        <v>2.0259663459655686</v>
      </c>
      <c r="I32" s="152">
        <f t="shared" si="1"/>
        <v>8.5234246792989019</v>
      </c>
    </row>
    <row r="33" spans="2:9" ht="16.5">
      <c r="B33" s="300" t="s">
        <v>800</v>
      </c>
      <c r="C33" s="300" t="s">
        <v>803</v>
      </c>
      <c r="D33" s="301">
        <v>0.06</v>
      </c>
      <c r="E33" s="141" t="str">
        <f>IFERROR(IF(ISBLANK(C33),"",IF(OR(ISBLANK(B33),IFERROR(VLOOKUP(B33,'Machinery Input Tables'!$B$6:$AF$121,13,FALSE),"")='Machinery Input Tables'!$N$128),1,VLOOKUP(B33,'Machinery Input Tables'!$B$6:$AF$121,28,FALSE))*VLOOKUP(C33,'Machinery Input Tables'!$AH$6:$BA$30,19,FALSE))*D33,"-")</f>
        <v>-</v>
      </c>
      <c r="F33" s="141" t="str">
        <f>IFERROR(IF(AND(ISBLANK(B33)*ISBLANK(C33)),"",IF(ISBLANK(B33),1,IF(VLOOKUP(B33,'Machinery Input Tables'!$B$6:$AF$121,13,FALSE)='Machinery Input Tables'!$N$128,VLOOKUP(B33,'Machinery Input Tables'!$B$6:$AF$121,17,FALSE),VLOOKUP(B33,'Machinery Input Tables'!$B$6:$AF$121,28,FALSE))))*D33,"-")</f>
        <v>-</v>
      </c>
      <c r="G33" s="152" t="str">
        <f>IFERROR(IF(ISBLANK(C33),"",E33*'Machinery Input Tables'!$BP$10+F33*'Machinery Input Tables'!$BP$6+(VLOOKUP(C33,'Machinery Input Tables'!$AH$6:$BA$30,18,FALSE)*IF(IFERROR(VLOOKUP(B33,'Machinery Input Tables'!$B$6:$AF$121,13,FALSE)='Machinery Input Tables'!$N$128,1),1,VLOOKUP(B33,'Machinery Input Tables'!$B$6:$AF$121,28,FALSE))+IFERROR(VLOOKUP(B33,'Machinery Input Tables'!$B$6:$AF$121,27,FALSE),0))*D33),"-")</f>
        <v>-</v>
      </c>
      <c r="H33" s="141">
        <f>IFERROR((IFERROR(VLOOKUP(B33,'Machinery Input Tables'!$B$6:$AF$121,24,FALSE),0)+VLOOKUP(C33,'Machinery Input Tables'!$AH$6:$BA$30,20,FALSE))*IF(IFERROR(VLOOKUP(B33,'Machinery Input Tables'!$B$6:$AF$121,13,FALSE)='Machinery Input Tables'!$N$128,1),1,VLOOKUP(B33,'Machinery Input Tables'!$B$6:$AF$121,28,FALSE))*D33,"-")</f>
        <v>2.4356169456364882</v>
      </c>
      <c r="I33" s="152">
        <f t="shared" si="1"/>
        <v>2.4356169456364882</v>
      </c>
    </row>
    <row r="34" spans="2:9" ht="14.25" customHeight="1">
      <c r="B34" s="300"/>
      <c r="C34" s="300" t="s">
        <v>765</v>
      </c>
      <c r="D34" s="301">
        <v>0.25</v>
      </c>
      <c r="E34" s="141">
        <f>IFERROR(IF(ISBLANK(C34),"",IF(OR(ISBLANK(B34),IFERROR(VLOOKUP(B34,'Machinery Input Tables'!$B$6:$AF$121,13,FALSE),"")='Machinery Input Tables'!$N$128),1,VLOOKUP(B34,'Machinery Input Tables'!$B$6:$AF$121,28,FALSE))*VLOOKUP(C34,'Machinery Input Tables'!$AH$6:$BA$30,19,FALSE))*D34,"-")</f>
        <v>0.75</v>
      </c>
      <c r="F34" s="141">
        <f>IFERROR(IF(AND(ISBLANK(B34)*ISBLANK(C34)),"",IF(ISBLANK(B34),1,IF(VLOOKUP(B34,'Machinery Input Tables'!$B$6:$AF$121,13,FALSE)='Machinery Input Tables'!$N$128,VLOOKUP(B34,'Machinery Input Tables'!$B$6:$AF$121,17,FALSE),VLOOKUP(B34,'Machinery Input Tables'!$B$6:$AF$121,28,FALSE))))*D34,"-")</f>
        <v>0.25</v>
      </c>
      <c r="G34" s="152">
        <f>IFERROR(IF(ISBLANK(C34),"",E34*'Machinery Input Tables'!$BP$10+F34*'Machinery Input Tables'!$BP$6+(VLOOKUP(C34,'Machinery Input Tables'!$AH$6:$BA$30,18,FALSE)*IF(IFERROR(VLOOKUP(B34,'Machinery Input Tables'!$B$6:$AF$121,13,FALSE)='Machinery Input Tables'!$N$128,1),1,VLOOKUP(B34,'Machinery Input Tables'!$B$6:$AF$121,28,FALSE))+IFERROR(VLOOKUP(B34,'Machinery Input Tables'!$B$6:$AF$121,27,FALSE),0))*D34),"-")</f>
        <v>13.358552631578949</v>
      </c>
      <c r="H34" s="141">
        <f>IFERROR((IFERROR(VLOOKUP(B34,'Machinery Input Tables'!$B$6:$AF$121,24,FALSE),0)+VLOOKUP(C34,'Machinery Input Tables'!$AH$6:$BA$30,20,FALSE))*IF(IFERROR(VLOOKUP(B34,'Machinery Input Tables'!$B$6:$AF$121,13,FALSE)='Machinery Input Tables'!$N$128,1),1,VLOOKUP(B34,'Machinery Input Tables'!$B$6:$AF$121,28,FALSE))*D34,"-")</f>
        <v>5.4105509647097261</v>
      </c>
      <c r="I34" s="152">
        <f t="shared" si="1"/>
        <v>18.769103596288673</v>
      </c>
    </row>
    <row r="35" spans="2:9" ht="16.5">
      <c r="B35" s="302"/>
      <c r="C35" s="302"/>
      <c r="D35" s="303"/>
      <c r="E35" s="161" t="str">
        <f>IFERROR(IF(ISBLANK(C35),"",IF(OR(ISBLANK(B35),IFERROR(VLOOKUP(B35,'Machinery Input Tables'!$B$6:$AF$121,13,FALSE),"")='Machinery Input Tables'!$N$128),1,VLOOKUP(B35,'Machinery Input Tables'!$B$6:$AF$121,28,FALSE))*VLOOKUP(C35,'Machinery Input Tables'!$AH$6:$BA$30,19,FALSE))*D35,"-")</f>
        <v>-</v>
      </c>
      <c r="F35" s="161" t="str">
        <f>IFERROR(IF(AND(ISBLANK(B35)*ISBLANK(C35)),"",IF(ISBLANK(B35),1,IF(VLOOKUP(B35,'Machinery Input Tables'!$B$6:$AF$121,13,FALSE)='Machinery Input Tables'!$N$128,VLOOKUP(B35,'Machinery Input Tables'!$B$6:$AF$121,17,FALSE),VLOOKUP(B35,'Machinery Input Tables'!$B$6:$AF$121,28,FALSE))))*D35,"-")</f>
        <v>-</v>
      </c>
      <c r="G35" s="162" t="str">
        <f>IFERROR(IF(ISBLANK(C35),"",E35*'Machinery Input Tables'!$BP$10+F35*'Machinery Input Tables'!$BP$6+(VLOOKUP(C35,'Machinery Input Tables'!$AH$6:$BA$30,18,FALSE)*IF(IFERROR(VLOOKUP(B35,'Machinery Input Tables'!$B$6:$AF$121,13,FALSE)='Machinery Input Tables'!$N$128,1),1,VLOOKUP(B35,'Machinery Input Tables'!$B$6:$AF$121,28,FALSE))+IFERROR(VLOOKUP(B35,'Machinery Input Tables'!$B$6:$AF$121,27,FALSE),0))*D35),"-")</f>
        <v/>
      </c>
      <c r="H35" s="161" t="str">
        <f>IFERROR((IFERROR(VLOOKUP(B35,'Machinery Input Tables'!$B$6:$AF$121,24,FALSE),0)+VLOOKUP(C35,'Machinery Input Tables'!$AH$6:$BA$30,20,FALSE))*IF(IFERROR(VLOOKUP(B35,'Machinery Input Tables'!$B$6:$AF$121,13,FALSE)='Machinery Input Tables'!$N$128,1),1,VLOOKUP(B35,'Machinery Input Tables'!$B$6:$AF$121,28,FALSE))*D35,"-")</f>
        <v>-</v>
      </c>
      <c r="I35" s="162">
        <f>IFERROR(IF(ISBLANK(AND(B35,C35)),"",SUM(G35:H35)),"-")</f>
        <v>0</v>
      </c>
    </row>
    <row r="36" spans="2:9" ht="16.5">
      <c r="B36" s="149"/>
      <c r="C36" s="163" t="s">
        <v>31</v>
      </c>
      <c r="D36" s="255"/>
      <c r="E36" s="164">
        <f>SUM(E25:E35)</f>
        <v>6.6032432422969185</v>
      </c>
      <c r="F36" s="164">
        <f t="shared" ref="F36" si="2">SUM(F25:F35)</f>
        <v>0.91630665766306529</v>
      </c>
      <c r="G36" s="164">
        <f t="shared" ref="G36" si="3">SUM(G25:G35)</f>
        <v>81.503224814507249</v>
      </c>
      <c r="H36" s="164">
        <f t="shared" ref="H36" si="4">SUM(H25:H35)</f>
        <v>84.685284932454806</v>
      </c>
      <c r="I36" s="164">
        <f>SUM(I24:I35)</f>
        <v>184.35152036165982</v>
      </c>
    </row>
    <row r="37" spans="2:9" ht="16.5">
      <c r="B37" s="149"/>
      <c r="C37" s="163"/>
      <c r="D37" s="164"/>
      <c r="E37" s="164"/>
      <c r="F37" s="164"/>
      <c r="G37" s="164"/>
      <c r="H37" s="164"/>
      <c r="I37" s="164"/>
    </row>
    <row r="38" spans="2:9" ht="16.5">
      <c r="B38" s="149"/>
      <c r="C38" s="163"/>
      <c r="D38" s="164"/>
      <c r="E38" s="164"/>
      <c r="F38" s="164"/>
      <c r="G38" s="164"/>
      <c r="H38" s="164"/>
      <c r="I38" s="164"/>
    </row>
    <row r="39" spans="2:9" ht="16.5">
      <c r="B39" s="329" t="s">
        <v>878</v>
      </c>
      <c r="C39" s="329"/>
      <c r="D39" s="329"/>
      <c r="E39" s="329"/>
      <c r="F39" s="329"/>
      <c r="G39" s="329"/>
      <c r="H39" s="329"/>
      <c r="I39" s="329"/>
    </row>
    <row r="40" spans="2:9" ht="16.5">
      <c r="B40" s="326" t="s">
        <v>535</v>
      </c>
      <c r="C40" s="328" t="s">
        <v>536</v>
      </c>
      <c r="D40" s="261" t="s">
        <v>15</v>
      </c>
      <c r="E40" s="328" t="s">
        <v>537</v>
      </c>
      <c r="F40" s="328" t="s">
        <v>538</v>
      </c>
      <c r="G40" s="144" t="s">
        <v>539</v>
      </c>
      <c r="H40" s="144" t="s">
        <v>540</v>
      </c>
      <c r="I40" s="330" t="s">
        <v>541</v>
      </c>
    </row>
    <row r="41" spans="2:9" ht="16.5">
      <c r="B41" s="327"/>
      <c r="C41" s="329"/>
      <c r="D41" s="262" t="s">
        <v>810</v>
      </c>
      <c r="E41" s="329"/>
      <c r="F41" s="329"/>
      <c r="G41" s="142" t="s">
        <v>554</v>
      </c>
      <c r="H41" s="142" t="s">
        <v>554</v>
      </c>
      <c r="I41" s="331"/>
    </row>
    <row r="42" spans="2:9" ht="16.5">
      <c r="B42" s="149"/>
      <c r="C42" s="149"/>
      <c r="D42" s="150" t="s">
        <v>560</v>
      </c>
      <c r="E42" s="150" t="s">
        <v>557</v>
      </c>
      <c r="F42" s="150" t="s">
        <v>558</v>
      </c>
      <c r="G42" s="150" t="s">
        <v>559</v>
      </c>
      <c r="H42" s="150" t="s">
        <v>559</v>
      </c>
      <c r="I42" s="150" t="s">
        <v>561</v>
      </c>
    </row>
    <row r="43" spans="2:9" ht="17.25" customHeight="1">
      <c r="B43" s="300" t="s">
        <v>866</v>
      </c>
      <c r="C43" s="300" t="s">
        <v>871</v>
      </c>
      <c r="D43" s="301">
        <v>1</v>
      </c>
      <c r="E43" s="141">
        <f>IFERROR(IF(ISBLANK(C43),"",IF(OR(ISBLANK(B43),IFERROR(VLOOKUP(B43,'Machinery Input Tables'!$B$6:$AF$121,13,FALSE),"")='Machinery Input Tables'!$N$128),1,VLOOKUP(B43,'Machinery Input Tables'!$B$6:$AF$121,28,FALSE))*VLOOKUP(C43,'Machinery Input Tables'!$AH$6:$BA$30,19,FALSE))*D43,"-")</f>
        <v>0.62117647058823522</v>
      </c>
      <c r="F43" s="141">
        <f>IFERROR(IF(AND(ISBLANK(B43)*ISBLANK(C43)),"",IF(ISBLANK(B43),1,IF(VLOOKUP(B43,'Machinery Input Tables'!$B$6:$AF$121,13,FALSE)='Machinery Input Tables'!$N$128,VLOOKUP(B43,'Machinery Input Tables'!$B$6:$AF$121,17,FALSE),VLOOKUP(B43,'Machinery Input Tables'!$B$6:$AF$121,28,FALSE))))*D43,"-")</f>
        <v>8.8235294117647065E-2</v>
      </c>
      <c r="G43" s="152">
        <f>IFERROR(IF(ISBLANK(C43),"",E43*'Machinery Input Tables'!$BP$10+F43*'Machinery Input Tables'!$BP$6+(VLOOKUP(C43,'Machinery Input Tables'!$AH$6:$BA$30,18,FALSE)*IF(IFERROR(VLOOKUP(B43,'Machinery Input Tables'!$B$6:$AF$121,13,FALSE)='Machinery Input Tables'!$N$128,1),1,VLOOKUP(B43,'Machinery Input Tables'!$B$6:$AF$121,28,FALSE))+IFERROR(VLOOKUP(B43,'Machinery Input Tables'!$B$6:$AF$121,27,FALSE),0))*D43),"-")</f>
        <v>7.4153017022983923</v>
      </c>
      <c r="H43" s="141">
        <f>IFERROR((IFERROR(VLOOKUP(B43,'Machinery Input Tables'!$B$6:$AF$121,24,FALSE),0)+VLOOKUP(C43,'Machinery Input Tables'!$AH$6:$BA$30,20,FALSE))*IF(IFERROR(VLOOKUP(B43,'Machinery Input Tables'!$B$6:$AF$121,13,FALSE)='Machinery Input Tables'!$N$128,1),1,VLOOKUP(B43,'Machinery Input Tables'!$B$6:$AF$121,28,FALSE))*D43,"-")</f>
        <v>11.553870004976101</v>
      </c>
      <c r="I43" s="152">
        <f>IFERROR(IF(ISBLANK(AND(B43,C43)),"",SUM(G43:H43)),"-")</f>
        <v>18.969171707274494</v>
      </c>
    </row>
    <row r="44" spans="2:9" ht="17.25" customHeight="1">
      <c r="B44" s="300" t="s">
        <v>868</v>
      </c>
      <c r="C44" s="300" t="s">
        <v>871</v>
      </c>
      <c r="D44" s="301">
        <v>2</v>
      </c>
      <c r="E44" s="141">
        <f>IFERROR(IF(ISBLANK(C44),"",IF(OR(ISBLANK(B44),IFERROR(VLOOKUP(B44,'Machinery Input Tables'!$B$6:$AF$121,13,FALSE),"")='Machinery Input Tables'!$N$128),1,VLOOKUP(B44,'Machinery Input Tables'!$B$6:$AF$121,28,FALSE))*VLOOKUP(C44,'Machinery Input Tables'!$AH$6:$BA$30,19,FALSE))*D44,"-")</f>
        <v>1.1523809523809521</v>
      </c>
      <c r="F44" s="141">
        <f>IFERROR(IF(AND(ISBLANK(B44)*ISBLANK(C44)),"",IF(ISBLANK(B44),1,IF(VLOOKUP(B44,'Machinery Input Tables'!$B$6:$AF$121,13,FALSE)='Machinery Input Tables'!$N$128,VLOOKUP(B44,'Machinery Input Tables'!$B$6:$AF$121,17,FALSE),VLOOKUP(B44,'Machinery Input Tables'!$B$6:$AF$121,28,FALSE))))*D44,"-")</f>
        <v>0.16369047619047616</v>
      </c>
      <c r="G44" s="152">
        <f>IFERROR(IF(ISBLANK(C44),"",E44*'Machinery Input Tables'!$BP$10+F44*'Machinery Input Tables'!$BP$6+(VLOOKUP(C44,'Machinery Input Tables'!$AH$6:$BA$30,18,FALSE)*IF(IFERROR(VLOOKUP(B44,'Machinery Input Tables'!$B$6:$AF$121,13,FALSE)='Machinery Input Tables'!$N$128,1),1,VLOOKUP(B44,'Machinery Input Tables'!$B$6:$AF$121,28,FALSE))+IFERROR(VLOOKUP(B44,'Machinery Input Tables'!$B$6:$AF$121,27,FALSE),0))*D44),"-")</f>
        <v>14.439887836612003</v>
      </c>
      <c r="H44" s="141">
        <f>IFERROR((IFERROR(VLOOKUP(B44,'Machinery Input Tables'!$B$6:$AF$121,24,FALSE),0)+VLOOKUP(C44,'Machinery Input Tables'!$AH$6:$BA$30,20,FALSE))*IF(IFERROR(VLOOKUP(B44,'Machinery Input Tables'!$B$6:$AF$121,13,FALSE)='Machinery Input Tables'!$N$128,1),1,VLOOKUP(B44,'Machinery Input Tables'!$B$6:$AF$121,28,FALSE))*D44,"-")</f>
        <v>22.232531969570289</v>
      </c>
      <c r="I44" s="152">
        <f t="shared" ref="I44:I46" si="5">IFERROR(IF(ISBLANK(AND(B44,C44)),"",SUM(G44:H44)),"-")</f>
        <v>36.67241980618229</v>
      </c>
    </row>
    <row r="45" spans="2:9" ht="17.25" customHeight="1">
      <c r="B45" s="300" t="s">
        <v>867</v>
      </c>
      <c r="C45" s="300" t="s">
        <v>871</v>
      </c>
      <c r="D45" s="301">
        <v>2</v>
      </c>
      <c r="E45" s="141">
        <f>IFERROR(IF(ISBLANK(C45),"",IF(OR(ISBLANK(B45),IFERROR(VLOOKUP(B45,'Machinery Input Tables'!$B$6:$AF$121,13,FALSE),"")='Machinery Input Tables'!$N$128),1,VLOOKUP(B45,'Machinery Input Tables'!$B$6:$AF$121,28,FALSE))*VLOOKUP(C45,'Machinery Input Tables'!$AH$6:$BA$30,19,FALSE))*D45,"-")</f>
        <v>0.69723889555822327</v>
      </c>
      <c r="F45" s="141">
        <f>IFERROR(IF(AND(ISBLANK(B45)*ISBLANK(C45)),"",IF(ISBLANK(B45),1,IF(VLOOKUP(B45,'Machinery Input Tables'!$B$6:$AF$121,13,FALSE)='Machinery Input Tables'!$N$128,VLOOKUP(B45,'Machinery Input Tables'!$B$6:$AF$121,17,FALSE),VLOOKUP(B45,'Machinery Input Tables'!$B$6:$AF$121,28,FALSE))))*D45,"-")</f>
        <v>9.9039615846338538E-2</v>
      </c>
      <c r="G45" s="152">
        <f>IFERROR(IF(ISBLANK(C45),"",E45*'Machinery Input Tables'!$BP$10+F45*'Machinery Input Tables'!$BP$6+(VLOOKUP(C45,'Machinery Input Tables'!$AH$6:$BA$30,18,FALSE)*IF(IFERROR(VLOOKUP(B45,'Machinery Input Tables'!$B$6:$AF$121,13,FALSE)='Machinery Input Tables'!$N$128,1),1,VLOOKUP(B45,'Machinery Input Tables'!$B$6:$AF$121,28,FALSE))+IFERROR(VLOOKUP(B45,'Machinery Input Tables'!$B$6:$AF$121,27,FALSE),0))*D45),"-")</f>
        <v>8.0829852889381666</v>
      </c>
      <c r="H45" s="141">
        <f>IFERROR((IFERROR(VLOOKUP(B45,'Machinery Input Tables'!$B$6:$AF$121,24,FALSE),0)+VLOOKUP(C45,'Machinery Input Tables'!$AH$6:$BA$30,20,FALSE))*IF(IFERROR(VLOOKUP(B45,'Machinery Input Tables'!$B$6:$AF$121,13,FALSE)='Machinery Input Tables'!$N$128,1),1,VLOOKUP(B45,'Machinery Input Tables'!$B$6:$AF$121,28,FALSE))*D45,"-")</f>
        <v>10.432093520387751</v>
      </c>
      <c r="I45" s="152">
        <f t="shared" si="5"/>
        <v>18.515078809325917</v>
      </c>
    </row>
    <row r="46" spans="2:9" ht="17.25" customHeight="1">
      <c r="B46" s="300" t="s">
        <v>872</v>
      </c>
      <c r="C46" s="300" t="s">
        <v>871</v>
      </c>
      <c r="D46" s="301">
        <v>3</v>
      </c>
      <c r="E46" s="141">
        <f>IFERROR(IF(ISBLANK(C46),"",IF(OR(ISBLANK(B46),IFERROR(VLOOKUP(B46,'Machinery Input Tables'!$B$6:$AF$121,13,FALSE),"")='Machinery Input Tables'!$N$128),1,VLOOKUP(B46,'Machinery Input Tables'!$B$6:$AF$121,28,FALSE))*VLOOKUP(C46,'Machinery Input Tables'!$AH$6:$BA$30,19,FALSE))*D46,"-")</f>
        <v>1.3665882352941177</v>
      </c>
      <c r="F46" s="141">
        <f>IFERROR(IF(AND(ISBLANK(B46)*ISBLANK(C46)),"",IF(ISBLANK(B46),1,IF(VLOOKUP(B46,'Machinery Input Tables'!$B$6:$AF$121,13,FALSE)='Machinery Input Tables'!$N$128,VLOOKUP(B46,'Machinery Input Tables'!$B$6:$AF$121,17,FALSE),VLOOKUP(B46,'Machinery Input Tables'!$B$6:$AF$121,28,FALSE))))*D46,"-")</f>
        <v>0.19411764705882356</v>
      </c>
      <c r="G46" s="152">
        <f>IFERROR(IF(ISBLANK(C46),"",E46*'Machinery Input Tables'!$BP$10+F46*'Machinery Input Tables'!$BP$6+(VLOOKUP(C46,'Machinery Input Tables'!$AH$6:$BA$30,18,FALSE)*IF(IFERROR(VLOOKUP(B46,'Machinery Input Tables'!$B$6:$AF$121,13,FALSE)='Machinery Input Tables'!$N$128,1),1,VLOOKUP(B46,'Machinery Input Tables'!$B$6:$AF$121,28,FALSE))+IFERROR(VLOOKUP(B46,'Machinery Input Tables'!$B$6:$AF$121,27,FALSE),0))*D46),"-")</f>
        <v>15.775026052726819</v>
      </c>
      <c r="H46" s="141">
        <f>IFERROR((IFERROR(VLOOKUP(B46,'Machinery Input Tables'!$B$6:$AF$121,24,FALSE),0)+VLOOKUP(C46,'Machinery Input Tables'!$AH$6:$BA$30,20,FALSE))*IF(IFERROR(VLOOKUP(B46,'Machinery Input Tables'!$B$6:$AF$121,13,FALSE)='Machinery Input Tables'!$N$128,1),1,VLOOKUP(B46,'Machinery Input Tables'!$B$6:$AF$121,28,FALSE))*D46,"-")</f>
        <v>19.342122066594751</v>
      </c>
      <c r="I46" s="152">
        <f t="shared" si="5"/>
        <v>35.11714811932157</v>
      </c>
    </row>
    <row r="47" spans="2:9" ht="16.5">
      <c r="B47" s="300" t="s">
        <v>869</v>
      </c>
      <c r="C47" s="300" t="s">
        <v>871</v>
      </c>
      <c r="D47" s="301">
        <v>1</v>
      </c>
      <c r="E47" s="141">
        <f>IFERROR(IF(ISBLANK(C47),"",IF(OR(ISBLANK(B47),IFERROR(VLOOKUP(B47,'Machinery Input Tables'!$B$6:$AF$121,13,FALSE),"")='Machinery Input Tables'!$N$128),1,VLOOKUP(B47,'Machinery Input Tables'!$B$6:$AF$121,28,FALSE))*VLOOKUP(C47,'Machinery Input Tables'!$AH$6:$BA$30,19,FALSE))*D47,"-")</f>
        <v>0.75428571428571412</v>
      </c>
      <c r="F47" s="141">
        <f>IFERROR(IF(AND(ISBLANK(B47)*ISBLANK(C47)),"",IF(ISBLANK(B47),1,IF(VLOOKUP(B47,'Machinery Input Tables'!$B$6:$AF$121,13,FALSE)='Machinery Input Tables'!$N$128,VLOOKUP(B47,'Machinery Input Tables'!$B$6:$AF$121,17,FALSE),VLOOKUP(B47,'Machinery Input Tables'!$B$6:$AF$121,28,FALSE))))*D47,"-")</f>
        <v>0.10714285714285714</v>
      </c>
      <c r="G47" s="152">
        <f>IFERROR(IF(ISBLANK(C47),"",E47*'Machinery Input Tables'!$BP$10+F47*'Machinery Input Tables'!$BP$6+(VLOOKUP(C47,'Machinery Input Tables'!$AH$6:$BA$30,18,FALSE)*IF(IFERROR(VLOOKUP(B47,'Machinery Input Tables'!$B$6:$AF$121,13,FALSE)='Machinery Input Tables'!$N$128,1),1,VLOOKUP(B47,'Machinery Input Tables'!$B$6:$AF$121,28,FALSE))+IFERROR(VLOOKUP(B47,'Machinery Input Tables'!$B$6:$AF$121,27,FALSE),0))*D47),"-")</f>
        <v>9.9861755178410796</v>
      </c>
      <c r="H47" s="141">
        <f>IFERROR((IFERROR(VLOOKUP(B47,'Machinery Input Tables'!$B$6:$AF$121,24,FALSE),0)+VLOOKUP(C47,'Machinery Input Tables'!$AH$6:$BA$30,20,FALSE))*IF(IFERROR(VLOOKUP(B47,'Machinery Input Tables'!$B$6:$AF$121,13,FALSE)='Machinery Input Tables'!$N$128,1),1,VLOOKUP(B47,'Machinery Input Tables'!$B$6:$AF$121,28,FALSE))*D47,"-")</f>
        <v>14.199056463772342</v>
      </c>
      <c r="I47" s="152">
        <f t="shared" ref="I47:I54" si="6">IFERROR(IF(ISBLANK(AND(B47,C47)),"",SUM(G47:H47)),"-")</f>
        <v>24.18523198161342</v>
      </c>
    </row>
    <row r="48" spans="2:9" ht="16.5">
      <c r="B48" s="300" t="s">
        <v>811</v>
      </c>
      <c r="C48" s="300" t="s">
        <v>804</v>
      </c>
      <c r="D48" s="301">
        <v>1</v>
      </c>
      <c r="E48" s="141">
        <f>IFERROR(IF(ISBLANK(C48),"",IF(OR(ISBLANK(B48),IFERROR(VLOOKUP(B48,'Machinery Input Tables'!$B$6:$AF$121,13,FALSE),"")='Machinery Input Tables'!$N$128),1,VLOOKUP(B48,'Machinery Input Tables'!$B$6:$AF$121,28,FALSE))*VLOOKUP(C48,'Machinery Input Tables'!$AH$6:$BA$30,19,FALSE))*D48,"-")</f>
        <v>1.0947619047619046</v>
      </c>
      <c r="F48" s="141">
        <f>IFERROR(IF(AND(ISBLANK(B48)*ISBLANK(C48)),"",IF(ISBLANK(B48),1,IF(VLOOKUP(B48,'Machinery Input Tables'!$B$6:$AF$121,13,FALSE)='Machinery Input Tables'!$N$128,VLOOKUP(B48,'Machinery Input Tables'!$B$6:$AF$121,17,FALSE),VLOOKUP(B48,'Machinery Input Tables'!$B$6:$AF$121,28,FALSE))))*D48,"-")</f>
        <v>0.10476190476190476</v>
      </c>
      <c r="G48" s="152">
        <f>IFERROR(IF(ISBLANK(C48),"",E48*'Machinery Input Tables'!$BP$10+F48*'Machinery Input Tables'!$BP$6+(VLOOKUP(C48,'Machinery Input Tables'!$AH$6:$BA$30,18,FALSE)*IF(IFERROR(VLOOKUP(B48,'Machinery Input Tables'!$B$6:$AF$121,13,FALSE)='Machinery Input Tables'!$N$128,1),1,VLOOKUP(B48,'Machinery Input Tables'!$B$6:$AF$121,28,FALSE))+IFERROR(VLOOKUP(B48,'Machinery Input Tables'!$B$6:$AF$121,27,FALSE),0))*D48),"-")</f>
        <v>14.647926134508426</v>
      </c>
      <c r="H48" s="141">
        <f>IFERROR((IFERROR(VLOOKUP(B48,'Machinery Input Tables'!$B$6:$AF$121,24,FALSE),0)+VLOOKUP(C48,'Machinery Input Tables'!$AH$6:$BA$30,20,FALSE))*IF(IFERROR(VLOOKUP(B48,'Machinery Input Tables'!$B$6:$AF$121,13,FALSE)='Machinery Input Tables'!$N$128,1),1,VLOOKUP(B48,'Machinery Input Tables'!$B$6:$AF$121,28,FALSE))*D48,"-")</f>
        <v>19.918449503641831</v>
      </c>
      <c r="I48" s="152">
        <f t="shared" si="6"/>
        <v>34.566375638150255</v>
      </c>
    </row>
    <row r="49" spans="2:9" ht="16.5">
      <c r="B49" s="300"/>
      <c r="C49" s="300" t="s">
        <v>799</v>
      </c>
      <c r="D49" s="301">
        <v>0.04</v>
      </c>
      <c r="E49" s="141">
        <f>IFERROR(IF(ISBLANK(C49),"",IF(OR(ISBLANK(B49),IFERROR(VLOOKUP(B49,'Machinery Input Tables'!$B$6:$AF$121,13,FALSE),"")='Machinery Input Tables'!$N$128),1,VLOOKUP(B49,'Machinery Input Tables'!$B$6:$AF$121,28,FALSE))*VLOOKUP(C49,'Machinery Input Tables'!$AH$6:$BA$30,19,FALSE))*D49,"-")</f>
        <v>0.19500000000000001</v>
      </c>
      <c r="F49" s="141">
        <f>IFERROR(IF(AND(ISBLANK(B49)*ISBLANK(C49)),"",IF(ISBLANK(B49),1,IF(VLOOKUP(B49,'Machinery Input Tables'!$B$6:$AF$121,13,FALSE)='Machinery Input Tables'!$N$128,VLOOKUP(B49,'Machinery Input Tables'!$B$6:$AF$121,17,FALSE),VLOOKUP(B49,'Machinery Input Tables'!$B$6:$AF$121,28,FALSE))))*D49,"-")</f>
        <v>0.04</v>
      </c>
      <c r="G49" s="152">
        <f>IFERROR(IF(ISBLANK(C49),"",E49*'Machinery Input Tables'!$BP$10+F49*'Machinery Input Tables'!$BP$6+(VLOOKUP(C49,'Machinery Input Tables'!$AH$6:$BA$30,18,FALSE)*IF(IFERROR(VLOOKUP(B49,'Machinery Input Tables'!$B$6:$AF$121,13,FALSE)='Machinery Input Tables'!$N$128,1),1,VLOOKUP(B49,'Machinery Input Tables'!$B$6:$AF$121,28,FALSE))+IFERROR(VLOOKUP(B49,'Machinery Input Tables'!$B$6:$AF$121,27,FALSE),0))*D49),"-")</f>
        <v>1.8564166666666668</v>
      </c>
      <c r="H49" s="141">
        <f>IFERROR((IFERROR(VLOOKUP(B49,'Machinery Input Tables'!$B$6:$AF$121,24,FALSE),0)+VLOOKUP(C49,'Machinery Input Tables'!$AH$6:$BA$30,20,FALSE))*IF(IFERROR(VLOOKUP(B49,'Machinery Input Tables'!$B$6:$AF$121,13,FALSE)='Machinery Input Tables'!$N$128,1),1,VLOOKUP(B49,'Machinery Input Tables'!$B$6:$AF$121,28,FALSE))*D49,"-")</f>
        <v>0.57884752741873391</v>
      </c>
      <c r="I49" s="152">
        <f t="shared" si="6"/>
        <v>2.4352641940854007</v>
      </c>
    </row>
    <row r="50" spans="2:9" ht="16.5">
      <c r="B50" s="300" t="s">
        <v>800</v>
      </c>
      <c r="C50" s="300" t="s">
        <v>803</v>
      </c>
      <c r="D50" s="301">
        <v>0.02</v>
      </c>
      <c r="E50" s="141" t="str">
        <f>IFERROR(IF(ISBLANK(C50),"",IF(OR(ISBLANK(B50),IFERROR(VLOOKUP(B50,'Machinery Input Tables'!$B$6:$AF$121,13,FALSE),"")='Machinery Input Tables'!$N$128),1,VLOOKUP(B50,'Machinery Input Tables'!$B$6:$AF$121,28,FALSE))*VLOOKUP(C50,'Machinery Input Tables'!$AH$6:$BA$30,19,FALSE))*D50,"-")</f>
        <v>-</v>
      </c>
      <c r="F50" s="141" t="str">
        <f>IFERROR(IF(AND(ISBLANK(B50)*ISBLANK(C50)),"",IF(ISBLANK(B50),1,IF(VLOOKUP(B50,'Machinery Input Tables'!$B$6:$AF$121,13,FALSE)='Machinery Input Tables'!$N$128,VLOOKUP(B50,'Machinery Input Tables'!$B$6:$AF$121,17,FALSE),VLOOKUP(B50,'Machinery Input Tables'!$B$6:$AF$121,28,FALSE))))*D50,"-")</f>
        <v>-</v>
      </c>
      <c r="G50" s="152" t="str">
        <f>IFERROR(IF(ISBLANK(C50),"",E50*'Machinery Input Tables'!$BP$10+F50*'Machinery Input Tables'!$BP$6+(VLOOKUP(C50,'Machinery Input Tables'!$AH$6:$BA$30,18,FALSE)*IF(IFERROR(VLOOKUP(B50,'Machinery Input Tables'!$B$6:$AF$121,13,FALSE)='Machinery Input Tables'!$N$128,1),1,VLOOKUP(B50,'Machinery Input Tables'!$B$6:$AF$121,28,FALSE))+IFERROR(VLOOKUP(B50,'Machinery Input Tables'!$B$6:$AF$121,27,FALSE),0))*D50),"-")</f>
        <v>-</v>
      </c>
      <c r="H50" s="141">
        <f>IFERROR((IFERROR(VLOOKUP(B50,'Machinery Input Tables'!$B$6:$AF$121,24,FALSE),0)+VLOOKUP(C50,'Machinery Input Tables'!$AH$6:$BA$30,20,FALSE))*IF(IFERROR(VLOOKUP(B50,'Machinery Input Tables'!$B$6:$AF$121,13,FALSE)='Machinery Input Tables'!$N$128,1),1,VLOOKUP(B50,'Machinery Input Tables'!$B$6:$AF$121,28,FALSE))*D50,"-")</f>
        <v>0.81187231521216274</v>
      </c>
      <c r="I50" s="152">
        <f t="shared" si="6"/>
        <v>0.81187231521216274</v>
      </c>
    </row>
    <row r="51" spans="2:9" ht="16.5">
      <c r="B51" s="300"/>
      <c r="C51" s="300" t="s">
        <v>765</v>
      </c>
      <c r="D51" s="301">
        <v>0.15</v>
      </c>
      <c r="E51" s="141">
        <f>IFERROR(IF(ISBLANK(C51),"",IF(OR(ISBLANK(B51),IFERROR(VLOOKUP(B51,'Machinery Input Tables'!$B$6:$AF$121,13,FALSE),"")='Machinery Input Tables'!$N$128),1,VLOOKUP(B51,'Machinery Input Tables'!$B$6:$AF$121,28,FALSE))*VLOOKUP(C51,'Machinery Input Tables'!$AH$6:$BA$30,19,FALSE))*D51,"-")</f>
        <v>0.44999999999999996</v>
      </c>
      <c r="F51" s="141">
        <f>IFERROR(IF(AND(ISBLANK(B51)*ISBLANK(C51)),"",IF(ISBLANK(B51),1,IF(VLOOKUP(B51,'Machinery Input Tables'!$B$6:$AF$121,13,FALSE)='Machinery Input Tables'!$N$128,VLOOKUP(B51,'Machinery Input Tables'!$B$6:$AF$121,17,FALSE),VLOOKUP(B51,'Machinery Input Tables'!$B$6:$AF$121,28,FALSE))))*D51,"-")</f>
        <v>0.15</v>
      </c>
      <c r="G51" s="152">
        <f>IFERROR(IF(ISBLANK(C51),"",E51*'Machinery Input Tables'!$BP$10+F51*'Machinery Input Tables'!$BP$6+(VLOOKUP(C51,'Machinery Input Tables'!$AH$6:$BA$30,18,FALSE)*IF(IFERROR(VLOOKUP(B51,'Machinery Input Tables'!$B$6:$AF$121,13,FALSE)='Machinery Input Tables'!$N$128,1),1,VLOOKUP(B51,'Machinery Input Tables'!$B$6:$AF$121,28,FALSE))+IFERROR(VLOOKUP(B51,'Machinery Input Tables'!$B$6:$AF$121,27,FALSE),0))*D51),"-")</f>
        <v>8.0151315789473685</v>
      </c>
      <c r="H51" s="141">
        <f>IFERROR((IFERROR(VLOOKUP(B51,'Machinery Input Tables'!$B$6:$AF$121,24,FALSE),0)+VLOOKUP(C51,'Machinery Input Tables'!$AH$6:$BA$30,20,FALSE))*IF(IFERROR(VLOOKUP(B51,'Machinery Input Tables'!$B$6:$AF$121,13,FALSE)='Machinery Input Tables'!$N$128,1),1,VLOOKUP(B51,'Machinery Input Tables'!$B$6:$AF$121,28,FALSE))*D51,"-")</f>
        <v>3.2463305788258356</v>
      </c>
      <c r="I51" s="152">
        <f t="shared" si="6"/>
        <v>11.261462157773204</v>
      </c>
    </row>
    <row r="52" spans="2:9" ht="16.5">
      <c r="B52" s="300"/>
      <c r="C52" s="300"/>
      <c r="D52" s="301"/>
      <c r="E52" s="141" t="str">
        <f>IFERROR(IF(ISBLANK(C52),"",IF(OR(ISBLANK(B52),IFERROR(VLOOKUP(B52,'Machinery Input Tables'!$B$6:$AF$121,13,FALSE),"")='Machinery Input Tables'!$N$128),1,VLOOKUP(B52,'Machinery Input Tables'!$B$6:$AF$121,28,FALSE))*VLOOKUP(C52,'Machinery Input Tables'!$AH$6:$BA$30,19,FALSE))*D52,"-")</f>
        <v>-</v>
      </c>
      <c r="F52" s="141" t="str">
        <f>IFERROR(IF(AND(ISBLANK(B52)*ISBLANK(C52)),"",IF(ISBLANK(B52),1,IF(VLOOKUP(B52,'Machinery Input Tables'!$B$6:$AF$121,13,FALSE)='Machinery Input Tables'!$N$128,VLOOKUP(B52,'Machinery Input Tables'!$B$6:$AF$121,17,FALSE),VLOOKUP(B52,'Machinery Input Tables'!$B$6:$AF$121,28,FALSE))))*D52,"-")</f>
        <v>-</v>
      </c>
      <c r="G52" s="152" t="str">
        <f>IFERROR(IF(ISBLANK(C52),"",E52*'Machinery Input Tables'!$BP$10+F52*'Machinery Input Tables'!$BP$6+(VLOOKUP(C52,'Machinery Input Tables'!$AH$6:$BA$30,18,FALSE)*IF(IFERROR(VLOOKUP(B52,'Machinery Input Tables'!$B$6:$AF$121,13,FALSE)='Machinery Input Tables'!$N$128,1),1,VLOOKUP(B52,'Machinery Input Tables'!$B$6:$AF$121,28,FALSE))+IFERROR(VLOOKUP(B52,'Machinery Input Tables'!$B$6:$AF$121,27,FALSE),0))*D52),"-")</f>
        <v/>
      </c>
      <c r="H52" s="141" t="str">
        <f>IFERROR((IFERROR(VLOOKUP(B52,'Machinery Input Tables'!$B$6:$AF$121,24,FALSE),0)+VLOOKUP(C52,'Machinery Input Tables'!$AH$6:$BA$30,20,FALSE))*IF(IFERROR(VLOOKUP(B52,'Machinery Input Tables'!$B$6:$AF$121,13,FALSE)='Machinery Input Tables'!$N$128,1),1,VLOOKUP(B52,'Machinery Input Tables'!$B$6:$AF$121,28,FALSE))*D52,"-")</f>
        <v>-</v>
      </c>
      <c r="I52" s="152">
        <f t="shared" si="6"/>
        <v>0</v>
      </c>
    </row>
    <row r="53" spans="2:9" ht="16.5">
      <c r="B53" s="300"/>
      <c r="C53" s="300"/>
      <c r="D53" s="301"/>
      <c r="E53" s="141" t="str">
        <f>IFERROR(IF(ISBLANK(C53),"",IF(OR(ISBLANK(B53),IFERROR(VLOOKUP(B53,'Machinery Input Tables'!$B$6:$AF$121,13,FALSE),"")='Machinery Input Tables'!$N$128),1,VLOOKUP(B53,'Machinery Input Tables'!$B$6:$AF$121,28,FALSE))*VLOOKUP(C53,'Machinery Input Tables'!$AH$6:$BA$30,19,FALSE))*D53,"-")</f>
        <v>-</v>
      </c>
      <c r="F53" s="141" t="str">
        <f>IFERROR(IF(AND(ISBLANK(B53)*ISBLANK(C53)),"",IF(ISBLANK(B53),1,IF(VLOOKUP(B53,'Machinery Input Tables'!$B$6:$AF$121,13,FALSE)='Machinery Input Tables'!$N$128,VLOOKUP(B53,'Machinery Input Tables'!$B$6:$AF$121,17,FALSE),VLOOKUP(B53,'Machinery Input Tables'!$B$6:$AF$121,28,FALSE))))*D53,"-")</f>
        <v>-</v>
      </c>
      <c r="G53" s="152" t="str">
        <f>IFERROR(IF(ISBLANK(C53),"",E53*'Machinery Input Tables'!$BP$10+F53*'Machinery Input Tables'!$BP$6+(VLOOKUP(C53,'Machinery Input Tables'!$AH$6:$BA$30,18,FALSE)*IF(IFERROR(VLOOKUP(B53,'Machinery Input Tables'!$B$6:$AF$121,13,FALSE)='Machinery Input Tables'!$N$128,1),1,VLOOKUP(B53,'Machinery Input Tables'!$B$6:$AF$121,28,FALSE))+IFERROR(VLOOKUP(B53,'Machinery Input Tables'!$B$6:$AF$121,27,FALSE),0))*D53),"-")</f>
        <v/>
      </c>
      <c r="H53" s="141" t="str">
        <f>IFERROR((IFERROR(VLOOKUP(B53,'Machinery Input Tables'!$B$6:$AF$121,24,FALSE),0)+VLOOKUP(C53,'Machinery Input Tables'!$AH$6:$BA$30,20,FALSE))*IF(IFERROR(VLOOKUP(B53,'Machinery Input Tables'!$B$6:$AF$121,13,FALSE)='Machinery Input Tables'!$N$128,1),1,VLOOKUP(B53,'Machinery Input Tables'!$B$6:$AF$121,28,FALSE))*D53,"-")</f>
        <v>-</v>
      </c>
      <c r="I53" s="152">
        <f t="shared" si="6"/>
        <v>0</v>
      </c>
    </row>
    <row r="54" spans="2:9" ht="16.5">
      <c r="B54" s="302"/>
      <c r="C54" s="302"/>
      <c r="D54" s="303"/>
      <c r="E54" s="161" t="str">
        <f>IFERROR(IF(ISBLANK(C54),"",IF(OR(ISBLANK(B54),IFERROR(VLOOKUP(B54,'Machinery Input Tables'!$B$6:$AF$121,13,FALSE),"")='Machinery Input Tables'!$N$128),1,VLOOKUP(B54,'Machinery Input Tables'!$B$6:$AF$121,28,FALSE))*VLOOKUP(C54,'Machinery Input Tables'!$AH$6:$BA$30,19,FALSE))*D54,"-")</f>
        <v>-</v>
      </c>
      <c r="F54" s="161" t="str">
        <f>IFERROR(IF(AND(ISBLANK(B54)*ISBLANK(C54)),"",IF(ISBLANK(B54),1,IF(VLOOKUP(B54,'Machinery Input Tables'!$B$6:$AF$121,13,FALSE)='Machinery Input Tables'!$N$128,VLOOKUP(B54,'Machinery Input Tables'!$B$6:$AF$121,17,FALSE),VLOOKUP(B54,'Machinery Input Tables'!$B$6:$AF$121,28,FALSE))))*D54,"-")</f>
        <v>-</v>
      </c>
      <c r="G54" s="162" t="str">
        <f>IFERROR(IF(ISBLANK(C54),"",E54*'Machinery Input Tables'!$BP$10+F54*'Machinery Input Tables'!$BP$6+(VLOOKUP(C54,'Machinery Input Tables'!$AH$6:$BA$30,18,FALSE)*IF(IFERROR(VLOOKUP(B54,'Machinery Input Tables'!$B$6:$AF$121,13,FALSE)='Machinery Input Tables'!$N$128,1),1,VLOOKUP(B54,'Machinery Input Tables'!$B$6:$AF$121,28,FALSE))+IFERROR(VLOOKUP(B54,'Machinery Input Tables'!$B$6:$AF$121,27,FALSE),0))*D54),"-")</f>
        <v/>
      </c>
      <c r="H54" s="161" t="str">
        <f>IFERROR((IFERROR(VLOOKUP(B54,'Machinery Input Tables'!$B$6:$AF$121,24,FALSE),0)+VLOOKUP(C54,'Machinery Input Tables'!$AH$6:$BA$30,20,FALSE))*IF(IFERROR(VLOOKUP(B54,'Machinery Input Tables'!$B$6:$AF$121,13,FALSE)='Machinery Input Tables'!$N$128,1),1,VLOOKUP(B54,'Machinery Input Tables'!$B$6:$AF$121,28,FALSE))*D54,"-")</f>
        <v>-</v>
      </c>
      <c r="I54" s="162">
        <f t="shared" si="6"/>
        <v>0</v>
      </c>
    </row>
    <row r="55" spans="2:9" ht="16.5">
      <c r="B55" s="149"/>
      <c r="C55" s="163" t="s">
        <v>31</v>
      </c>
      <c r="D55" s="255"/>
      <c r="E55" s="164">
        <f>SUM(E43:E54)</f>
        <v>6.3314321728691478</v>
      </c>
      <c r="F55" s="164">
        <f>SUM(F43:F54)</f>
        <v>0.9469877951180472</v>
      </c>
      <c r="G55" s="164">
        <f>SUM(G43:G54)</f>
        <v>80.218850778538922</v>
      </c>
      <c r="H55" s="164">
        <f>SUM(H43:H54)</f>
        <v>102.3151739503998</v>
      </c>
      <c r="I55" s="164">
        <f>SUM(I43:I54)</f>
        <v>182.53402472893868</v>
      </c>
    </row>
    <row r="56" spans="2:9" ht="16.5">
      <c r="B56" s="149"/>
      <c r="C56" s="149"/>
      <c r="D56" s="150"/>
      <c r="E56" s="150"/>
      <c r="F56" s="150"/>
      <c r="G56" s="150"/>
      <c r="H56" s="150"/>
      <c r="I56" s="150"/>
    </row>
    <row r="57" spans="2:9" ht="16.5">
      <c r="B57" s="149"/>
      <c r="C57" s="149"/>
      <c r="D57" s="150"/>
      <c r="E57" s="150"/>
      <c r="F57" s="150"/>
      <c r="G57" s="150"/>
      <c r="H57" s="150"/>
      <c r="I57" s="150"/>
    </row>
    <row r="58" spans="2:9" ht="16.5">
      <c r="B58" s="329" t="s">
        <v>786</v>
      </c>
      <c r="C58" s="329"/>
      <c r="D58" s="329"/>
      <c r="E58" s="329"/>
      <c r="F58" s="329"/>
      <c r="G58" s="329"/>
      <c r="H58" s="329"/>
      <c r="I58" s="329"/>
    </row>
    <row r="59" spans="2:9" ht="16.5">
      <c r="B59" s="326" t="s">
        <v>535</v>
      </c>
      <c r="C59" s="328" t="s">
        <v>536</v>
      </c>
      <c r="D59" s="261" t="s">
        <v>15</v>
      </c>
      <c r="E59" s="328" t="s">
        <v>537</v>
      </c>
      <c r="F59" s="328" t="s">
        <v>538</v>
      </c>
      <c r="G59" s="144" t="s">
        <v>539</v>
      </c>
      <c r="H59" s="144" t="s">
        <v>540</v>
      </c>
      <c r="I59" s="330" t="s">
        <v>541</v>
      </c>
    </row>
    <row r="60" spans="2:9" ht="16.5">
      <c r="B60" s="327"/>
      <c r="C60" s="329"/>
      <c r="D60" s="262" t="s">
        <v>810</v>
      </c>
      <c r="E60" s="329"/>
      <c r="F60" s="329"/>
      <c r="G60" s="142" t="s">
        <v>554</v>
      </c>
      <c r="H60" s="142" t="s">
        <v>554</v>
      </c>
      <c r="I60" s="331"/>
    </row>
    <row r="61" spans="2:9" ht="16.5">
      <c r="B61" s="149"/>
      <c r="C61" s="149"/>
      <c r="D61" s="150" t="s">
        <v>560</v>
      </c>
      <c r="E61" s="150" t="s">
        <v>557</v>
      </c>
      <c r="F61" s="150" t="s">
        <v>558</v>
      </c>
      <c r="G61" s="150" t="s">
        <v>559</v>
      </c>
      <c r="H61" s="150" t="s">
        <v>559</v>
      </c>
      <c r="I61" s="150" t="s">
        <v>561</v>
      </c>
    </row>
    <row r="62" spans="2:9" ht="16.5">
      <c r="B62" s="300" t="s">
        <v>764</v>
      </c>
      <c r="C62" s="300" t="s">
        <v>763</v>
      </c>
      <c r="D62" s="301">
        <v>1</v>
      </c>
      <c r="E62" s="141">
        <f>IFERROR(IF(ISBLANK(C62),"",IF(OR(ISBLANK(B62),IFERROR(VLOOKUP(B62,'Machinery Input Tables'!$B$6:$AF$121,13,FALSE),"")='Machinery Input Tables'!$N$128),1,VLOOKUP(B62,'Machinery Input Tables'!$B$6:$AF$121,28,FALSE))*VLOOKUP(C62,'Machinery Input Tables'!$AH$6:$BA$30,19,FALSE))*D62,"-")</f>
        <v>0.65999999999999992</v>
      </c>
      <c r="F62" s="141">
        <f>IFERROR(IF(AND(ISBLANK(B62)*ISBLANK(C62)),"",IF(ISBLANK(B62),1,IF(VLOOKUP(B62,'Machinery Input Tables'!$B$6:$AF$121,13,FALSE)='Machinery Input Tables'!$N$128,VLOOKUP(B62,'Machinery Input Tables'!$B$6:$AF$121,17,FALSE),VLOOKUP(B62,'Machinery Input Tables'!$B$6:$AF$121,28,FALSE))))*D62,"-")</f>
        <v>5.3571428571428568E-2</v>
      </c>
      <c r="G62" s="152">
        <f>IFERROR(IF(ISBLANK(C62),"",E62*'Machinery Input Tables'!$BP$10+F62*'Machinery Input Tables'!$BP$6+(VLOOKUP(C62,'Machinery Input Tables'!$AH$6:$BA$30,18,FALSE)*IF(IFERROR(VLOOKUP(B62,'Machinery Input Tables'!$B$6:$AF$121,13,FALSE)='Machinery Input Tables'!$N$128,1),1,VLOOKUP(B62,'Machinery Input Tables'!$B$6:$AF$121,28,FALSE))+IFERROR(VLOOKUP(B62,'Machinery Input Tables'!$B$6:$AF$121,27,FALSE),0))*D62),"-")</f>
        <v>10.315987687271134</v>
      </c>
      <c r="H62" s="141">
        <f>IFERROR((IFERROR(VLOOKUP(B62,'Machinery Input Tables'!$B$6:$AF$121,24,FALSE),0)+VLOOKUP(C62,'Machinery Input Tables'!$AH$6:$BA$30,20,FALSE))*IF(IFERROR(VLOOKUP(B62,'Machinery Input Tables'!$B$6:$AF$121,13,FALSE)='Machinery Input Tables'!$N$128,1),1,VLOOKUP(B62,'Machinery Input Tables'!$B$6:$AF$121,28,FALSE))*D62,"-")</f>
        <v>15.04263219469928</v>
      </c>
      <c r="I62" s="152">
        <f t="shared" ref="I62:I72" si="7">IFERROR(IF(ISBLANK(AND(B62,C62)),"",SUM(G62:H62)),"-")</f>
        <v>25.358619881970412</v>
      </c>
    </row>
    <row r="63" spans="2:9" ht="16.5">
      <c r="B63" s="300" t="s">
        <v>798</v>
      </c>
      <c r="C63" s="300" t="s">
        <v>803</v>
      </c>
      <c r="D63" s="301">
        <v>2</v>
      </c>
      <c r="E63" s="141">
        <f>IFERROR(IF(ISBLANK(C63),"",IF(OR(ISBLANK(B63),IFERROR(VLOOKUP(B63,'Machinery Input Tables'!$B$6:$AF$121,13,FALSE),"")='Machinery Input Tables'!$N$128),1,VLOOKUP(B63,'Machinery Input Tables'!$B$6:$AF$121,28,FALSE))*VLOOKUP(C63,'Machinery Input Tables'!$AH$6:$BA$30,19,FALSE))*D63,"-")</f>
        <v>0.16385416666666666</v>
      </c>
      <c r="F63" s="141">
        <f>IFERROR(IF(AND(ISBLANK(B63)*ISBLANK(C63)),"",IF(ISBLANK(B63),1,IF(VLOOKUP(B63,'Machinery Input Tables'!$B$6:$AF$121,13,FALSE)='Machinery Input Tables'!$N$128,VLOOKUP(B63,'Machinery Input Tables'!$B$6:$AF$121,17,FALSE),VLOOKUP(B63,'Machinery Input Tables'!$B$6:$AF$121,28,FALSE))))*D63,"-")</f>
        <v>2.8645833333333332E-2</v>
      </c>
      <c r="G63" s="152">
        <f>IFERROR(IF(ISBLANK(C63),"",E63*'Machinery Input Tables'!$BP$10+F63*'Machinery Input Tables'!$BP$6+(VLOOKUP(C63,'Machinery Input Tables'!$AH$6:$BA$30,18,FALSE)*IF(IFERROR(VLOOKUP(B63,'Machinery Input Tables'!$B$6:$AF$121,13,FALSE)='Machinery Input Tables'!$N$128,1),1,VLOOKUP(B63,'Machinery Input Tables'!$B$6:$AF$121,28,FALSE))+IFERROR(VLOOKUP(B63,'Machinery Input Tables'!$B$6:$AF$121,27,FALSE),0))*D63),"-")</f>
        <v>2.3160556423628984</v>
      </c>
      <c r="H63" s="141">
        <f>IFERROR((IFERROR(VLOOKUP(B63,'Machinery Input Tables'!$B$6:$AF$121,24,FALSE),0)+VLOOKUP(C63,'Machinery Input Tables'!$AH$6:$BA$30,20,FALSE))*IF(IFERROR(VLOOKUP(B63,'Machinery Input Tables'!$B$6:$AF$121,13,FALSE)='Machinery Input Tables'!$N$128,1),1,VLOOKUP(B63,'Machinery Input Tables'!$B$6:$AF$121,28,FALSE))*D63,"-")</f>
        <v>2.0241260734095912</v>
      </c>
      <c r="I63" s="152">
        <f t="shared" si="7"/>
        <v>4.3401817157724896</v>
      </c>
    </row>
    <row r="64" spans="2:9" ht="16.5">
      <c r="B64" s="300" t="s">
        <v>811</v>
      </c>
      <c r="C64" s="300" t="s">
        <v>804</v>
      </c>
      <c r="D64" s="301">
        <v>1</v>
      </c>
      <c r="E64" s="141">
        <f>IFERROR(IF(ISBLANK(C64),"",IF(OR(ISBLANK(B64),IFERROR(VLOOKUP(B64,'Machinery Input Tables'!$B$6:$AF$121,13,FALSE),"")='Machinery Input Tables'!$N$128),1,VLOOKUP(B64,'Machinery Input Tables'!$B$6:$AF$121,28,FALSE))*VLOOKUP(C64,'Machinery Input Tables'!$AH$6:$BA$30,19,FALSE))*D64,"-")</f>
        <v>1.0947619047619046</v>
      </c>
      <c r="F64" s="141">
        <f>IFERROR(IF(AND(ISBLANK(B64)*ISBLANK(C64)),"",IF(ISBLANK(B64),1,IF(VLOOKUP(B64,'Machinery Input Tables'!$B$6:$AF$121,13,FALSE)='Machinery Input Tables'!$N$128,VLOOKUP(B64,'Machinery Input Tables'!$B$6:$AF$121,17,FALSE),VLOOKUP(B64,'Machinery Input Tables'!$B$6:$AF$121,28,FALSE))))*D64,"-")</f>
        <v>0.10476190476190476</v>
      </c>
      <c r="G64" s="152">
        <f>IFERROR(IF(ISBLANK(C64),"",E64*'Machinery Input Tables'!$BP$10+F64*'Machinery Input Tables'!$BP$6+(VLOOKUP(C64,'Machinery Input Tables'!$AH$6:$BA$30,18,FALSE)*IF(IFERROR(VLOOKUP(B64,'Machinery Input Tables'!$B$6:$AF$121,13,FALSE)='Machinery Input Tables'!$N$128,1),1,VLOOKUP(B64,'Machinery Input Tables'!$B$6:$AF$121,28,FALSE))+IFERROR(VLOOKUP(B64,'Machinery Input Tables'!$B$6:$AF$121,27,FALSE),0))*D64),"-")</f>
        <v>14.647926134508426</v>
      </c>
      <c r="H64" s="141">
        <f>IFERROR((IFERROR(VLOOKUP(B64,'Machinery Input Tables'!$B$6:$AF$121,24,FALSE),0)+VLOOKUP(C64,'Machinery Input Tables'!$AH$6:$BA$30,20,FALSE))*IF(IFERROR(VLOOKUP(B64,'Machinery Input Tables'!$B$6:$AF$121,13,FALSE)='Machinery Input Tables'!$N$128,1),1,VLOOKUP(B64,'Machinery Input Tables'!$B$6:$AF$121,28,FALSE))*D64,"-")</f>
        <v>19.918449503641831</v>
      </c>
      <c r="I64" s="152">
        <f t="shared" si="7"/>
        <v>34.566375638150255</v>
      </c>
    </row>
    <row r="65" spans="2:9" ht="16.5">
      <c r="B65" s="300" t="s">
        <v>782</v>
      </c>
      <c r="C65" s="300" t="s">
        <v>783</v>
      </c>
      <c r="D65" s="301">
        <v>0.02</v>
      </c>
      <c r="E65" s="141">
        <f>IFERROR(IF(ISBLANK(C65),"",IF(OR(ISBLANK(B65),IFERROR(VLOOKUP(B65,'Machinery Input Tables'!$B$6:$AF$121,13,FALSE),"")='Machinery Input Tables'!$N$128),1,VLOOKUP(B65,'Machinery Input Tables'!$B$6:$AF$121,28,FALSE))*VLOOKUP(C65,'Machinery Input Tables'!$AH$6:$BA$30,19,FALSE))*D65,"-")</f>
        <v>0.14250000000000002</v>
      </c>
      <c r="F65" s="141">
        <f>IFERROR(IF(AND(ISBLANK(B65)*ISBLANK(C65)),"",IF(ISBLANK(B65),1,IF(VLOOKUP(B65,'Machinery Input Tables'!$B$6:$AF$121,13,FALSE)='Machinery Input Tables'!$N$128,VLOOKUP(B65,'Machinery Input Tables'!$B$6:$AF$121,17,FALSE),VLOOKUP(B65,'Machinery Input Tables'!$B$6:$AF$121,28,FALSE))))*D65,"-")</f>
        <v>2.2000000000000002E-2</v>
      </c>
      <c r="G65" s="152">
        <f>IFERROR(IF(ISBLANK(C65),"",E65*'Machinery Input Tables'!$BP$10+F65*'Machinery Input Tables'!$BP$6+(VLOOKUP(C65,'Machinery Input Tables'!$AH$6:$BA$30,18,FALSE)*IF(IFERROR(VLOOKUP(B65,'Machinery Input Tables'!$B$6:$AF$121,13,FALSE)='Machinery Input Tables'!$N$128,1),1,VLOOKUP(B65,'Machinery Input Tables'!$B$6:$AF$121,28,FALSE))+IFERROR(VLOOKUP(B65,'Machinery Input Tables'!$B$6:$AF$121,27,FALSE),0))*D65),"-")</f>
        <v>1.4153182692889144</v>
      </c>
      <c r="H65" s="141">
        <f>IFERROR((IFERROR(VLOOKUP(B65,'Machinery Input Tables'!$B$6:$AF$121,24,FALSE),0)+VLOOKUP(C65,'Machinery Input Tables'!$AH$6:$BA$30,20,FALSE))*IF(IFERROR(VLOOKUP(B65,'Machinery Input Tables'!$B$6:$AF$121,13,FALSE)='Machinery Input Tables'!$N$128,1),1,VLOOKUP(B65,'Machinery Input Tables'!$B$6:$AF$121,28,FALSE))*D65,"-")</f>
        <v>0.64884885640557866</v>
      </c>
      <c r="I65" s="152">
        <f t="shared" si="7"/>
        <v>2.0641671256944929</v>
      </c>
    </row>
    <row r="66" spans="2:9" ht="16.5">
      <c r="B66" s="300"/>
      <c r="C66" s="300" t="s">
        <v>799</v>
      </c>
      <c r="D66" s="301">
        <v>0.02</v>
      </c>
      <c r="E66" s="141">
        <f>IFERROR(IF(ISBLANK(C66),"",IF(OR(ISBLANK(B66),IFERROR(VLOOKUP(B66,'Machinery Input Tables'!$B$6:$AF$121,13,FALSE),"")='Machinery Input Tables'!$N$128),1,VLOOKUP(B66,'Machinery Input Tables'!$B$6:$AF$121,28,FALSE))*VLOOKUP(C66,'Machinery Input Tables'!$AH$6:$BA$30,19,FALSE))*D66,"-")</f>
        <v>9.7500000000000003E-2</v>
      </c>
      <c r="F66" s="141">
        <f>IFERROR(IF(AND(ISBLANK(B66)*ISBLANK(C66)),"",IF(ISBLANK(B66),1,IF(VLOOKUP(B66,'Machinery Input Tables'!$B$6:$AF$121,13,FALSE)='Machinery Input Tables'!$N$128,VLOOKUP(B66,'Machinery Input Tables'!$B$6:$AF$121,17,FALSE),VLOOKUP(B66,'Machinery Input Tables'!$B$6:$AF$121,28,FALSE))))*D66,"-")</f>
        <v>0.02</v>
      </c>
      <c r="G66" s="152">
        <f>IFERROR(IF(ISBLANK(C66),"",E66*'Machinery Input Tables'!$BP$10+F66*'Machinery Input Tables'!$BP$6+(VLOOKUP(C66,'Machinery Input Tables'!$AH$6:$BA$30,18,FALSE)*IF(IFERROR(VLOOKUP(B66,'Machinery Input Tables'!$B$6:$AF$121,13,FALSE)='Machinery Input Tables'!$N$128,1),1,VLOOKUP(B66,'Machinery Input Tables'!$B$6:$AF$121,28,FALSE))+IFERROR(VLOOKUP(B66,'Machinery Input Tables'!$B$6:$AF$121,27,FALSE),0))*D66),"-")</f>
        <v>0.92820833333333341</v>
      </c>
      <c r="H66" s="141">
        <f>IFERROR((IFERROR(VLOOKUP(B66,'Machinery Input Tables'!$B$6:$AF$121,24,FALSE),0)+VLOOKUP(C66,'Machinery Input Tables'!$AH$6:$BA$30,20,FALSE))*IF(IFERROR(VLOOKUP(B66,'Machinery Input Tables'!$B$6:$AF$121,13,FALSE)='Machinery Input Tables'!$N$128,1),1,VLOOKUP(B66,'Machinery Input Tables'!$B$6:$AF$121,28,FALSE))*D66,"-")</f>
        <v>0.28942376370936695</v>
      </c>
      <c r="I66" s="152">
        <f t="shared" si="7"/>
        <v>1.2176320970427004</v>
      </c>
    </row>
    <row r="67" spans="2:9" ht="16.5">
      <c r="B67" s="300" t="s">
        <v>800</v>
      </c>
      <c r="C67" s="300" t="s">
        <v>803</v>
      </c>
      <c r="D67" s="301">
        <v>0.02</v>
      </c>
      <c r="E67" s="141" t="str">
        <f>IFERROR(IF(ISBLANK(C67),"",IF(OR(ISBLANK(B67),IFERROR(VLOOKUP(B67,'Machinery Input Tables'!$B$6:$AF$121,13,FALSE),"")='Machinery Input Tables'!$N$128),1,VLOOKUP(B67,'Machinery Input Tables'!$B$6:$AF$121,28,FALSE))*VLOOKUP(C67,'Machinery Input Tables'!$AH$6:$BA$30,19,FALSE))*D67,"-")</f>
        <v>-</v>
      </c>
      <c r="F67" s="141" t="str">
        <f>IFERROR(IF(AND(ISBLANK(B67)*ISBLANK(C67)),"",IF(ISBLANK(B67),1,IF(VLOOKUP(B67,'Machinery Input Tables'!$B$6:$AF$121,13,FALSE)='Machinery Input Tables'!$N$128,VLOOKUP(B67,'Machinery Input Tables'!$B$6:$AF$121,17,FALSE),VLOOKUP(B67,'Machinery Input Tables'!$B$6:$AF$121,28,FALSE))))*D67,"-")</f>
        <v>-</v>
      </c>
      <c r="G67" s="152" t="str">
        <f>IFERROR(IF(ISBLANK(C67),"",E67*'Machinery Input Tables'!$BP$10+F67*'Machinery Input Tables'!$BP$6+(VLOOKUP(C67,'Machinery Input Tables'!$AH$6:$BA$30,18,FALSE)*IF(IFERROR(VLOOKUP(B67,'Machinery Input Tables'!$B$6:$AF$121,13,FALSE)='Machinery Input Tables'!$N$128,1),1,VLOOKUP(B67,'Machinery Input Tables'!$B$6:$AF$121,28,FALSE))+IFERROR(VLOOKUP(B67,'Machinery Input Tables'!$B$6:$AF$121,27,FALSE),0))*D67),"-")</f>
        <v>-</v>
      </c>
      <c r="H67" s="141">
        <f>IFERROR((IFERROR(VLOOKUP(B67,'Machinery Input Tables'!$B$6:$AF$121,24,FALSE),0)+VLOOKUP(C67,'Machinery Input Tables'!$AH$6:$BA$30,20,FALSE))*IF(IFERROR(VLOOKUP(B67,'Machinery Input Tables'!$B$6:$AF$121,13,FALSE)='Machinery Input Tables'!$N$128,1),1,VLOOKUP(B67,'Machinery Input Tables'!$B$6:$AF$121,28,FALSE))*D67,"-")</f>
        <v>0.81187231521216274</v>
      </c>
      <c r="I67" s="152">
        <f t="shared" si="7"/>
        <v>0.81187231521216274</v>
      </c>
    </row>
    <row r="68" spans="2:9" ht="14.25" customHeight="1">
      <c r="B68" s="300"/>
      <c r="C68" s="300" t="s">
        <v>765</v>
      </c>
      <c r="D68" s="301">
        <v>0.15</v>
      </c>
      <c r="E68" s="141">
        <f>IFERROR(IF(ISBLANK(C68),"",IF(OR(ISBLANK(B68),IFERROR(VLOOKUP(B68,'Machinery Input Tables'!$B$6:$AF$121,13,FALSE),"")='Machinery Input Tables'!$N$128),1,VLOOKUP(B68,'Machinery Input Tables'!$B$6:$AF$121,28,FALSE))*VLOOKUP(C68,'Machinery Input Tables'!$AH$6:$BA$30,19,FALSE))*D68,"-")</f>
        <v>0.44999999999999996</v>
      </c>
      <c r="F68" s="141">
        <f>IFERROR(IF(AND(ISBLANK(B68)*ISBLANK(C68)),"",IF(ISBLANK(B68),1,IF(VLOOKUP(B68,'Machinery Input Tables'!$B$6:$AF$121,13,FALSE)='Machinery Input Tables'!$N$128,VLOOKUP(B68,'Machinery Input Tables'!$B$6:$AF$121,17,FALSE),VLOOKUP(B68,'Machinery Input Tables'!$B$6:$AF$121,28,FALSE))))*D68,"-")</f>
        <v>0.15</v>
      </c>
      <c r="G68" s="152">
        <f>IFERROR(IF(ISBLANK(C68),"",E68*'Machinery Input Tables'!$BP$10+F68*'Machinery Input Tables'!$BP$6+(VLOOKUP(C68,'Machinery Input Tables'!$AH$6:$BA$30,18,FALSE)*IF(IFERROR(VLOOKUP(B68,'Machinery Input Tables'!$B$6:$AF$121,13,FALSE)='Machinery Input Tables'!$N$128,1),1,VLOOKUP(B68,'Machinery Input Tables'!$B$6:$AF$121,28,FALSE))+IFERROR(VLOOKUP(B68,'Machinery Input Tables'!$B$6:$AF$121,27,FALSE),0))*D68),"-")</f>
        <v>8.0151315789473685</v>
      </c>
      <c r="H68" s="141">
        <f>IFERROR((IFERROR(VLOOKUP(B68,'Machinery Input Tables'!$B$6:$AF$121,24,FALSE),0)+VLOOKUP(C68,'Machinery Input Tables'!$AH$6:$BA$30,20,FALSE))*IF(IFERROR(VLOOKUP(B68,'Machinery Input Tables'!$B$6:$AF$121,13,FALSE)='Machinery Input Tables'!$N$128,1),1,VLOOKUP(B68,'Machinery Input Tables'!$B$6:$AF$121,28,FALSE))*D68,"-")</f>
        <v>3.2463305788258356</v>
      </c>
      <c r="I68" s="152">
        <f t="shared" si="7"/>
        <v>11.261462157773204</v>
      </c>
    </row>
    <row r="69" spans="2:9" ht="16.5">
      <c r="B69" s="300"/>
      <c r="C69" s="300"/>
      <c r="D69" s="301"/>
      <c r="E69" s="141" t="str">
        <f>IFERROR(IF(ISBLANK(C69),"",IF(OR(ISBLANK(B69),IFERROR(VLOOKUP(B69,'Machinery Input Tables'!$B$6:$AF$121,13,FALSE),"")='Machinery Input Tables'!$N$128),1,VLOOKUP(B69,'Machinery Input Tables'!$B$6:$AF$121,28,FALSE))*VLOOKUP(C69,'Machinery Input Tables'!$AH$6:$BA$30,19,FALSE))*D69,"-")</f>
        <v>-</v>
      </c>
      <c r="F69" s="141" t="str">
        <f>IFERROR(IF(AND(ISBLANK(B69)*ISBLANK(C69)),"",IF(ISBLANK(B69),1,IF(VLOOKUP(B69,'Machinery Input Tables'!$B$6:$AF$121,13,FALSE)='Machinery Input Tables'!$N$128,VLOOKUP(B69,'Machinery Input Tables'!$B$6:$AF$121,17,FALSE),VLOOKUP(B69,'Machinery Input Tables'!$B$6:$AF$121,28,FALSE))))*D69,"-")</f>
        <v>-</v>
      </c>
      <c r="G69" s="152" t="str">
        <f>IFERROR(IF(ISBLANK(C69),"",E69*'Machinery Input Tables'!$BP$10+F69*'Machinery Input Tables'!$BP$6+(VLOOKUP(C69,'Machinery Input Tables'!$AH$6:$BA$30,18,FALSE)*IF(IFERROR(VLOOKUP(B69,'Machinery Input Tables'!$B$6:$AF$121,13,FALSE)='Machinery Input Tables'!$N$128,1),1,VLOOKUP(B69,'Machinery Input Tables'!$B$6:$AF$121,28,FALSE))+IFERROR(VLOOKUP(B69,'Machinery Input Tables'!$B$6:$AF$121,27,FALSE),0))*D69),"-")</f>
        <v/>
      </c>
      <c r="H69" s="141" t="str">
        <f>IFERROR((IFERROR(VLOOKUP(B69,'Machinery Input Tables'!$B$6:$AF$121,24,FALSE),0)+VLOOKUP(C69,'Machinery Input Tables'!$AH$6:$BA$30,20,FALSE))*IF(IFERROR(VLOOKUP(B69,'Machinery Input Tables'!$B$6:$AF$121,13,FALSE)='Machinery Input Tables'!$N$128,1),1,VLOOKUP(B69,'Machinery Input Tables'!$B$6:$AF$121,28,FALSE))*D69,"-")</f>
        <v>-</v>
      </c>
      <c r="I69" s="152">
        <f t="shared" si="7"/>
        <v>0</v>
      </c>
    </row>
    <row r="70" spans="2:9" ht="16.5">
      <c r="B70" s="300"/>
      <c r="C70" s="300"/>
      <c r="D70" s="301"/>
      <c r="E70" s="141" t="str">
        <f>IFERROR(IF(ISBLANK(C70),"",IF(OR(ISBLANK(B70),IFERROR(VLOOKUP(B70,'Machinery Input Tables'!$B$6:$AF$121,13,FALSE),"")='Machinery Input Tables'!$N$128),1,VLOOKUP(B70,'Machinery Input Tables'!$B$6:$AF$121,28,FALSE))*VLOOKUP(C70,'Machinery Input Tables'!$AH$6:$BA$30,19,FALSE))*D70,"-")</f>
        <v>-</v>
      </c>
      <c r="F70" s="141" t="str">
        <f>IFERROR(IF(AND(ISBLANK(B70)*ISBLANK(C70)),"",IF(ISBLANK(B70),1,IF(VLOOKUP(B70,'Machinery Input Tables'!$B$6:$AF$121,13,FALSE)='Machinery Input Tables'!$N$128,VLOOKUP(B70,'Machinery Input Tables'!$B$6:$AF$121,17,FALSE),VLOOKUP(B70,'Machinery Input Tables'!$B$6:$AF$121,28,FALSE))))*D70,"-")</f>
        <v>-</v>
      </c>
      <c r="G70" s="152" t="str">
        <f>IFERROR(IF(ISBLANK(C70),"",E70*'Machinery Input Tables'!$BP$10+F70*'Machinery Input Tables'!$BP$6+(VLOOKUP(C70,'Machinery Input Tables'!$AH$6:$BA$30,18,FALSE)*IF(IFERROR(VLOOKUP(B70,'Machinery Input Tables'!$B$6:$AF$121,13,FALSE)='Machinery Input Tables'!$N$128,1),1,VLOOKUP(B70,'Machinery Input Tables'!$B$6:$AF$121,28,FALSE))+IFERROR(VLOOKUP(B70,'Machinery Input Tables'!$B$6:$AF$121,27,FALSE),0))*D70),"-")</f>
        <v/>
      </c>
      <c r="H70" s="141" t="str">
        <f>IFERROR((IFERROR(VLOOKUP(B70,'Machinery Input Tables'!$B$6:$AF$121,24,FALSE),0)+VLOOKUP(C70,'Machinery Input Tables'!$AH$6:$BA$30,20,FALSE))*IF(IFERROR(VLOOKUP(B70,'Machinery Input Tables'!$B$6:$AF$121,13,FALSE)='Machinery Input Tables'!$N$128,1),1,VLOOKUP(B70,'Machinery Input Tables'!$B$6:$AF$121,28,FALSE))*D70,"-")</f>
        <v>-</v>
      </c>
      <c r="I70" s="152">
        <f t="shared" si="7"/>
        <v>0</v>
      </c>
    </row>
    <row r="71" spans="2:9" ht="16.5">
      <c r="B71" s="300"/>
      <c r="C71" s="300"/>
      <c r="D71" s="301"/>
      <c r="E71" s="141" t="str">
        <f>IFERROR(IF(ISBLANK(C71),"",IF(OR(ISBLANK(B71),IFERROR(VLOOKUP(B71,'Machinery Input Tables'!$B$6:$AF$121,13,FALSE),"")='Machinery Input Tables'!$N$128),1,VLOOKUP(B71,'Machinery Input Tables'!$B$6:$AF$121,28,FALSE))*VLOOKUP(C71,'Machinery Input Tables'!$AH$6:$BA$30,19,FALSE))*D71,"-")</f>
        <v>-</v>
      </c>
      <c r="F71" s="141" t="str">
        <f>IFERROR(IF(AND(ISBLANK(B71)*ISBLANK(C71)),"",IF(ISBLANK(B71),1,IF(VLOOKUP(B71,'Machinery Input Tables'!$B$6:$AF$121,13,FALSE)='Machinery Input Tables'!$N$128,VLOOKUP(B71,'Machinery Input Tables'!$B$6:$AF$121,17,FALSE),VLOOKUP(B71,'Machinery Input Tables'!$B$6:$AF$121,28,FALSE))))*D71,"-")</f>
        <v>-</v>
      </c>
      <c r="G71" s="152" t="str">
        <f>IFERROR(IF(ISBLANK(C71),"",E71*'Machinery Input Tables'!$BP$10+F71*'Machinery Input Tables'!$BP$6+(VLOOKUP(C71,'Machinery Input Tables'!$AH$6:$BA$30,18,FALSE)*IF(IFERROR(VLOOKUP(B71,'Machinery Input Tables'!$B$6:$AF$121,13,FALSE)='Machinery Input Tables'!$N$128,1),1,VLOOKUP(B71,'Machinery Input Tables'!$B$6:$AF$121,28,FALSE))+IFERROR(VLOOKUP(B71,'Machinery Input Tables'!$B$6:$AF$121,27,FALSE),0))*D71),"-")</f>
        <v/>
      </c>
      <c r="H71" s="141" t="str">
        <f>IFERROR((IFERROR(VLOOKUP(B71,'Machinery Input Tables'!$B$6:$AF$121,24,FALSE),0)+VLOOKUP(C71,'Machinery Input Tables'!$AH$6:$BA$30,20,FALSE))*IF(IFERROR(VLOOKUP(B71,'Machinery Input Tables'!$B$6:$AF$121,13,FALSE)='Machinery Input Tables'!$N$128,1),1,VLOOKUP(B71,'Machinery Input Tables'!$B$6:$AF$121,28,FALSE))*D71,"-")</f>
        <v>-</v>
      </c>
      <c r="I71" s="152">
        <f t="shared" si="7"/>
        <v>0</v>
      </c>
    </row>
    <row r="72" spans="2:9" ht="16.5">
      <c r="B72" s="302"/>
      <c r="C72" s="302"/>
      <c r="D72" s="303"/>
      <c r="E72" s="161" t="str">
        <f>IFERROR(IF(ISBLANK(C72),"",IF(OR(ISBLANK(B72),IFERROR(VLOOKUP(B72,'Machinery Input Tables'!$B$6:$AF$121,13,FALSE),"")='Machinery Input Tables'!$N$128),1,VLOOKUP(B72,'Machinery Input Tables'!$B$6:$AF$121,28,FALSE))*VLOOKUP(C72,'Machinery Input Tables'!$AH$6:$BA$30,19,FALSE))*D72,"-")</f>
        <v>-</v>
      </c>
      <c r="F72" s="161" t="str">
        <f>IFERROR(IF(AND(ISBLANK(B72)*ISBLANK(C72)),"",IF(ISBLANK(B72),1,IF(VLOOKUP(B72,'Machinery Input Tables'!$B$6:$AF$121,13,FALSE)='Machinery Input Tables'!$N$128,VLOOKUP(B72,'Machinery Input Tables'!$B$6:$AF$121,17,FALSE),VLOOKUP(B72,'Machinery Input Tables'!$B$6:$AF$121,28,FALSE))))*D72,"-")</f>
        <v>-</v>
      </c>
      <c r="G72" s="162" t="str">
        <f>IFERROR(IF(ISBLANK(C72),"",E72*'Machinery Input Tables'!$BP$10+F72*'Machinery Input Tables'!$BP$6+(VLOOKUP(C72,'Machinery Input Tables'!$AH$6:$BA$30,18,FALSE)*IF(IFERROR(VLOOKUP(B72,'Machinery Input Tables'!$B$6:$AF$121,13,FALSE)='Machinery Input Tables'!$N$128,1),1,VLOOKUP(B72,'Machinery Input Tables'!$B$6:$AF$121,28,FALSE))+IFERROR(VLOOKUP(B72,'Machinery Input Tables'!$B$6:$AF$121,27,FALSE),0))*D72),"-")</f>
        <v/>
      </c>
      <c r="H72" s="161" t="str">
        <f>IFERROR((IFERROR(VLOOKUP(B72,'Machinery Input Tables'!$B$6:$AF$121,24,FALSE),0)+VLOOKUP(C72,'Machinery Input Tables'!$AH$6:$BA$30,20,FALSE))*IF(IFERROR(VLOOKUP(B72,'Machinery Input Tables'!$B$6:$AF$121,13,FALSE)='Machinery Input Tables'!$N$128,1),1,VLOOKUP(B72,'Machinery Input Tables'!$B$6:$AF$121,28,FALSE))*D72,"-")</f>
        <v>-</v>
      </c>
      <c r="I72" s="162">
        <f t="shared" si="7"/>
        <v>0</v>
      </c>
    </row>
    <row r="73" spans="2:9" ht="16.5">
      <c r="B73" s="149"/>
      <c r="C73" s="163" t="s">
        <v>31</v>
      </c>
      <c r="D73" s="255"/>
      <c r="E73" s="164">
        <f>SUM(E62:E72)</f>
        <v>2.6086160714285711</v>
      </c>
      <c r="F73" s="164">
        <f t="shared" ref="F73" si="8">SUM(F62:F72)</f>
        <v>0.37897916666666664</v>
      </c>
      <c r="G73" s="164">
        <f t="shared" ref="G73" si="9">SUM(G62:G72)</f>
        <v>37.638627645712077</v>
      </c>
      <c r="H73" s="164">
        <f t="shared" ref="H73" si="10">SUM(H62:H72)</f>
        <v>41.981683285903642</v>
      </c>
      <c r="I73" s="164">
        <f t="shared" ref="I73" si="11">SUM(I62:I72)</f>
        <v>79.62031093161572</v>
      </c>
    </row>
    <row r="74" spans="2:9" ht="16.5">
      <c r="B74" s="149"/>
      <c r="C74" s="163"/>
      <c r="D74" s="164"/>
      <c r="E74" s="164"/>
      <c r="F74" s="164"/>
      <c r="G74" s="164"/>
      <c r="H74" s="164"/>
      <c r="I74" s="164"/>
    </row>
    <row r="75" spans="2:9" ht="16.5">
      <c r="B75" s="149"/>
      <c r="C75" s="163"/>
      <c r="D75" s="164"/>
      <c r="E75" s="164"/>
      <c r="F75" s="164"/>
      <c r="G75" s="164"/>
      <c r="H75" s="164"/>
      <c r="I75" s="164"/>
    </row>
    <row r="76" spans="2:9" ht="16.5"/>
    <row r="77" spans="2:9" ht="16.5">
      <c r="B77" s="329" t="s">
        <v>815</v>
      </c>
      <c r="C77" s="329"/>
      <c r="D77" s="329"/>
      <c r="E77" s="329"/>
      <c r="F77" s="329"/>
      <c r="G77" s="329"/>
      <c r="H77" s="329"/>
      <c r="I77" s="329"/>
    </row>
    <row r="78" spans="2:9" ht="16.5">
      <c r="B78" s="326" t="s">
        <v>535</v>
      </c>
      <c r="C78" s="328" t="s">
        <v>536</v>
      </c>
      <c r="D78" s="261" t="s">
        <v>15</v>
      </c>
      <c r="E78" s="328" t="s">
        <v>537</v>
      </c>
      <c r="F78" s="328" t="s">
        <v>538</v>
      </c>
      <c r="G78" s="144" t="s">
        <v>539</v>
      </c>
      <c r="H78" s="144" t="s">
        <v>540</v>
      </c>
      <c r="I78" s="330" t="s">
        <v>541</v>
      </c>
    </row>
    <row r="79" spans="2:9" ht="16.5">
      <c r="B79" s="327"/>
      <c r="C79" s="329"/>
      <c r="D79" s="262" t="s">
        <v>810</v>
      </c>
      <c r="E79" s="329"/>
      <c r="F79" s="329"/>
      <c r="G79" s="142" t="s">
        <v>554</v>
      </c>
      <c r="H79" s="142" t="s">
        <v>554</v>
      </c>
      <c r="I79" s="331"/>
    </row>
    <row r="80" spans="2:9" ht="16.5">
      <c r="B80" s="149"/>
      <c r="C80" s="149"/>
      <c r="D80" s="150" t="s">
        <v>560</v>
      </c>
      <c r="E80" s="150" t="s">
        <v>557</v>
      </c>
      <c r="F80" s="150" t="s">
        <v>558</v>
      </c>
      <c r="G80" s="150" t="s">
        <v>559</v>
      </c>
      <c r="H80" s="150" t="s">
        <v>559</v>
      </c>
      <c r="I80" s="150" t="s">
        <v>561</v>
      </c>
    </row>
    <row r="81" spans="2:9" ht="16.5">
      <c r="B81" s="300" t="s">
        <v>812</v>
      </c>
      <c r="C81" s="300" t="s">
        <v>803</v>
      </c>
      <c r="D81" s="301">
        <v>1</v>
      </c>
      <c r="E81" s="141">
        <f>IFERROR(IF(ISBLANK(C81),"",IF(OR(ISBLANK(B81),IFERROR(VLOOKUP(B81,'Machinery Input Tables'!$B$6:$AF$121,13,FALSE),"")='Machinery Input Tables'!$N$128),1,VLOOKUP(B81,'Machinery Input Tables'!$B$6:$AF$121,28,FALSE))*VLOOKUP(C81,'Machinery Input Tables'!$AH$6:$BA$30,19,FALSE))*D81,"-")</f>
        <v>0.8988571428571428</v>
      </c>
      <c r="F81" s="141">
        <f>IFERROR(IF(AND(ISBLANK(B81)*ISBLANK(C81)),"",IF(ISBLANK(B81),1,IF(VLOOKUP(B81,'Machinery Input Tables'!$B$6:$AF$121,13,FALSE)='Machinery Input Tables'!$N$128,VLOOKUP(B81,'Machinery Input Tables'!$B$6:$AF$121,17,FALSE),VLOOKUP(B81,'Machinery Input Tables'!$B$6:$AF$121,28,FALSE))))*D81,"-")</f>
        <v>0.15714285714285714</v>
      </c>
      <c r="G81" s="152">
        <f>IFERROR(IF(ISBLANK(C81),"",E81*'Machinery Input Tables'!$BP$10+F81*'Machinery Input Tables'!$BP$6+(VLOOKUP(C81,'Machinery Input Tables'!$AH$6:$BA$30,18,FALSE)*IF(IFERROR(VLOOKUP(B81,'Machinery Input Tables'!$B$6:$AF$121,13,FALSE)='Machinery Input Tables'!$N$128,1),1,VLOOKUP(B81,'Machinery Input Tables'!$B$6:$AF$121,28,FALSE))+IFERROR(VLOOKUP(B81,'Machinery Input Tables'!$B$6:$AF$121,27,FALSE),0))*D81),"-")</f>
        <v>14.888517795954517</v>
      </c>
      <c r="H81" s="141">
        <f>IFERROR((IFERROR(VLOOKUP(B81,'Machinery Input Tables'!$B$6:$AF$121,24,FALSE),0)+VLOOKUP(C81,'Machinery Input Tables'!$AH$6:$BA$30,20,FALSE))*IF(IFERROR(VLOOKUP(B81,'Machinery Input Tables'!$B$6:$AF$121,13,FALSE)='Machinery Input Tables'!$N$128,1),1,VLOOKUP(B81,'Machinery Input Tables'!$B$6:$AF$121,28,FALSE))*D81,"-")</f>
        <v>19.198107054771704</v>
      </c>
      <c r="I81" s="152">
        <f t="shared" ref="I81:I90" si="12">IFERROR(IF(ISBLANK(AND(B81,C81)),"",SUM(G81:H81)),"-")</f>
        <v>34.086624850726224</v>
      </c>
    </row>
    <row r="82" spans="2:9" ht="16.5">
      <c r="B82" s="300" t="s">
        <v>798</v>
      </c>
      <c r="C82" s="300" t="s">
        <v>803</v>
      </c>
      <c r="D82" s="301">
        <v>1</v>
      </c>
      <c r="E82" s="141">
        <f>IFERROR(IF(ISBLANK(C82),"",IF(OR(ISBLANK(B82),IFERROR(VLOOKUP(B82,'Machinery Input Tables'!$B$6:$AF$121,13,FALSE),"")='Machinery Input Tables'!$N$128),1,VLOOKUP(B82,'Machinery Input Tables'!$B$6:$AF$121,28,FALSE))*VLOOKUP(C82,'Machinery Input Tables'!$AH$6:$BA$30,19,FALSE))*D82,"-")</f>
        <v>8.1927083333333331E-2</v>
      </c>
      <c r="F82" s="141">
        <f>IFERROR(IF(AND(ISBLANK(B82)*ISBLANK(C82)),"",IF(ISBLANK(B82),1,IF(VLOOKUP(B82,'Machinery Input Tables'!$B$6:$AF$121,13,FALSE)='Machinery Input Tables'!$N$128,VLOOKUP(B82,'Machinery Input Tables'!$B$6:$AF$121,17,FALSE),VLOOKUP(B82,'Machinery Input Tables'!$B$6:$AF$121,28,FALSE))))*D82,"-")</f>
        <v>1.4322916666666666E-2</v>
      </c>
      <c r="G82" s="152">
        <f>IFERROR(IF(ISBLANK(C82),"",E82*'Machinery Input Tables'!$BP$10+F82*'Machinery Input Tables'!$BP$6+(VLOOKUP(C82,'Machinery Input Tables'!$AH$6:$BA$30,18,FALSE)*IF(IFERROR(VLOOKUP(B82,'Machinery Input Tables'!$B$6:$AF$121,13,FALSE)='Machinery Input Tables'!$N$128,1),1,VLOOKUP(B82,'Machinery Input Tables'!$B$6:$AF$121,28,FALSE))+IFERROR(VLOOKUP(B82,'Machinery Input Tables'!$B$6:$AF$121,27,FALSE),0))*D82),"-")</f>
        <v>1.1580278211814492</v>
      </c>
      <c r="H82" s="141">
        <f>IFERROR((IFERROR(VLOOKUP(B82,'Machinery Input Tables'!$B$6:$AF$121,24,FALSE),0)+VLOOKUP(C82,'Machinery Input Tables'!$AH$6:$BA$30,20,FALSE))*IF(IFERROR(VLOOKUP(B82,'Machinery Input Tables'!$B$6:$AF$121,13,FALSE)='Machinery Input Tables'!$N$128,1),1,VLOOKUP(B82,'Machinery Input Tables'!$B$6:$AF$121,28,FALSE))*D82,"-")</f>
        <v>1.0120630367047956</v>
      </c>
      <c r="I82" s="152">
        <f t="shared" si="12"/>
        <v>2.1700908578862448</v>
      </c>
    </row>
    <row r="83" spans="2:9" ht="16.5">
      <c r="B83" s="300" t="s">
        <v>811</v>
      </c>
      <c r="C83" s="300" t="s">
        <v>804</v>
      </c>
      <c r="D83" s="301">
        <v>1</v>
      </c>
      <c r="E83" s="141">
        <f>IFERROR(IF(ISBLANK(C83),"",IF(OR(ISBLANK(B83),IFERROR(VLOOKUP(B83,'Machinery Input Tables'!$B$6:$AF$121,13,FALSE),"")='Machinery Input Tables'!$N$128),1,VLOOKUP(B83,'Machinery Input Tables'!$B$6:$AF$121,28,FALSE))*VLOOKUP(C83,'Machinery Input Tables'!$AH$6:$BA$30,19,FALSE))*D83,"-")</f>
        <v>1.0947619047619046</v>
      </c>
      <c r="F83" s="141">
        <f>IFERROR(IF(AND(ISBLANK(B83)*ISBLANK(C83)),"",IF(ISBLANK(B83),1,IF(VLOOKUP(B83,'Machinery Input Tables'!$B$6:$AF$121,13,FALSE)='Machinery Input Tables'!$N$128,VLOOKUP(B83,'Machinery Input Tables'!$B$6:$AF$121,17,FALSE),VLOOKUP(B83,'Machinery Input Tables'!$B$6:$AF$121,28,FALSE))))*D83,"-")</f>
        <v>0.10476190476190476</v>
      </c>
      <c r="G83" s="152">
        <f>IFERROR(IF(ISBLANK(C83),"",E83*'Machinery Input Tables'!$BP$10+F83*'Machinery Input Tables'!$BP$6+(VLOOKUP(C83,'Machinery Input Tables'!$AH$6:$BA$30,18,FALSE)*IF(IFERROR(VLOOKUP(B83,'Machinery Input Tables'!$B$6:$AF$121,13,FALSE)='Machinery Input Tables'!$N$128,1),1,VLOOKUP(B83,'Machinery Input Tables'!$B$6:$AF$121,28,FALSE))+IFERROR(VLOOKUP(B83,'Machinery Input Tables'!$B$6:$AF$121,27,FALSE),0))*D83),"-")</f>
        <v>14.647926134508426</v>
      </c>
      <c r="H83" s="141">
        <f>IFERROR((IFERROR(VLOOKUP(B83,'Machinery Input Tables'!$B$6:$AF$121,24,FALSE),0)+VLOOKUP(C83,'Machinery Input Tables'!$AH$6:$BA$30,20,FALSE))*IF(IFERROR(VLOOKUP(B83,'Machinery Input Tables'!$B$6:$AF$121,13,FALSE)='Machinery Input Tables'!$N$128,1),1,VLOOKUP(B83,'Machinery Input Tables'!$B$6:$AF$121,28,FALSE))*D83,"-")</f>
        <v>19.918449503641831</v>
      </c>
      <c r="I83" s="152">
        <f t="shared" si="12"/>
        <v>34.566375638150255</v>
      </c>
    </row>
    <row r="84" spans="2:9" ht="16.5">
      <c r="B84" s="300" t="s">
        <v>782</v>
      </c>
      <c r="C84" s="300" t="s">
        <v>783</v>
      </c>
      <c r="D84" s="301">
        <v>4.4999999999999998E-2</v>
      </c>
      <c r="E84" s="141">
        <f>IFERROR(IF(ISBLANK(C84),"",IF(OR(ISBLANK(B84),IFERROR(VLOOKUP(B84,'Machinery Input Tables'!$B$6:$AF$121,13,FALSE),"")='Machinery Input Tables'!$N$128),1,VLOOKUP(B84,'Machinery Input Tables'!$B$6:$AF$121,28,FALSE))*VLOOKUP(C84,'Machinery Input Tables'!$AH$6:$BA$30,19,FALSE))*D84,"-")</f>
        <v>0.32062499999999999</v>
      </c>
      <c r="F84" s="141">
        <f>IFERROR(IF(AND(ISBLANK(B84)*ISBLANK(C84)),"",IF(ISBLANK(B84),1,IF(VLOOKUP(B84,'Machinery Input Tables'!$B$6:$AF$121,13,FALSE)='Machinery Input Tables'!$N$128,VLOOKUP(B84,'Machinery Input Tables'!$B$6:$AF$121,17,FALSE),VLOOKUP(B84,'Machinery Input Tables'!$B$6:$AF$121,28,FALSE))))*D84,"-")</f>
        <v>4.9500000000000002E-2</v>
      </c>
      <c r="G84" s="152">
        <f>IFERROR(IF(ISBLANK(C84),"",E84*'Machinery Input Tables'!$BP$10+F84*'Machinery Input Tables'!$BP$6+(VLOOKUP(C84,'Machinery Input Tables'!$AH$6:$BA$30,18,FALSE)*IF(IFERROR(VLOOKUP(B84,'Machinery Input Tables'!$B$6:$AF$121,13,FALSE)='Machinery Input Tables'!$N$128,1),1,VLOOKUP(B84,'Machinery Input Tables'!$B$6:$AF$121,28,FALSE))+IFERROR(VLOOKUP(B84,'Machinery Input Tables'!$B$6:$AF$121,27,FALSE),0))*D84),"-")</f>
        <v>3.1844661059000567</v>
      </c>
      <c r="H84" s="141">
        <f>IFERROR((IFERROR(VLOOKUP(B84,'Machinery Input Tables'!$B$6:$AF$121,24,FALSE),0)+VLOOKUP(C84,'Machinery Input Tables'!$AH$6:$BA$30,20,FALSE))*IF(IFERROR(VLOOKUP(B84,'Machinery Input Tables'!$B$6:$AF$121,13,FALSE)='Machinery Input Tables'!$N$128,1),1,VLOOKUP(B84,'Machinery Input Tables'!$B$6:$AF$121,28,FALSE))*D84,"-")</f>
        <v>1.4599099269125519</v>
      </c>
      <c r="I84" s="152">
        <f t="shared" si="12"/>
        <v>4.6443760328126089</v>
      </c>
    </row>
    <row r="85" spans="2:9" ht="16.5">
      <c r="B85" s="300"/>
      <c r="C85" s="300" t="s">
        <v>799</v>
      </c>
      <c r="D85" s="301">
        <v>4.4999999999999998E-2</v>
      </c>
      <c r="E85" s="141">
        <f>IFERROR(IF(ISBLANK(C85),"",IF(OR(ISBLANK(B85),IFERROR(VLOOKUP(B85,'Machinery Input Tables'!$B$6:$AF$121,13,FALSE),"")='Machinery Input Tables'!$N$128),1,VLOOKUP(B85,'Machinery Input Tables'!$B$6:$AF$121,28,FALSE))*VLOOKUP(C85,'Machinery Input Tables'!$AH$6:$BA$30,19,FALSE))*D85,"-")</f>
        <v>0.21937499999999999</v>
      </c>
      <c r="F85" s="141">
        <f>IFERROR(IF(AND(ISBLANK(B85)*ISBLANK(C85)),"",IF(ISBLANK(B85),1,IF(VLOOKUP(B85,'Machinery Input Tables'!$B$6:$AF$121,13,FALSE)='Machinery Input Tables'!$N$128,VLOOKUP(B85,'Machinery Input Tables'!$B$6:$AF$121,17,FALSE),VLOOKUP(B85,'Machinery Input Tables'!$B$6:$AF$121,28,FALSE))))*D85,"-")</f>
        <v>4.4999999999999998E-2</v>
      </c>
      <c r="G85" s="152">
        <f>IFERROR(IF(ISBLANK(C85),"",E85*'Machinery Input Tables'!$BP$10+F85*'Machinery Input Tables'!$BP$6+(VLOOKUP(C85,'Machinery Input Tables'!$AH$6:$BA$30,18,FALSE)*IF(IFERROR(VLOOKUP(B85,'Machinery Input Tables'!$B$6:$AF$121,13,FALSE)='Machinery Input Tables'!$N$128,1),1,VLOOKUP(B85,'Machinery Input Tables'!$B$6:$AF$121,28,FALSE))+IFERROR(VLOOKUP(B85,'Machinery Input Tables'!$B$6:$AF$121,27,FALSE),0))*D85),"-")</f>
        <v>2.0884687499999997</v>
      </c>
      <c r="H85" s="141">
        <f>IFERROR((IFERROR(VLOOKUP(B85,'Machinery Input Tables'!$B$6:$AF$121,24,FALSE),0)+VLOOKUP(C85,'Machinery Input Tables'!$AH$6:$BA$30,20,FALSE))*IF(IFERROR(VLOOKUP(B85,'Machinery Input Tables'!$B$6:$AF$121,13,FALSE)='Machinery Input Tables'!$N$128,1),1,VLOOKUP(B85,'Machinery Input Tables'!$B$6:$AF$121,28,FALSE))*D85,"-")</f>
        <v>0.65120346834607556</v>
      </c>
      <c r="I85" s="152">
        <f t="shared" si="12"/>
        <v>2.7396722183460751</v>
      </c>
    </row>
    <row r="86" spans="2:9" ht="16.5">
      <c r="B86" s="300" t="s">
        <v>800</v>
      </c>
      <c r="C86" s="300" t="s">
        <v>803</v>
      </c>
      <c r="D86" s="301">
        <v>0.03</v>
      </c>
      <c r="E86" s="141" t="str">
        <f>IFERROR(IF(ISBLANK(C86),"",IF(OR(ISBLANK(B86),IFERROR(VLOOKUP(B86,'Machinery Input Tables'!$B$6:$AF$121,13,FALSE),"")='Machinery Input Tables'!$N$128),1,VLOOKUP(B86,'Machinery Input Tables'!$B$6:$AF$121,28,FALSE))*VLOOKUP(C86,'Machinery Input Tables'!$AH$6:$BA$30,19,FALSE))*D86,"-")</f>
        <v>-</v>
      </c>
      <c r="F86" s="141" t="str">
        <f>IFERROR(IF(AND(ISBLANK(B86)*ISBLANK(C86)),"",IF(ISBLANK(B86),1,IF(VLOOKUP(B86,'Machinery Input Tables'!$B$6:$AF$121,13,FALSE)='Machinery Input Tables'!$N$128,VLOOKUP(B86,'Machinery Input Tables'!$B$6:$AF$121,17,FALSE),VLOOKUP(B86,'Machinery Input Tables'!$B$6:$AF$121,28,FALSE))))*D86,"-")</f>
        <v>-</v>
      </c>
      <c r="G86" s="152" t="str">
        <f>IFERROR(IF(ISBLANK(C86),"",E86*'Machinery Input Tables'!$BP$10+F86*'Machinery Input Tables'!$BP$6+(VLOOKUP(C86,'Machinery Input Tables'!$AH$6:$BA$30,18,FALSE)*IF(IFERROR(VLOOKUP(B86,'Machinery Input Tables'!$B$6:$AF$121,13,FALSE)='Machinery Input Tables'!$N$128,1),1,VLOOKUP(B86,'Machinery Input Tables'!$B$6:$AF$121,28,FALSE))+IFERROR(VLOOKUP(B86,'Machinery Input Tables'!$B$6:$AF$121,27,FALSE),0))*D86),"-")</f>
        <v>-</v>
      </c>
      <c r="H86" s="141">
        <f>IFERROR((IFERROR(VLOOKUP(B86,'Machinery Input Tables'!$B$6:$AF$121,24,FALSE),0)+VLOOKUP(C86,'Machinery Input Tables'!$AH$6:$BA$30,20,FALSE))*IF(IFERROR(VLOOKUP(B86,'Machinery Input Tables'!$B$6:$AF$121,13,FALSE)='Machinery Input Tables'!$N$128,1),1,VLOOKUP(B86,'Machinery Input Tables'!$B$6:$AF$121,28,FALSE))*D86,"-")</f>
        <v>1.2178084728182441</v>
      </c>
      <c r="I86" s="152">
        <f t="shared" si="12"/>
        <v>1.2178084728182441</v>
      </c>
    </row>
    <row r="87" spans="2:9" ht="16.5">
      <c r="B87" s="300"/>
      <c r="C87" s="300" t="s">
        <v>765</v>
      </c>
      <c r="D87" s="301">
        <v>0.1</v>
      </c>
      <c r="E87" s="141">
        <f>IFERROR(IF(ISBLANK(C87),"",IF(OR(ISBLANK(B87),IFERROR(VLOOKUP(B87,'Machinery Input Tables'!$B$6:$AF$121,13,FALSE),"")='Machinery Input Tables'!$N$128),1,VLOOKUP(B87,'Machinery Input Tables'!$B$6:$AF$121,28,FALSE))*VLOOKUP(C87,'Machinery Input Tables'!$AH$6:$BA$30,19,FALSE))*D87,"-")</f>
        <v>0.30000000000000004</v>
      </c>
      <c r="F87" s="141">
        <f>IFERROR(IF(AND(ISBLANK(B87)*ISBLANK(C87)),"",IF(ISBLANK(B87),1,IF(VLOOKUP(B87,'Machinery Input Tables'!$B$6:$AF$121,13,FALSE)='Machinery Input Tables'!$N$128,VLOOKUP(B87,'Machinery Input Tables'!$B$6:$AF$121,17,FALSE),VLOOKUP(B87,'Machinery Input Tables'!$B$6:$AF$121,28,FALSE))))*D87,"-")</f>
        <v>0.1</v>
      </c>
      <c r="G87" s="152">
        <f>IFERROR(IF(ISBLANK(C87),"",E87*'Machinery Input Tables'!$BP$10+F87*'Machinery Input Tables'!$BP$6+(VLOOKUP(C87,'Machinery Input Tables'!$AH$6:$BA$30,18,FALSE)*IF(IFERROR(VLOOKUP(B87,'Machinery Input Tables'!$B$6:$AF$121,13,FALSE)='Machinery Input Tables'!$N$128,1),1,VLOOKUP(B87,'Machinery Input Tables'!$B$6:$AF$121,28,FALSE))+IFERROR(VLOOKUP(B87,'Machinery Input Tables'!$B$6:$AF$121,27,FALSE),0))*D87),"-")</f>
        <v>5.3434210526315793</v>
      </c>
      <c r="H87" s="141">
        <f>IFERROR((IFERROR(VLOOKUP(B87,'Machinery Input Tables'!$B$6:$AF$121,24,FALSE),0)+VLOOKUP(C87,'Machinery Input Tables'!$AH$6:$BA$30,20,FALSE))*IF(IFERROR(VLOOKUP(B87,'Machinery Input Tables'!$B$6:$AF$121,13,FALSE)='Machinery Input Tables'!$N$128,1),1,VLOOKUP(B87,'Machinery Input Tables'!$B$6:$AF$121,28,FALSE))*D87,"-")</f>
        <v>2.1642203858838904</v>
      </c>
      <c r="I87" s="152">
        <f t="shared" si="12"/>
        <v>7.5076414385154697</v>
      </c>
    </row>
    <row r="88" spans="2:9" ht="16.5">
      <c r="B88" s="300"/>
      <c r="C88" s="300"/>
      <c r="D88" s="301"/>
      <c r="E88" s="141" t="str">
        <f>IFERROR(IF(ISBLANK(C88),"",IF(OR(ISBLANK(B88),IFERROR(VLOOKUP(B88,'Machinery Input Tables'!$B$6:$AF$121,13,FALSE),"")='Machinery Input Tables'!$N$128),1,VLOOKUP(B88,'Machinery Input Tables'!$B$6:$AF$121,28,FALSE))*VLOOKUP(C88,'Machinery Input Tables'!$AH$6:$BA$30,19,FALSE))*D88,"-")</f>
        <v>-</v>
      </c>
      <c r="F88" s="141" t="str">
        <f>IFERROR(IF(AND(ISBLANK(B88)*ISBLANK(C88)),"",IF(ISBLANK(B88),1,IF(VLOOKUP(B88,'Machinery Input Tables'!$B$6:$AF$121,13,FALSE)='Machinery Input Tables'!$N$128,VLOOKUP(B88,'Machinery Input Tables'!$B$6:$AF$121,17,FALSE),VLOOKUP(B88,'Machinery Input Tables'!$B$6:$AF$121,28,FALSE))))*D88,"-")</f>
        <v>-</v>
      </c>
      <c r="G88" s="152" t="str">
        <f>IFERROR(IF(ISBLANK(C88),"",E88*'Machinery Input Tables'!$BP$10+F88*'Machinery Input Tables'!$BP$6+(VLOOKUP(C88,'Machinery Input Tables'!$AH$6:$BA$30,18,FALSE)*IF(IFERROR(VLOOKUP(B88,'Machinery Input Tables'!$B$6:$AF$121,13,FALSE)='Machinery Input Tables'!$N$128,1),1,VLOOKUP(B88,'Machinery Input Tables'!$B$6:$AF$121,28,FALSE))+IFERROR(VLOOKUP(B88,'Machinery Input Tables'!$B$6:$AF$121,27,FALSE),0))*D88),"-")</f>
        <v/>
      </c>
      <c r="H88" s="141" t="str">
        <f>IFERROR((IFERROR(VLOOKUP(B88,'Machinery Input Tables'!$B$6:$AF$121,24,FALSE),0)+VLOOKUP(C88,'Machinery Input Tables'!$AH$6:$BA$30,20,FALSE))*IF(IFERROR(VLOOKUP(B88,'Machinery Input Tables'!$B$6:$AF$121,13,FALSE)='Machinery Input Tables'!$N$128,1),1,VLOOKUP(B88,'Machinery Input Tables'!$B$6:$AF$121,28,FALSE))*D88,"-")</f>
        <v>-</v>
      </c>
      <c r="I88" s="152">
        <f t="shared" si="12"/>
        <v>0</v>
      </c>
    </row>
    <row r="89" spans="2:9" ht="16.5">
      <c r="B89" s="300"/>
      <c r="C89" s="300"/>
      <c r="D89" s="301"/>
      <c r="E89" s="141" t="str">
        <f>IFERROR(IF(ISBLANK(C89),"",IF(OR(ISBLANK(B89),IFERROR(VLOOKUP(B89,'Machinery Input Tables'!$B$6:$AF$121,13,FALSE),"")='Machinery Input Tables'!$N$128),1,VLOOKUP(B89,'Machinery Input Tables'!$B$6:$AF$121,28,FALSE))*VLOOKUP(C89,'Machinery Input Tables'!$AH$6:$BA$30,19,FALSE))*D89,"-")</f>
        <v>-</v>
      </c>
      <c r="F89" s="141" t="str">
        <f>IFERROR(IF(AND(ISBLANK(B89)*ISBLANK(C89)),"",IF(ISBLANK(B89),1,IF(VLOOKUP(B89,'Machinery Input Tables'!$B$6:$AF$121,13,FALSE)='Machinery Input Tables'!$N$128,VLOOKUP(B89,'Machinery Input Tables'!$B$6:$AF$121,17,FALSE),VLOOKUP(B89,'Machinery Input Tables'!$B$6:$AF$121,28,FALSE))))*D89,"-")</f>
        <v>-</v>
      </c>
      <c r="G89" s="152" t="str">
        <f>IFERROR(IF(ISBLANK(C89),"",E89*'Machinery Input Tables'!$BP$10+F89*'Machinery Input Tables'!$BP$6+(VLOOKUP(C89,'Machinery Input Tables'!$AH$6:$BA$30,18,FALSE)*IF(IFERROR(VLOOKUP(B89,'Machinery Input Tables'!$B$6:$AF$121,13,FALSE)='Machinery Input Tables'!$N$128,1),1,VLOOKUP(B89,'Machinery Input Tables'!$B$6:$AF$121,28,FALSE))+IFERROR(VLOOKUP(B89,'Machinery Input Tables'!$B$6:$AF$121,27,FALSE),0))*D89),"-")</f>
        <v/>
      </c>
      <c r="H89" s="141" t="str">
        <f>IFERROR((IFERROR(VLOOKUP(B89,'Machinery Input Tables'!$B$6:$AF$121,24,FALSE),0)+VLOOKUP(C89,'Machinery Input Tables'!$AH$6:$BA$30,20,FALSE))*IF(IFERROR(VLOOKUP(B89,'Machinery Input Tables'!$B$6:$AF$121,13,FALSE)='Machinery Input Tables'!$N$128,1),1,VLOOKUP(B89,'Machinery Input Tables'!$B$6:$AF$121,28,FALSE))*D89,"-")</f>
        <v>-</v>
      </c>
      <c r="I89" s="152">
        <f t="shared" si="12"/>
        <v>0</v>
      </c>
    </row>
    <row r="90" spans="2:9" ht="16.5">
      <c r="B90" s="302"/>
      <c r="C90" s="302"/>
      <c r="D90" s="303"/>
      <c r="E90" s="161" t="str">
        <f>IFERROR(IF(ISBLANK(C90),"",IF(OR(ISBLANK(B90),IFERROR(VLOOKUP(B90,'Machinery Input Tables'!$B$6:$AF$121,13,FALSE),"")='Machinery Input Tables'!$N$128),1,VLOOKUP(B90,'Machinery Input Tables'!$B$6:$AF$121,28,FALSE))*VLOOKUP(C90,'Machinery Input Tables'!$AH$6:$BA$30,19,FALSE))*D90,"-")</f>
        <v>-</v>
      </c>
      <c r="F90" s="161" t="str">
        <f>IFERROR(IF(AND(ISBLANK(B90)*ISBLANK(C90)),"",IF(ISBLANK(B90),1,IF(VLOOKUP(B90,'Machinery Input Tables'!$B$6:$AF$121,13,FALSE)='Machinery Input Tables'!$N$128,VLOOKUP(B90,'Machinery Input Tables'!$B$6:$AF$121,17,FALSE),VLOOKUP(B90,'Machinery Input Tables'!$B$6:$AF$121,28,FALSE))))*D90,"-")</f>
        <v>-</v>
      </c>
      <c r="G90" s="162" t="str">
        <f>IFERROR(IF(ISBLANK(C90),"",E90*'Machinery Input Tables'!$BP$10+F90*'Machinery Input Tables'!$BP$6+(VLOOKUP(C90,'Machinery Input Tables'!$AH$6:$BA$30,18,FALSE)*IF(IFERROR(VLOOKUP(B90,'Machinery Input Tables'!$B$6:$AF$121,13,FALSE)='Machinery Input Tables'!$N$128,1),1,VLOOKUP(B90,'Machinery Input Tables'!$B$6:$AF$121,28,FALSE))+IFERROR(VLOOKUP(B90,'Machinery Input Tables'!$B$6:$AF$121,27,FALSE),0))*D90),"-")</f>
        <v/>
      </c>
      <c r="H90" s="161" t="str">
        <f>IFERROR((IFERROR(VLOOKUP(B90,'Machinery Input Tables'!$B$6:$AF$121,24,FALSE),0)+VLOOKUP(C90,'Machinery Input Tables'!$AH$6:$BA$30,20,FALSE))*IF(IFERROR(VLOOKUP(B90,'Machinery Input Tables'!$B$6:$AF$121,13,FALSE)='Machinery Input Tables'!$N$128,1),1,VLOOKUP(B90,'Machinery Input Tables'!$B$6:$AF$121,28,FALSE))*D90,"-")</f>
        <v>-</v>
      </c>
      <c r="I90" s="162">
        <f t="shared" si="12"/>
        <v>0</v>
      </c>
    </row>
    <row r="91" spans="2:9" ht="16.5">
      <c r="B91" s="149"/>
      <c r="C91" s="163" t="s">
        <v>31</v>
      </c>
      <c r="D91" s="255"/>
      <c r="E91" s="164">
        <f>SUM(E80:E90)</f>
        <v>2.9155461309523805</v>
      </c>
      <c r="F91" s="164">
        <f t="shared" ref="F91" si="13">SUM(F80:F90)</f>
        <v>0.4707276785714285</v>
      </c>
      <c r="G91" s="164">
        <f t="shared" ref="G91" si="14">SUM(G80:G90)</f>
        <v>41.310827660176024</v>
      </c>
      <c r="H91" s="164">
        <f t="shared" ref="H91" si="15">SUM(H80:H90)</f>
        <v>45.621761849079093</v>
      </c>
      <c r="I91" s="164">
        <f t="shared" ref="I91" si="16">SUM(I80:I90)</f>
        <v>86.932589509255124</v>
      </c>
    </row>
    <row r="92" spans="2:9" ht="16.5">
      <c r="B92" s="102"/>
      <c r="C92" s="102"/>
      <c r="D92" s="102"/>
      <c r="E92" s="102"/>
      <c r="F92" s="143"/>
      <c r="G92" s="143"/>
      <c r="H92" s="143"/>
      <c r="I92" s="238"/>
    </row>
    <row r="93" spans="2:9" ht="16.5">
      <c r="B93" s="329" t="s">
        <v>792</v>
      </c>
      <c r="C93" s="329"/>
      <c r="D93" s="329"/>
      <c r="E93" s="329"/>
      <c r="F93" s="329"/>
      <c r="G93" s="329"/>
      <c r="H93" s="329"/>
      <c r="I93" s="329"/>
    </row>
    <row r="94" spans="2:9" ht="16.5">
      <c r="B94" s="326" t="s">
        <v>535</v>
      </c>
      <c r="C94" s="328" t="s">
        <v>536</v>
      </c>
      <c r="D94" s="261" t="s">
        <v>15</v>
      </c>
      <c r="E94" s="328" t="s">
        <v>537</v>
      </c>
      <c r="F94" s="328" t="s">
        <v>538</v>
      </c>
      <c r="G94" s="144" t="s">
        <v>539</v>
      </c>
      <c r="H94" s="144" t="s">
        <v>540</v>
      </c>
      <c r="I94" s="330" t="s">
        <v>541</v>
      </c>
    </row>
    <row r="95" spans="2:9" ht="16.5">
      <c r="B95" s="327"/>
      <c r="C95" s="329"/>
      <c r="D95" s="262" t="s">
        <v>810</v>
      </c>
      <c r="E95" s="329"/>
      <c r="F95" s="329"/>
      <c r="G95" s="142" t="s">
        <v>554</v>
      </c>
      <c r="H95" s="142" t="s">
        <v>554</v>
      </c>
      <c r="I95" s="331"/>
    </row>
    <row r="96" spans="2:9" ht="16.5">
      <c r="B96" s="149"/>
      <c r="C96" s="149"/>
      <c r="D96" s="150" t="s">
        <v>560</v>
      </c>
      <c r="E96" s="150" t="s">
        <v>557</v>
      </c>
      <c r="F96" s="150" t="s">
        <v>558</v>
      </c>
      <c r="G96" s="150" t="s">
        <v>559</v>
      </c>
      <c r="H96" s="150" t="s">
        <v>559</v>
      </c>
      <c r="I96" s="150" t="s">
        <v>561</v>
      </c>
    </row>
    <row r="97" spans="2:9" ht="16.5">
      <c r="B97" s="300" t="s">
        <v>807</v>
      </c>
      <c r="C97" s="300" t="s">
        <v>801</v>
      </c>
      <c r="D97" s="301">
        <v>1</v>
      </c>
      <c r="E97" s="141">
        <f>IFERROR(IF(ISBLANK(C97),"",IF(OR(ISBLANK(B97),IFERROR(VLOOKUP(B97,'Machinery Input Tables'!$B$6:$AF$121,13,FALSE),"")='Machinery Input Tables'!$N$128),1,VLOOKUP(B97,'Machinery Input Tables'!$B$6:$AF$121,28,FALSE))*VLOOKUP(C97,'Machinery Input Tables'!$AH$6:$BA$30,19,FALSE))*D97,"-")</f>
        <v>0.82714843749999978</v>
      </c>
      <c r="F97" s="141">
        <f>IFERROR(IF(AND(ISBLANK(B97)*ISBLANK(C97)),"",IF(ISBLANK(B97),1,IF(VLOOKUP(B97,'Machinery Input Tables'!$B$6:$AF$121,13,FALSE)='Machinery Input Tables'!$N$128,VLOOKUP(B97,'Machinery Input Tables'!$B$6:$AF$121,17,FALSE),VLOOKUP(B97,'Machinery Input Tables'!$B$6:$AF$121,28,FALSE))))*D97,"-")</f>
        <v>5.3710937499999993E-2</v>
      </c>
      <c r="G97" s="152">
        <f>IFERROR(IF(ISBLANK(C97),"",E97*'Machinery Input Tables'!$BP$10+F97*'Machinery Input Tables'!$BP$6+(VLOOKUP(C97,'Machinery Input Tables'!$AH$6:$BA$30,18,FALSE)*IF(IFERROR(VLOOKUP(B97,'Machinery Input Tables'!$B$6:$AF$121,13,FALSE)='Machinery Input Tables'!$N$128,1),1,VLOOKUP(B97,'Machinery Input Tables'!$B$6:$AF$121,28,FALSE))+IFERROR(VLOOKUP(B97,'Machinery Input Tables'!$B$6:$AF$121,27,FALSE),0))*D97),"-")</f>
        <v>7.5686817442480105</v>
      </c>
      <c r="H97" s="141">
        <f>IFERROR((IFERROR(VLOOKUP(B97,'Machinery Input Tables'!$B$6:$AF$121,24,FALSE),0)+VLOOKUP(C97,'Machinery Input Tables'!$AH$6:$BA$30,20,FALSE))*IF(IFERROR(VLOOKUP(B97,'Machinery Input Tables'!$B$6:$AF$121,13,FALSE)='Machinery Input Tables'!$N$128,1),1,VLOOKUP(B97,'Machinery Input Tables'!$B$6:$AF$121,28,FALSE))*D97,"-")</f>
        <v>10.594328870449727</v>
      </c>
      <c r="I97" s="152">
        <f t="shared" ref="I97:I106" si="17">IFERROR(IF(ISBLANK(AND(B97,C97)),"",SUM(G97:H97)),"-")</f>
        <v>18.16301061469774</v>
      </c>
    </row>
    <row r="98" spans="2:9" ht="16.5">
      <c r="B98" s="300" t="s">
        <v>764</v>
      </c>
      <c r="C98" s="300" t="s">
        <v>763</v>
      </c>
      <c r="D98" s="301">
        <v>1</v>
      </c>
      <c r="E98" s="141">
        <f>IFERROR(IF(ISBLANK(C98),"",IF(OR(ISBLANK(B98),IFERROR(VLOOKUP(B98,'Machinery Input Tables'!$B$6:$AF$121,13,FALSE),"")='Machinery Input Tables'!$N$128),1,VLOOKUP(B98,'Machinery Input Tables'!$B$6:$AF$121,28,FALSE))*VLOOKUP(C98,'Machinery Input Tables'!$AH$6:$BA$30,19,FALSE))*D98,"-")</f>
        <v>0.65999999999999992</v>
      </c>
      <c r="F98" s="141">
        <f>IFERROR(IF(AND(ISBLANK(B98)*ISBLANK(C98)),"",IF(ISBLANK(B98),1,IF(VLOOKUP(B98,'Machinery Input Tables'!$B$6:$AF$121,13,FALSE)='Machinery Input Tables'!$N$128,VLOOKUP(B98,'Machinery Input Tables'!$B$6:$AF$121,17,FALSE),VLOOKUP(B98,'Machinery Input Tables'!$B$6:$AF$121,28,FALSE))))*D98,"-")</f>
        <v>5.3571428571428568E-2</v>
      </c>
      <c r="G98" s="152">
        <f>IFERROR(IF(ISBLANK(C98),"",E98*'Machinery Input Tables'!$BP$10+F98*'Machinery Input Tables'!$BP$6+(VLOOKUP(C98,'Machinery Input Tables'!$AH$6:$BA$30,18,FALSE)*IF(IFERROR(VLOOKUP(B98,'Machinery Input Tables'!$B$6:$AF$121,13,FALSE)='Machinery Input Tables'!$N$128,1),1,VLOOKUP(B98,'Machinery Input Tables'!$B$6:$AF$121,28,FALSE))+IFERROR(VLOOKUP(B98,'Machinery Input Tables'!$B$6:$AF$121,27,FALSE),0))*D98),"-")</f>
        <v>10.315987687271134</v>
      </c>
      <c r="H98" s="141">
        <f>IFERROR((IFERROR(VLOOKUP(B98,'Machinery Input Tables'!$B$6:$AF$121,24,FALSE),0)+VLOOKUP(C98,'Machinery Input Tables'!$AH$6:$BA$30,20,FALSE))*IF(IFERROR(VLOOKUP(B98,'Machinery Input Tables'!$B$6:$AF$121,13,FALSE)='Machinery Input Tables'!$N$128,1),1,VLOOKUP(B98,'Machinery Input Tables'!$B$6:$AF$121,28,FALSE))*D98,"-")</f>
        <v>15.04263219469928</v>
      </c>
      <c r="I98" s="152">
        <f t="shared" si="17"/>
        <v>25.358619881970412</v>
      </c>
    </row>
    <row r="99" spans="2:9" ht="16.5">
      <c r="B99" s="300" t="s">
        <v>798</v>
      </c>
      <c r="C99" s="300" t="s">
        <v>803</v>
      </c>
      <c r="D99" s="301">
        <v>2</v>
      </c>
      <c r="E99" s="141">
        <f>IFERROR(IF(ISBLANK(C99),"",IF(OR(ISBLANK(B99),IFERROR(VLOOKUP(B99,'Machinery Input Tables'!$B$6:$AF$121,13,FALSE),"")='Machinery Input Tables'!$N$128),1,VLOOKUP(B99,'Machinery Input Tables'!$B$6:$AF$121,28,FALSE))*VLOOKUP(C99,'Machinery Input Tables'!$AH$6:$BA$30,19,FALSE))*D99,"-")</f>
        <v>0.16385416666666666</v>
      </c>
      <c r="F99" s="141">
        <f>IFERROR(IF(AND(ISBLANK(B99)*ISBLANK(C99)),"",IF(ISBLANK(B99),1,IF(VLOOKUP(B99,'Machinery Input Tables'!$B$6:$AF$121,13,FALSE)='Machinery Input Tables'!$N$128,VLOOKUP(B99,'Machinery Input Tables'!$B$6:$AF$121,17,FALSE),VLOOKUP(B99,'Machinery Input Tables'!$B$6:$AF$121,28,FALSE))))*D99,"-")</f>
        <v>2.8645833333333332E-2</v>
      </c>
      <c r="G99" s="152">
        <f>IFERROR(IF(ISBLANK(C99),"",E99*'Machinery Input Tables'!$BP$10+F99*'Machinery Input Tables'!$BP$6+(VLOOKUP(C99,'Machinery Input Tables'!$AH$6:$BA$30,18,FALSE)*IF(IFERROR(VLOOKUP(B99,'Machinery Input Tables'!$B$6:$AF$121,13,FALSE)='Machinery Input Tables'!$N$128,1),1,VLOOKUP(B99,'Machinery Input Tables'!$B$6:$AF$121,28,FALSE))+IFERROR(VLOOKUP(B99,'Machinery Input Tables'!$B$6:$AF$121,27,FALSE),0))*D99),"-")</f>
        <v>2.3160556423628984</v>
      </c>
      <c r="H99" s="141">
        <f>IFERROR((IFERROR(VLOOKUP(B99,'Machinery Input Tables'!$B$6:$AF$121,24,FALSE),0)+VLOOKUP(C99,'Machinery Input Tables'!$AH$6:$BA$30,20,FALSE))*IF(IFERROR(VLOOKUP(B99,'Machinery Input Tables'!$B$6:$AF$121,13,FALSE)='Machinery Input Tables'!$N$128,1),1,VLOOKUP(B99,'Machinery Input Tables'!$B$6:$AF$121,28,FALSE))*D99,"-")</f>
        <v>2.0241260734095912</v>
      </c>
      <c r="I99" s="152">
        <f t="shared" si="17"/>
        <v>4.3401817157724896</v>
      </c>
    </row>
    <row r="100" spans="2:9" ht="16.5">
      <c r="B100" s="300" t="s">
        <v>811</v>
      </c>
      <c r="C100" s="300" t="s">
        <v>804</v>
      </c>
      <c r="D100" s="301">
        <v>1</v>
      </c>
      <c r="E100" s="141">
        <f>IFERROR(IF(ISBLANK(C100),"",IF(OR(ISBLANK(B100),IFERROR(VLOOKUP(B100,'Machinery Input Tables'!$B$6:$AF$121,13,FALSE),"")='Machinery Input Tables'!$N$128),1,VLOOKUP(B100,'Machinery Input Tables'!$B$6:$AF$121,28,FALSE))*VLOOKUP(C100,'Machinery Input Tables'!$AH$6:$BA$30,19,FALSE))*D100,"-")</f>
        <v>1.0947619047619046</v>
      </c>
      <c r="F100" s="141">
        <f>IFERROR(IF(AND(ISBLANK(B100)*ISBLANK(C100)),"",IF(ISBLANK(B100),1,IF(VLOOKUP(B100,'Machinery Input Tables'!$B$6:$AF$121,13,FALSE)='Machinery Input Tables'!$N$128,VLOOKUP(B100,'Machinery Input Tables'!$B$6:$AF$121,17,FALSE),VLOOKUP(B100,'Machinery Input Tables'!$B$6:$AF$121,28,FALSE))))*D100,"-")</f>
        <v>0.10476190476190476</v>
      </c>
      <c r="G100" s="152">
        <f>IFERROR(IF(ISBLANK(C100),"",E100*'Machinery Input Tables'!$BP$10+F100*'Machinery Input Tables'!$BP$6+(VLOOKUP(C100,'Machinery Input Tables'!$AH$6:$BA$30,18,FALSE)*IF(IFERROR(VLOOKUP(B100,'Machinery Input Tables'!$B$6:$AF$121,13,FALSE)='Machinery Input Tables'!$N$128,1),1,VLOOKUP(B100,'Machinery Input Tables'!$B$6:$AF$121,28,FALSE))+IFERROR(VLOOKUP(B100,'Machinery Input Tables'!$B$6:$AF$121,27,FALSE),0))*D100),"-")</f>
        <v>14.647926134508426</v>
      </c>
      <c r="H100" s="141">
        <f>IFERROR((IFERROR(VLOOKUP(B100,'Machinery Input Tables'!$B$6:$AF$121,24,FALSE),0)+VLOOKUP(C100,'Machinery Input Tables'!$AH$6:$BA$30,20,FALSE))*IF(IFERROR(VLOOKUP(B100,'Machinery Input Tables'!$B$6:$AF$121,13,FALSE)='Machinery Input Tables'!$N$128,1),1,VLOOKUP(B100,'Machinery Input Tables'!$B$6:$AF$121,28,FALSE))*D100,"-")</f>
        <v>19.918449503641831</v>
      </c>
      <c r="I100" s="152">
        <f t="shared" si="17"/>
        <v>34.566375638150255</v>
      </c>
    </row>
    <row r="101" spans="2:9" ht="16.5">
      <c r="B101" s="300" t="s">
        <v>800</v>
      </c>
      <c r="C101" s="300" t="s">
        <v>803</v>
      </c>
      <c r="D101" s="301">
        <v>0.03</v>
      </c>
      <c r="E101" s="141" t="str">
        <f>IFERROR(IF(ISBLANK(C101),"",IF(OR(ISBLANK(B101),IFERROR(VLOOKUP(B101,'Machinery Input Tables'!$B$6:$AF$121,13,FALSE),"")='Machinery Input Tables'!$N$128),1,VLOOKUP(B101,'Machinery Input Tables'!$B$6:$AF$121,28,FALSE))*VLOOKUP(C101,'Machinery Input Tables'!$AH$6:$BA$30,19,FALSE))*D101,"-")</f>
        <v>-</v>
      </c>
      <c r="F101" s="141" t="str">
        <f>IFERROR(IF(AND(ISBLANK(B101)*ISBLANK(C101)),"",IF(ISBLANK(B101),1,IF(VLOOKUP(B101,'Machinery Input Tables'!$B$6:$AF$121,13,FALSE)='Machinery Input Tables'!$N$128,VLOOKUP(B101,'Machinery Input Tables'!$B$6:$AF$121,17,FALSE),VLOOKUP(B101,'Machinery Input Tables'!$B$6:$AF$121,28,FALSE))))*D101,"-")</f>
        <v>-</v>
      </c>
      <c r="G101" s="152" t="str">
        <f>IFERROR(IF(ISBLANK(C101),"",E101*'Machinery Input Tables'!$BP$10+F101*'Machinery Input Tables'!$BP$6+(VLOOKUP(C101,'Machinery Input Tables'!$AH$6:$BA$30,18,FALSE)*IF(IFERROR(VLOOKUP(B101,'Machinery Input Tables'!$B$6:$AF$121,13,FALSE)='Machinery Input Tables'!$N$128,1),1,VLOOKUP(B101,'Machinery Input Tables'!$B$6:$AF$121,28,FALSE))+IFERROR(VLOOKUP(B101,'Machinery Input Tables'!$B$6:$AF$121,27,FALSE),0))*D101),"-")</f>
        <v>-</v>
      </c>
      <c r="H101" s="141">
        <f>IFERROR((IFERROR(VLOOKUP(B101,'Machinery Input Tables'!$B$6:$AF$121,24,FALSE),0)+VLOOKUP(C101,'Machinery Input Tables'!$AH$6:$BA$30,20,FALSE))*IF(IFERROR(VLOOKUP(B101,'Machinery Input Tables'!$B$6:$AF$121,13,FALSE)='Machinery Input Tables'!$N$128,1),1,VLOOKUP(B101,'Machinery Input Tables'!$B$6:$AF$121,28,FALSE))*D101,"-")</f>
        <v>1.2178084728182441</v>
      </c>
      <c r="I101" s="152">
        <f t="shared" si="17"/>
        <v>1.2178084728182441</v>
      </c>
    </row>
    <row r="102" spans="2:9" ht="16.5">
      <c r="B102" s="300" t="s">
        <v>782</v>
      </c>
      <c r="C102" s="300" t="s">
        <v>783</v>
      </c>
      <c r="D102" s="301">
        <v>5.5E-2</v>
      </c>
      <c r="E102" s="141">
        <f>IFERROR(IF(ISBLANK(C102),"",IF(OR(ISBLANK(B102),IFERROR(VLOOKUP(B102,'Machinery Input Tables'!$B$6:$AF$121,13,FALSE),"")='Machinery Input Tables'!$N$128),1,VLOOKUP(B102,'Machinery Input Tables'!$B$6:$AF$121,28,FALSE))*VLOOKUP(C102,'Machinery Input Tables'!$AH$6:$BA$30,19,FALSE))*D102,"-")</f>
        <v>0.39187500000000003</v>
      </c>
      <c r="F102" s="141">
        <f>IFERROR(IF(AND(ISBLANK(B102)*ISBLANK(C102)),"",IF(ISBLANK(B102),1,IF(VLOOKUP(B102,'Machinery Input Tables'!$B$6:$AF$121,13,FALSE)='Machinery Input Tables'!$N$128,VLOOKUP(B102,'Machinery Input Tables'!$B$6:$AF$121,17,FALSE),VLOOKUP(B102,'Machinery Input Tables'!$B$6:$AF$121,28,FALSE))))*D102,"-")</f>
        <v>6.0500000000000005E-2</v>
      </c>
      <c r="G102" s="152">
        <f>IFERROR(IF(ISBLANK(C102),"",E102*'Machinery Input Tables'!$BP$10+F102*'Machinery Input Tables'!$BP$6+(VLOOKUP(C102,'Machinery Input Tables'!$AH$6:$BA$30,18,FALSE)*IF(IFERROR(VLOOKUP(B102,'Machinery Input Tables'!$B$6:$AF$121,13,FALSE)='Machinery Input Tables'!$N$128,1),1,VLOOKUP(B102,'Machinery Input Tables'!$B$6:$AF$121,28,FALSE))+IFERROR(VLOOKUP(B102,'Machinery Input Tables'!$B$6:$AF$121,27,FALSE),0))*D102),"-")</f>
        <v>3.8921252405445141</v>
      </c>
      <c r="H102" s="141">
        <f>IFERROR((IFERROR(VLOOKUP(B102,'Machinery Input Tables'!$B$6:$AF$121,24,FALSE),0)+VLOOKUP(C102,'Machinery Input Tables'!$AH$6:$BA$30,20,FALSE))*IF(IFERROR(VLOOKUP(B102,'Machinery Input Tables'!$B$6:$AF$121,13,FALSE)='Machinery Input Tables'!$N$128,1),1,VLOOKUP(B102,'Machinery Input Tables'!$B$6:$AF$121,28,FALSE))*D102,"-")</f>
        <v>1.7843343551153414</v>
      </c>
      <c r="I102" s="152">
        <f t="shared" si="17"/>
        <v>5.6764595956598551</v>
      </c>
    </row>
    <row r="103" spans="2:9" ht="16.5">
      <c r="B103" s="300"/>
      <c r="C103" s="300" t="s">
        <v>799</v>
      </c>
      <c r="D103" s="301">
        <v>5.5E-2</v>
      </c>
      <c r="E103" s="141">
        <f>IFERROR(IF(ISBLANK(C103),"",IF(OR(ISBLANK(B103),IFERROR(VLOOKUP(B103,'Machinery Input Tables'!$B$6:$AF$121,13,FALSE),"")='Machinery Input Tables'!$N$128),1,VLOOKUP(B103,'Machinery Input Tables'!$B$6:$AF$121,28,FALSE))*VLOOKUP(C103,'Machinery Input Tables'!$AH$6:$BA$30,19,FALSE))*D103,"-")</f>
        <v>0.268125</v>
      </c>
      <c r="F103" s="141">
        <f>IFERROR(IF(AND(ISBLANK(B103)*ISBLANK(C103)),"",IF(ISBLANK(B103),1,IF(VLOOKUP(B103,'Machinery Input Tables'!$B$6:$AF$121,13,FALSE)='Machinery Input Tables'!$N$128,VLOOKUP(B103,'Machinery Input Tables'!$B$6:$AF$121,17,FALSE),VLOOKUP(B103,'Machinery Input Tables'!$B$6:$AF$121,28,FALSE))))*D103,"-")</f>
        <v>5.5E-2</v>
      </c>
      <c r="G103" s="152">
        <f>IFERROR(IF(ISBLANK(C103),"",E103*'Machinery Input Tables'!$BP$10+F103*'Machinery Input Tables'!$BP$6+(VLOOKUP(C103,'Machinery Input Tables'!$AH$6:$BA$30,18,FALSE)*IF(IFERROR(VLOOKUP(B103,'Machinery Input Tables'!$B$6:$AF$121,13,FALSE)='Machinery Input Tables'!$N$128,1),1,VLOOKUP(B103,'Machinery Input Tables'!$B$6:$AF$121,28,FALSE))+IFERROR(VLOOKUP(B103,'Machinery Input Tables'!$B$6:$AF$121,27,FALSE),0))*D103),"-")</f>
        <v>2.5525729166666666</v>
      </c>
      <c r="H103" s="141">
        <f>IFERROR((IFERROR(VLOOKUP(B103,'Machinery Input Tables'!$B$6:$AF$121,24,FALSE),0)+VLOOKUP(C103,'Machinery Input Tables'!$AH$6:$BA$30,20,FALSE))*IF(IFERROR(VLOOKUP(B103,'Machinery Input Tables'!$B$6:$AF$121,13,FALSE)='Machinery Input Tables'!$N$128,1),1,VLOOKUP(B103,'Machinery Input Tables'!$B$6:$AF$121,28,FALSE))*D103,"-")</f>
        <v>0.7959153502007591</v>
      </c>
      <c r="I103" s="152">
        <f t="shared" si="17"/>
        <v>3.3484882668674256</v>
      </c>
    </row>
    <row r="104" spans="2:9" ht="16.5">
      <c r="B104" s="300"/>
      <c r="C104" s="300" t="s">
        <v>765</v>
      </c>
      <c r="D104" s="301">
        <v>0.1</v>
      </c>
      <c r="E104" s="141">
        <f>IFERROR(IF(ISBLANK(C104),"",IF(OR(ISBLANK(B104),IFERROR(VLOOKUP(B104,'Machinery Input Tables'!$B$6:$AF$121,13,FALSE),"")='Machinery Input Tables'!$N$128),1,VLOOKUP(B104,'Machinery Input Tables'!$B$6:$AF$121,28,FALSE))*VLOOKUP(C104,'Machinery Input Tables'!$AH$6:$BA$30,19,FALSE))*D104,"-")</f>
        <v>0.30000000000000004</v>
      </c>
      <c r="F104" s="141">
        <f>IFERROR(IF(AND(ISBLANK(B104)*ISBLANK(C104)),"",IF(ISBLANK(B104),1,IF(VLOOKUP(B104,'Machinery Input Tables'!$B$6:$AF$121,13,FALSE)='Machinery Input Tables'!$N$128,VLOOKUP(B104,'Machinery Input Tables'!$B$6:$AF$121,17,FALSE),VLOOKUP(B104,'Machinery Input Tables'!$B$6:$AF$121,28,FALSE))))*D104,"-")</f>
        <v>0.1</v>
      </c>
      <c r="G104" s="152">
        <f>IFERROR(IF(ISBLANK(C104),"",E104*'Machinery Input Tables'!$BP$10+F104*'Machinery Input Tables'!$BP$6+(VLOOKUP(C104,'Machinery Input Tables'!$AH$6:$BA$30,18,FALSE)*IF(IFERROR(VLOOKUP(B104,'Machinery Input Tables'!$B$6:$AF$121,13,FALSE)='Machinery Input Tables'!$N$128,1),1,VLOOKUP(B104,'Machinery Input Tables'!$B$6:$AF$121,28,FALSE))+IFERROR(VLOOKUP(B104,'Machinery Input Tables'!$B$6:$AF$121,27,FALSE),0))*D104),"-")</f>
        <v>5.3434210526315793</v>
      </c>
      <c r="H104" s="141">
        <f>IFERROR((IFERROR(VLOOKUP(B104,'Machinery Input Tables'!$B$6:$AF$121,24,FALSE),0)+VLOOKUP(C104,'Machinery Input Tables'!$AH$6:$BA$30,20,FALSE))*IF(IFERROR(VLOOKUP(B104,'Machinery Input Tables'!$B$6:$AF$121,13,FALSE)='Machinery Input Tables'!$N$128,1),1,VLOOKUP(B104,'Machinery Input Tables'!$B$6:$AF$121,28,FALSE))*D104,"-")</f>
        <v>2.1642203858838904</v>
      </c>
      <c r="I104" s="152">
        <f t="shared" si="17"/>
        <v>7.5076414385154697</v>
      </c>
    </row>
    <row r="105" spans="2:9" ht="16.5">
      <c r="B105" s="300"/>
      <c r="C105" s="300"/>
      <c r="D105" s="301"/>
      <c r="E105" s="141" t="str">
        <f>IFERROR(IF(ISBLANK(C105),"",IF(OR(ISBLANK(B105),IFERROR(VLOOKUP(B105,'Machinery Input Tables'!$B$6:$AF$121,13,FALSE),"")='Machinery Input Tables'!$N$128),1,VLOOKUP(B105,'Machinery Input Tables'!$B$6:$AF$121,28,FALSE))*VLOOKUP(C105,'Machinery Input Tables'!$AH$6:$BA$30,19,FALSE))*D105,"-")</f>
        <v>-</v>
      </c>
      <c r="F105" s="141" t="str">
        <f>IFERROR(IF(AND(ISBLANK(B105)*ISBLANK(C105)),"",IF(ISBLANK(B105),1,IF(VLOOKUP(B105,'Machinery Input Tables'!$B$6:$AF$121,13,FALSE)='Machinery Input Tables'!$N$128,VLOOKUP(B105,'Machinery Input Tables'!$B$6:$AF$121,17,FALSE),VLOOKUP(B105,'Machinery Input Tables'!$B$6:$AF$121,28,FALSE))))*D105,"-")</f>
        <v>-</v>
      </c>
      <c r="G105" s="152" t="str">
        <f>IFERROR(IF(ISBLANK(C105),"",E105*'Machinery Input Tables'!$BP$10+F105*'Machinery Input Tables'!$BP$6+(VLOOKUP(C105,'Machinery Input Tables'!$AH$6:$BA$30,18,FALSE)*IF(IFERROR(VLOOKUP(B105,'Machinery Input Tables'!$B$6:$AF$121,13,FALSE)='Machinery Input Tables'!$N$128,1),1,VLOOKUP(B105,'Machinery Input Tables'!$B$6:$AF$121,28,FALSE))+IFERROR(VLOOKUP(B105,'Machinery Input Tables'!$B$6:$AF$121,27,FALSE),0))*D105),"-")</f>
        <v/>
      </c>
      <c r="H105" s="141" t="str">
        <f>IFERROR((IFERROR(VLOOKUP(B105,'Machinery Input Tables'!$B$6:$AF$121,24,FALSE),0)+VLOOKUP(C105,'Machinery Input Tables'!$AH$6:$BA$30,20,FALSE))*IF(IFERROR(VLOOKUP(B105,'Machinery Input Tables'!$B$6:$AF$121,13,FALSE)='Machinery Input Tables'!$N$128,1),1,VLOOKUP(B105,'Machinery Input Tables'!$B$6:$AF$121,28,FALSE))*D105,"-")</f>
        <v>-</v>
      </c>
      <c r="I105" s="152">
        <f t="shared" si="17"/>
        <v>0</v>
      </c>
    </row>
    <row r="106" spans="2:9" ht="16.5">
      <c r="B106" s="302"/>
      <c r="C106" s="302"/>
      <c r="D106" s="303"/>
      <c r="E106" s="161" t="str">
        <f>IFERROR(IF(ISBLANK(C106),"",IF(OR(ISBLANK(B106),IFERROR(VLOOKUP(B106,'Machinery Input Tables'!$B$6:$AF$121,13,FALSE),"")='Machinery Input Tables'!$N$128),1,VLOOKUP(B106,'Machinery Input Tables'!$B$6:$AF$121,28,FALSE))*VLOOKUP(C106,'Machinery Input Tables'!$AH$6:$BA$30,19,FALSE))*D106,"-")</f>
        <v>-</v>
      </c>
      <c r="F106" s="161" t="str">
        <f>IFERROR(IF(AND(ISBLANK(B106)*ISBLANK(C106)),"",IF(ISBLANK(B106),1,IF(VLOOKUP(B106,'Machinery Input Tables'!$B$6:$AF$121,13,FALSE)='Machinery Input Tables'!$N$128,VLOOKUP(B106,'Machinery Input Tables'!$B$6:$AF$121,17,FALSE),VLOOKUP(B106,'Machinery Input Tables'!$B$6:$AF$121,28,FALSE))))*D106,"-")</f>
        <v>-</v>
      </c>
      <c r="G106" s="162" t="str">
        <f>IFERROR(IF(ISBLANK(C106),"",E106*'Machinery Input Tables'!$BP$10+F106*'Machinery Input Tables'!$BP$6+(VLOOKUP(C106,'Machinery Input Tables'!$AH$6:$BA$30,18,FALSE)*IF(IFERROR(VLOOKUP(B106,'Machinery Input Tables'!$B$6:$AF$121,13,FALSE)='Machinery Input Tables'!$N$128,1),1,VLOOKUP(B106,'Machinery Input Tables'!$B$6:$AF$121,28,FALSE))+IFERROR(VLOOKUP(B106,'Machinery Input Tables'!$B$6:$AF$121,27,FALSE),0))*D106),"-")</f>
        <v/>
      </c>
      <c r="H106" s="161" t="str">
        <f>IFERROR((IFERROR(VLOOKUP(B106,'Machinery Input Tables'!$B$6:$AF$121,24,FALSE),0)+VLOOKUP(C106,'Machinery Input Tables'!$AH$6:$BA$30,20,FALSE))*IF(IFERROR(VLOOKUP(B106,'Machinery Input Tables'!$B$6:$AF$121,13,FALSE)='Machinery Input Tables'!$N$128,1),1,VLOOKUP(B106,'Machinery Input Tables'!$B$6:$AF$121,28,FALSE))*D106,"-")</f>
        <v>-</v>
      </c>
      <c r="I106" s="162">
        <f t="shared" si="17"/>
        <v>0</v>
      </c>
    </row>
    <row r="107" spans="2:9" ht="16.5">
      <c r="B107" s="149"/>
      <c r="C107" s="163" t="s">
        <v>31</v>
      </c>
      <c r="D107" s="255"/>
      <c r="E107" s="164">
        <f>SUM(E96:E106)</f>
        <v>3.7057645089285707</v>
      </c>
      <c r="F107" s="164">
        <f t="shared" ref="F107" si="18">SUM(F96:F106)</f>
        <v>0.45619010416666661</v>
      </c>
      <c r="G107" s="164">
        <f t="shared" ref="G107" si="19">SUM(G96:G106)</f>
        <v>46.636770418233226</v>
      </c>
      <c r="H107" s="164">
        <f t="shared" ref="H107" si="20">SUM(H96:H106)</f>
        <v>53.541815206218658</v>
      </c>
      <c r="I107" s="164">
        <f t="shared" ref="I107" si="21">SUM(I96:I106)</f>
        <v>100.17858562445187</v>
      </c>
    </row>
    <row r="108" spans="2:9" ht="16.5">
      <c r="B108" s="102"/>
      <c r="C108" s="102"/>
      <c r="D108" s="102"/>
      <c r="E108" s="102"/>
      <c r="F108" s="143"/>
      <c r="G108" s="143"/>
      <c r="H108" s="143"/>
      <c r="I108" s="238"/>
    </row>
    <row r="109" spans="2:9" ht="16.5" hidden="1">
      <c r="D109" s="141"/>
      <c r="E109" s="141"/>
      <c r="F109" s="152"/>
      <c r="G109" s="141"/>
      <c r="H109" s="141"/>
      <c r="I109" s="152"/>
    </row>
    <row r="110" spans="2:9" ht="16.5" hidden="1">
      <c r="D110" s="141"/>
      <c r="E110" s="141"/>
      <c r="F110" s="152"/>
      <c r="G110" s="141"/>
      <c r="H110" s="141"/>
      <c r="I110" s="152"/>
    </row>
    <row r="111" spans="2:9" ht="16.5" hidden="1">
      <c r="D111" s="141"/>
      <c r="E111" s="141"/>
      <c r="F111" s="152"/>
      <c r="G111" s="141"/>
      <c r="H111" s="141"/>
      <c r="I111" s="152"/>
    </row>
    <row r="112" spans="2:9" ht="16.5" hidden="1">
      <c r="D112" s="141"/>
      <c r="E112" s="141"/>
      <c r="F112" s="152"/>
      <c r="G112" s="141"/>
      <c r="H112" s="141"/>
      <c r="I112" s="152"/>
    </row>
    <row r="113" spans="2:9" ht="16.5" hidden="1">
      <c r="D113" s="141"/>
      <c r="E113" s="141"/>
      <c r="F113" s="152"/>
      <c r="G113" s="141"/>
      <c r="H113" s="141"/>
      <c r="I113" s="152"/>
    </row>
    <row r="114" spans="2:9" ht="16.5" hidden="1">
      <c r="D114" s="141"/>
      <c r="E114" s="141"/>
      <c r="F114" s="152"/>
      <c r="G114" s="152"/>
      <c r="H114" s="141"/>
      <c r="I114" s="152"/>
    </row>
    <row r="115" spans="2:9" ht="16.5" hidden="1">
      <c r="B115" s="149"/>
      <c r="C115" s="163"/>
      <c r="D115" s="164"/>
      <c r="E115" s="164"/>
      <c r="F115" s="164"/>
      <c r="G115" s="164"/>
      <c r="H115" s="164"/>
      <c r="I115" s="164"/>
    </row>
    <row r="116" spans="2:9" ht="14.25" hidden="1" customHeight="1"/>
    <row r="117" spans="2:9" ht="14.25" hidden="1" customHeight="1">
      <c r="B117" s="332"/>
      <c r="C117" s="332"/>
      <c r="D117" s="332"/>
      <c r="E117" s="332"/>
      <c r="F117" s="332"/>
      <c r="G117" s="332"/>
      <c r="H117" s="332"/>
      <c r="I117" s="332"/>
    </row>
    <row r="118" spans="2:9" ht="14.25" hidden="1" customHeight="1">
      <c r="B118" s="333"/>
      <c r="C118" s="332"/>
      <c r="D118" s="332"/>
      <c r="E118" s="332"/>
      <c r="F118" s="143"/>
      <c r="G118" s="143"/>
      <c r="H118" s="143"/>
      <c r="I118" s="334"/>
    </row>
    <row r="119" spans="2:9" ht="14.25" hidden="1" customHeight="1">
      <c r="B119" s="333"/>
      <c r="C119" s="332"/>
      <c r="D119" s="332"/>
      <c r="E119" s="332"/>
      <c r="F119" s="143"/>
      <c r="G119" s="143"/>
      <c r="H119" s="143"/>
      <c r="I119" s="334"/>
    </row>
    <row r="120" spans="2:9" ht="14.25" hidden="1" customHeight="1">
      <c r="B120" s="149"/>
      <c r="C120" s="149"/>
      <c r="D120" s="150"/>
      <c r="E120" s="150"/>
      <c r="F120" s="150"/>
      <c r="G120" s="150"/>
      <c r="H120" s="150"/>
      <c r="I120" s="150"/>
    </row>
    <row r="121" spans="2:9" ht="14.25" hidden="1" customHeight="1">
      <c r="D121" s="141"/>
      <c r="E121" s="141"/>
      <c r="F121" s="152"/>
      <c r="G121" s="141"/>
      <c r="H121" s="141"/>
      <c r="I121" s="152"/>
    </row>
    <row r="122" spans="2:9" ht="14.25" hidden="1" customHeight="1">
      <c r="D122" s="141"/>
      <c r="E122" s="141"/>
      <c r="F122" s="152"/>
      <c r="G122" s="141"/>
      <c r="H122" s="141"/>
      <c r="I122" s="152"/>
    </row>
    <row r="123" spans="2:9" ht="14.25" hidden="1" customHeight="1">
      <c r="D123" s="141"/>
      <c r="E123" s="141"/>
      <c r="F123" s="152"/>
      <c r="G123" s="141"/>
      <c r="H123" s="141"/>
      <c r="I123" s="152"/>
    </row>
    <row r="124" spans="2:9" ht="14.25" hidden="1" customHeight="1">
      <c r="D124" s="141"/>
      <c r="E124" s="141"/>
      <c r="F124" s="152"/>
      <c r="G124" s="141"/>
      <c r="H124" s="141"/>
      <c r="I124" s="152"/>
    </row>
    <row r="125" spans="2:9" ht="14.25" hidden="1" customHeight="1">
      <c r="D125" s="141"/>
      <c r="E125" s="141"/>
      <c r="F125" s="152"/>
      <c r="G125" s="141"/>
      <c r="H125" s="141"/>
      <c r="I125" s="152"/>
    </row>
    <row r="126" spans="2:9" ht="14.25" hidden="1" customHeight="1">
      <c r="D126" s="141"/>
      <c r="E126" s="141"/>
      <c r="F126" s="152"/>
      <c r="G126" s="152"/>
      <c r="H126" s="141"/>
      <c r="I126" s="152"/>
    </row>
    <row r="127" spans="2:9" ht="14.25" hidden="1" customHeight="1">
      <c r="B127" s="149"/>
      <c r="C127" s="163"/>
      <c r="D127" s="164"/>
      <c r="E127" s="164"/>
      <c r="F127" s="164"/>
      <c r="G127" s="164"/>
      <c r="H127" s="164"/>
      <c r="I127" s="164"/>
    </row>
    <row r="128" spans="2:9" ht="14.25" hidden="1" customHeight="1"/>
    <row r="137" ht="14.25" hidden="1" customHeight="1"/>
    <row r="138" ht="16.5" hidden="1"/>
    <row r="140" ht="14.25" hidden="1" customHeight="1"/>
    <row r="141" ht="16.5" hidden="1"/>
    <row r="142" ht="14.25" hidden="1" customHeight="1"/>
  </sheetData>
  <protectedRanges>
    <protectedRange sqref="B109:C113 F114:G114 H109:H113 B121:C125 F126:G126 H121:H125 B97:D106 B62:D72 B81:D90 B24:D35 B43:D54 B8:D17" name="Grey edit cells_1"/>
  </protectedRanges>
  <mergeCells count="44">
    <mergeCell ref="B2:I3"/>
    <mergeCell ref="B1:I1"/>
    <mergeCell ref="B94:B95"/>
    <mergeCell ref="C94:C95"/>
    <mergeCell ref="E94:E95"/>
    <mergeCell ref="F94:F95"/>
    <mergeCell ref="I94:I95"/>
    <mergeCell ref="B39:I39"/>
    <mergeCell ref="B40:B41"/>
    <mergeCell ref="C40:C41"/>
    <mergeCell ref="E40:E41"/>
    <mergeCell ref="F40:F41"/>
    <mergeCell ref="I40:I41"/>
    <mergeCell ref="B4:I4"/>
    <mergeCell ref="B5:B6"/>
    <mergeCell ref="C5:C6"/>
    <mergeCell ref="E5:E6"/>
    <mergeCell ref="F5:F6"/>
    <mergeCell ref="I5:I6"/>
    <mergeCell ref="B77:I77"/>
    <mergeCell ref="B78:B79"/>
    <mergeCell ref="C78:C79"/>
    <mergeCell ref="E78:E79"/>
    <mergeCell ref="F78:F79"/>
    <mergeCell ref="I78:I79"/>
    <mergeCell ref="B58:I58"/>
    <mergeCell ref="B59:B60"/>
    <mergeCell ref="C59:C60"/>
    <mergeCell ref="E59:E60"/>
    <mergeCell ref="F59:F60"/>
    <mergeCell ref="I59:I60"/>
    <mergeCell ref="B20:I20"/>
    <mergeCell ref="B93:I93"/>
    <mergeCell ref="B117:I117"/>
    <mergeCell ref="B118:B119"/>
    <mergeCell ref="C118:C119"/>
    <mergeCell ref="D118:D119"/>
    <mergeCell ref="E118:E119"/>
    <mergeCell ref="I118:I119"/>
    <mergeCell ref="B21:B22"/>
    <mergeCell ref="C21:C22"/>
    <mergeCell ref="E21:E22"/>
    <mergeCell ref="F21:F22"/>
    <mergeCell ref="I21:I22"/>
  </mergeCells>
  <dataValidations count="2">
    <dataValidation type="list" allowBlank="1" showInputMessage="1" showErrorMessage="1" sqref="C121:C125 C109:C113" xr:uid="{E279A76E-CF64-4620-B64B-D09511A2D4A7}">
      <formula1>PowerSel</formula1>
    </dataValidation>
    <dataValidation type="list" allowBlank="1" showInputMessage="1" showErrorMessage="1" sqref="B121:B125 B109:B113" xr:uid="{25E8B1FC-355E-4808-A196-3056B82148B7}">
      <formula1>#REF!</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246A5EE-4183-4BCA-9D02-869FC27DE0F7}">
          <x14:formula1>
            <xm:f>'Machinery Input Tables'!$B$6:$B$109</xm:f>
          </x14:formula1>
          <xm:sqref>B97:B106 B24:B35 B62:B72 B81:B90 B43:B54 B8:B17</xm:sqref>
        </x14:dataValidation>
        <x14:dataValidation type="list" allowBlank="1" showInputMessage="1" showErrorMessage="1" xr:uid="{C02BB291-1D65-4396-B79A-6D7EE3AD7F9D}">
          <x14:formula1>
            <xm:f>'Machinery Input Tables'!$AH$6:$AH$30</xm:f>
          </x14:formula1>
          <xm:sqref>C81:C90 C24:C35 C97:C106 C62:C72 C43:C54 C8:C17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B4A15-7366-4309-BF7F-BE5F0F522CA7}">
  <sheetPr codeName="Sheet12"/>
  <dimension ref="A1:M59"/>
  <sheetViews>
    <sheetView workbookViewId="0">
      <selection activeCell="A18" sqref="A18:XFD1048576"/>
    </sheetView>
  </sheetViews>
  <sheetFormatPr defaultColWidth="0" defaultRowHeight="16" zeroHeight="1"/>
  <cols>
    <col min="1" max="1" width="2.83203125" style="100" customWidth="1"/>
    <col min="2" max="2" width="42.1640625" style="100" bestFit="1" customWidth="1"/>
    <col min="3" max="5" width="14.5" style="100" customWidth="1"/>
    <col min="6" max="6" width="9" style="100" customWidth="1"/>
    <col min="7" max="7" width="2.83203125" style="100" customWidth="1"/>
    <col min="8" max="8" width="9" style="100" hidden="1" customWidth="1"/>
    <col min="9" max="9" width="14.6640625" style="100" hidden="1" customWidth="1"/>
    <col min="10" max="10" width="64.33203125" style="100" hidden="1" customWidth="1"/>
    <col min="11" max="11" width="17.83203125" style="100" hidden="1" customWidth="1"/>
    <col min="12" max="12" width="17.6640625" style="100" hidden="1" customWidth="1"/>
    <col min="13" max="13" width="19.6640625" style="100" hidden="1" customWidth="1"/>
    <col min="14" max="16384" width="9" style="100" hidden="1"/>
  </cols>
  <sheetData>
    <row r="1" spans="2:13" ht="24.75" customHeight="1">
      <c r="B1" s="336" t="s">
        <v>819</v>
      </c>
      <c r="C1" s="337"/>
      <c r="D1" s="337"/>
      <c r="E1" s="337"/>
      <c r="F1" s="337"/>
    </row>
    <row r="2" spans="2:13">
      <c r="B2" s="335" t="s">
        <v>820</v>
      </c>
      <c r="C2" s="335"/>
      <c r="D2" s="335"/>
      <c r="E2" s="335"/>
      <c r="F2" s="335"/>
    </row>
    <row r="3" spans="2:13" ht="16.5" customHeight="1">
      <c r="B3" s="335"/>
      <c r="C3" s="335"/>
      <c r="D3" s="335"/>
      <c r="E3" s="335"/>
      <c r="F3" s="335"/>
      <c r="I3" s="169" t="s">
        <v>593</v>
      </c>
      <c r="J3" s="170" t="s">
        <v>594</v>
      </c>
      <c r="K3" s="170" t="s">
        <v>595</v>
      </c>
      <c r="L3" s="170" t="s">
        <v>596</v>
      </c>
      <c r="M3" s="100" t="s">
        <v>597</v>
      </c>
    </row>
    <row r="4" spans="2:13" ht="16.5" customHeight="1">
      <c r="B4" s="329" t="s">
        <v>877</v>
      </c>
      <c r="C4" s="329"/>
      <c r="D4" s="329"/>
      <c r="E4" s="329"/>
      <c r="F4" s="329"/>
      <c r="I4" s="100" t="s">
        <v>598</v>
      </c>
      <c r="J4" s="146" t="s">
        <v>451</v>
      </c>
      <c r="K4" s="171">
        <v>27.1</v>
      </c>
      <c r="L4" s="146" t="s">
        <v>50</v>
      </c>
      <c r="M4" s="100" t="s">
        <v>599</v>
      </c>
    </row>
    <row r="5" spans="2:13" ht="16.5" customHeight="1">
      <c r="B5" s="172" t="s">
        <v>600</v>
      </c>
      <c r="C5" s="173" t="s">
        <v>601</v>
      </c>
      <c r="D5" s="173" t="s">
        <v>596</v>
      </c>
      <c r="E5" s="173" t="s">
        <v>787</v>
      </c>
      <c r="F5" s="173" t="s">
        <v>15</v>
      </c>
      <c r="I5" s="100" t="s">
        <v>598</v>
      </c>
      <c r="J5" s="146" t="s">
        <v>602</v>
      </c>
      <c r="K5" s="171">
        <v>21.36</v>
      </c>
      <c r="L5" s="146" t="s">
        <v>50</v>
      </c>
      <c r="M5" s="100" t="s">
        <v>599</v>
      </c>
    </row>
    <row r="6" spans="2:13" ht="16.5" customHeight="1">
      <c r="B6" s="101" t="s">
        <v>640</v>
      </c>
      <c r="C6" s="174">
        <f>IF(ISBLANK($B6),"",VLOOKUP($B6,$J$3:$L$48,2,FALSE))</f>
        <v>0.28999999999999998</v>
      </c>
      <c r="D6" s="174" t="str">
        <f>IF(ISBLANK($B6),"",VLOOKUP($B6,$J$3:$L$48,3,FALSE))</f>
        <v>per bushel</v>
      </c>
      <c r="E6" s="239"/>
      <c r="F6" s="101">
        <v>1</v>
      </c>
      <c r="I6" s="100" t="s">
        <v>598</v>
      </c>
      <c r="J6" s="146" t="s">
        <v>449</v>
      </c>
      <c r="K6" s="171">
        <v>23.81</v>
      </c>
      <c r="L6" s="146" t="s">
        <v>50</v>
      </c>
      <c r="M6" s="100" t="s">
        <v>599</v>
      </c>
    </row>
    <row r="7" spans="2:13" ht="16.5" customHeight="1">
      <c r="B7" s="101"/>
      <c r="C7" s="174" t="str">
        <f>IF(ISBLANK($B7),"",VLOOKUP($B7,$J$3:$L$48,2,FALSE))</f>
        <v/>
      </c>
      <c r="D7" s="174" t="str">
        <f>IF(ISBLANK($B7),"",VLOOKUP($B7,$J$3:$L$48,3,FALSE))</f>
        <v/>
      </c>
      <c r="E7" s="239"/>
      <c r="F7" s="101">
        <v>1</v>
      </c>
      <c r="I7" s="100" t="s">
        <v>598</v>
      </c>
      <c r="J7" s="146" t="s">
        <v>605</v>
      </c>
      <c r="K7" s="171">
        <v>19.75</v>
      </c>
      <c r="L7" s="146" t="s">
        <v>50</v>
      </c>
      <c r="M7" s="100" t="s">
        <v>599</v>
      </c>
    </row>
    <row r="8" spans="2:13" ht="16.5" customHeight="1">
      <c r="B8" s="256"/>
      <c r="C8" s="174" t="str">
        <f>IF(ISBLANK($B8),"",VLOOKUP($B8,$J$3:$L$48,2,FALSE))</f>
        <v/>
      </c>
      <c r="D8" s="174" t="str">
        <f>IF(ISBLANK($B8),"",VLOOKUP($B8,$J$3:$L$48,3,FALSE))</f>
        <v/>
      </c>
      <c r="E8" s="257"/>
      <c r="F8" s="256"/>
      <c r="I8" s="100" t="s">
        <v>598</v>
      </c>
      <c r="J8" s="146" t="s">
        <v>447</v>
      </c>
      <c r="K8" s="171">
        <v>19.05</v>
      </c>
      <c r="L8" s="146" t="s">
        <v>50</v>
      </c>
      <c r="M8" s="100" t="s">
        <v>599</v>
      </c>
    </row>
    <row r="9" spans="2:13" ht="16.5" customHeight="1">
      <c r="B9" s="258"/>
      <c r="C9" s="259" t="str">
        <f>IF(ISBLANK(B9),"",VLOOKUP(B9,$J$3:$L$48,2,FALSE))</f>
        <v/>
      </c>
      <c r="D9" s="259" t="str">
        <f>IF(ISBLANK($B9),"",VLOOKUP($B9,$J$3:$L$48,3,FALSE))</f>
        <v/>
      </c>
      <c r="E9" s="260"/>
      <c r="F9" s="258"/>
      <c r="I9" s="100" t="s">
        <v>598</v>
      </c>
      <c r="J9" s="146" t="s">
        <v>606</v>
      </c>
      <c r="K9" s="171">
        <v>97.86</v>
      </c>
      <c r="L9" s="146" t="s">
        <v>607</v>
      </c>
      <c r="M9" s="100" t="s">
        <v>599</v>
      </c>
    </row>
    <row r="10" spans="2:13" ht="16.5" customHeight="1">
      <c r="I10" s="100" t="s">
        <v>598</v>
      </c>
      <c r="J10" s="146" t="s">
        <v>608</v>
      </c>
      <c r="K10" s="171">
        <v>95.71</v>
      </c>
      <c r="L10" s="146" t="s">
        <v>607</v>
      </c>
      <c r="M10" s="100" t="s">
        <v>599</v>
      </c>
    </row>
    <row r="11" spans="2:13" ht="16.5" customHeight="1">
      <c r="B11" s="329" t="s">
        <v>875</v>
      </c>
      <c r="C11" s="329"/>
      <c r="D11" s="329"/>
      <c r="E11" s="329"/>
      <c r="F11" s="329"/>
      <c r="I11" s="100" t="s">
        <v>609</v>
      </c>
      <c r="J11" s="146" t="s">
        <v>612</v>
      </c>
      <c r="K11" s="171">
        <v>24.81</v>
      </c>
      <c r="L11" s="146" t="s">
        <v>50</v>
      </c>
      <c r="M11" s="100" t="s">
        <v>599</v>
      </c>
    </row>
    <row r="12" spans="2:13" ht="16.5" customHeight="1">
      <c r="B12" s="172" t="s">
        <v>600</v>
      </c>
      <c r="C12" s="173" t="s">
        <v>601</v>
      </c>
      <c r="D12" s="173"/>
      <c r="E12" s="173" t="s">
        <v>787</v>
      </c>
      <c r="F12" s="173" t="s">
        <v>15</v>
      </c>
      <c r="I12" s="100" t="s">
        <v>609</v>
      </c>
      <c r="J12" s="146" t="s">
        <v>613</v>
      </c>
      <c r="K12" s="171">
        <v>29.07</v>
      </c>
      <c r="L12" s="146" t="s">
        <v>50</v>
      </c>
      <c r="M12" s="100" t="s">
        <v>599</v>
      </c>
    </row>
    <row r="13" spans="2:13" ht="16.5" customHeight="1">
      <c r="B13" s="101" t="s">
        <v>640</v>
      </c>
      <c r="C13" s="174">
        <f>IF(ISBLANK($B13),"",VLOOKUP($B13,$J$3:$L$48,2,FALSE))</f>
        <v>0.28999999999999998</v>
      </c>
      <c r="D13" s="174" t="str">
        <f>IF(ISBLANK($B13),"",VLOOKUP($B13,$J$3:$L$48,3,FALSE))</f>
        <v>per bushel</v>
      </c>
      <c r="E13" s="239"/>
      <c r="F13" s="101">
        <v>1</v>
      </c>
      <c r="I13" s="100" t="s">
        <v>609</v>
      </c>
      <c r="J13" s="146" t="s">
        <v>614</v>
      </c>
      <c r="K13" s="171">
        <v>27.89</v>
      </c>
      <c r="L13" s="146" t="s">
        <v>50</v>
      </c>
      <c r="M13" s="100" t="s">
        <v>599</v>
      </c>
    </row>
    <row r="14" spans="2:13" ht="16.5" customHeight="1">
      <c r="B14" s="101"/>
      <c r="C14" s="174" t="str">
        <f>IF(ISBLANK($B14),"",VLOOKUP($B14,$J$3:$L$48,2,FALSE))</f>
        <v/>
      </c>
      <c r="D14" s="174" t="str">
        <f>IF(ISBLANK($B14),"",VLOOKUP($B14,$J$3:$L$48,3,FALSE))</f>
        <v/>
      </c>
      <c r="E14" s="239"/>
      <c r="F14" s="101">
        <v>2</v>
      </c>
      <c r="I14" s="100" t="s">
        <v>609</v>
      </c>
      <c r="J14" s="146" t="s">
        <v>615</v>
      </c>
      <c r="K14" s="171">
        <v>25.72</v>
      </c>
      <c r="L14" s="146" t="s">
        <v>50</v>
      </c>
      <c r="M14" s="100" t="s">
        <v>599</v>
      </c>
    </row>
    <row r="15" spans="2:13" ht="16.5" customHeight="1">
      <c r="B15" s="101"/>
      <c r="C15" s="174"/>
      <c r="D15" s="174"/>
      <c r="E15" s="239"/>
      <c r="F15" s="101"/>
      <c r="I15" s="100" t="s">
        <v>609</v>
      </c>
      <c r="J15" s="146" t="s">
        <v>616</v>
      </c>
      <c r="K15" s="171">
        <v>21</v>
      </c>
      <c r="L15" s="146" t="s">
        <v>50</v>
      </c>
      <c r="M15" s="100" t="s">
        <v>599</v>
      </c>
    </row>
    <row r="16" spans="2:13" ht="16.5" customHeight="1">
      <c r="B16" s="175"/>
      <c r="C16" s="176" t="str">
        <f>IF(ISBLANK(B16),"",VLOOKUP(B16,$J$3:$L$48,2,FALSE))</f>
        <v/>
      </c>
      <c r="D16" s="176" t="str">
        <f>IF(ISBLANK($B16),"",VLOOKUP($B16,$J$3:$L$48,3,FALSE))</f>
        <v/>
      </c>
      <c r="E16" s="240"/>
      <c r="F16" s="175"/>
      <c r="I16" s="100" t="s">
        <v>617</v>
      </c>
      <c r="J16" s="146" t="s">
        <v>603</v>
      </c>
      <c r="K16" s="171">
        <v>7.02</v>
      </c>
      <c r="L16" s="146" t="s">
        <v>50</v>
      </c>
      <c r="M16" s="100" t="s">
        <v>599</v>
      </c>
    </row>
    <row r="17" spans="2:13" ht="16.5" customHeight="1">
      <c r="I17" s="100" t="s">
        <v>617</v>
      </c>
      <c r="J17" s="146" t="s">
        <v>618</v>
      </c>
      <c r="K17" s="171">
        <v>10.06</v>
      </c>
      <c r="L17" s="146" t="s">
        <v>50</v>
      </c>
      <c r="M17" s="100" t="s">
        <v>599</v>
      </c>
    </row>
    <row r="18" spans="2:13" ht="16.5" hidden="1" customHeight="1">
      <c r="B18" s="329" t="s">
        <v>785</v>
      </c>
      <c r="C18" s="329"/>
      <c r="D18" s="329"/>
      <c r="E18" s="329"/>
      <c r="F18" s="329"/>
      <c r="I18" s="100" t="s">
        <v>617</v>
      </c>
      <c r="J18" s="146" t="s">
        <v>620</v>
      </c>
      <c r="K18" s="171">
        <v>9.93</v>
      </c>
      <c r="L18" s="146" t="s">
        <v>50</v>
      </c>
      <c r="M18" s="100" t="s">
        <v>599</v>
      </c>
    </row>
    <row r="19" spans="2:13" ht="16.5" hidden="1" customHeight="1">
      <c r="B19" s="172" t="s">
        <v>600</v>
      </c>
      <c r="C19" s="173" t="s">
        <v>601</v>
      </c>
      <c r="D19" s="173"/>
      <c r="E19" s="173" t="s">
        <v>787</v>
      </c>
      <c r="F19" s="173" t="s">
        <v>15</v>
      </c>
      <c r="I19" s="100" t="s">
        <v>617</v>
      </c>
      <c r="J19" s="146" t="s">
        <v>621</v>
      </c>
      <c r="K19" s="171">
        <v>7.25</v>
      </c>
      <c r="L19" s="146" t="s">
        <v>50</v>
      </c>
      <c r="M19" s="100" t="s">
        <v>599</v>
      </c>
    </row>
    <row r="20" spans="2:13" ht="16.5" hidden="1" customHeight="1">
      <c r="B20" s="101"/>
      <c r="C20" s="174" t="str">
        <f>IF(ISBLANK($B20),"",VLOOKUP($B20,$J$3:$L$48,2,FALSE))</f>
        <v/>
      </c>
      <c r="D20" s="174" t="str">
        <f>IF(ISBLANK($B20),"",VLOOKUP($B20,$J$3:$L$48,3,FALSE))</f>
        <v/>
      </c>
      <c r="E20" s="239"/>
      <c r="F20" s="101"/>
      <c r="I20" s="100" t="s">
        <v>617</v>
      </c>
      <c r="J20" s="146" t="s">
        <v>622</v>
      </c>
      <c r="K20" s="171">
        <v>7.81</v>
      </c>
      <c r="L20" s="146" t="s">
        <v>50</v>
      </c>
      <c r="M20" s="100" t="s">
        <v>599</v>
      </c>
    </row>
    <row r="21" spans="2:13" ht="16.5" hidden="1" customHeight="1">
      <c r="B21" s="101"/>
      <c r="C21" s="174" t="str">
        <f>IF(ISBLANK($B21),"",VLOOKUP($B21,$J$3:$L$48,2,FALSE))</f>
        <v/>
      </c>
      <c r="D21" s="174" t="str">
        <f>IF(ISBLANK($B21),"",VLOOKUP($B21,$J$3:$L$48,3,FALSE))</f>
        <v/>
      </c>
      <c r="E21" s="239"/>
      <c r="F21" s="101"/>
      <c r="I21" s="100" t="s">
        <v>617</v>
      </c>
      <c r="J21" s="146" t="s">
        <v>770</v>
      </c>
      <c r="K21" s="171">
        <v>0.08</v>
      </c>
      <c r="L21" s="146" t="s">
        <v>642</v>
      </c>
      <c r="M21" s="100" t="s">
        <v>772</v>
      </c>
    </row>
    <row r="22" spans="2:13" ht="16.5" hidden="1" customHeight="1">
      <c r="B22" s="101"/>
      <c r="C22" s="174"/>
      <c r="D22" s="174"/>
      <c r="E22" s="239"/>
      <c r="F22" s="101"/>
      <c r="I22" s="100" t="s">
        <v>617</v>
      </c>
      <c r="J22" s="146" t="s">
        <v>771</v>
      </c>
      <c r="K22" s="171">
        <v>12</v>
      </c>
      <c r="L22" s="146" t="s">
        <v>50</v>
      </c>
      <c r="M22" s="100" t="s">
        <v>773</v>
      </c>
    </row>
    <row r="23" spans="2:13" ht="16.5" hidden="1" customHeight="1">
      <c r="B23" s="175"/>
      <c r="C23" s="176" t="str">
        <f>IF(ISBLANK(B23),"",VLOOKUP(B23,$J$3:$L$48,2,FALSE))</f>
        <v/>
      </c>
      <c r="D23" s="176" t="str">
        <f>IF(ISBLANK($B23),"",VLOOKUP($B23,$J$3:$L$48,3,FALSE))</f>
        <v/>
      </c>
      <c r="E23" s="240"/>
      <c r="F23" s="175"/>
      <c r="I23" s="100" t="s">
        <v>617</v>
      </c>
      <c r="J23" s="146" t="s">
        <v>623</v>
      </c>
      <c r="K23" s="171">
        <v>7.84</v>
      </c>
      <c r="L23" s="146" t="s">
        <v>50</v>
      </c>
      <c r="M23" s="100" t="s">
        <v>599</v>
      </c>
    </row>
    <row r="24" spans="2:13" ht="16.5" hidden="1" customHeight="1">
      <c r="I24" s="100" t="s">
        <v>617</v>
      </c>
      <c r="J24" s="146" t="s">
        <v>624</v>
      </c>
      <c r="K24" s="171">
        <v>7.9</v>
      </c>
      <c r="L24" s="146" t="s">
        <v>50</v>
      </c>
      <c r="M24" s="100" t="s">
        <v>599</v>
      </c>
    </row>
    <row r="25" spans="2:13" ht="16.5" hidden="1" customHeight="1">
      <c r="B25" s="329" t="s">
        <v>2</v>
      </c>
      <c r="C25" s="329"/>
      <c r="D25" s="329"/>
      <c r="E25" s="329"/>
      <c r="F25" s="329"/>
      <c r="I25" s="100" t="s">
        <v>617</v>
      </c>
      <c r="J25" s="146" t="s">
        <v>625</v>
      </c>
      <c r="K25" s="171">
        <v>18.53</v>
      </c>
      <c r="L25" s="146" t="s">
        <v>50</v>
      </c>
      <c r="M25" s="100" t="s">
        <v>599</v>
      </c>
    </row>
    <row r="26" spans="2:13" ht="16.5" hidden="1" customHeight="1">
      <c r="B26" s="172" t="s">
        <v>600</v>
      </c>
      <c r="C26" s="173" t="s">
        <v>601</v>
      </c>
      <c r="D26" s="173"/>
      <c r="E26" s="173" t="s">
        <v>787</v>
      </c>
      <c r="F26" s="173" t="s">
        <v>15</v>
      </c>
      <c r="I26" s="100" t="s">
        <v>617</v>
      </c>
      <c r="J26" s="146" t="s">
        <v>627</v>
      </c>
      <c r="K26" s="171">
        <v>27.5</v>
      </c>
      <c r="L26" s="146" t="s">
        <v>628</v>
      </c>
      <c r="M26" s="100" t="s">
        <v>599</v>
      </c>
    </row>
    <row r="27" spans="2:13" ht="16.5" hidden="1" customHeight="1">
      <c r="B27" s="101" t="s">
        <v>603</v>
      </c>
      <c r="C27" s="174">
        <f>IF(ISBLANK($B27),"",VLOOKUP($B27,$J$3:$L$48,2,FALSE))</f>
        <v>7.02</v>
      </c>
      <c r="D27" s="174" t="str">
        <f>IF(ISBLANK($B27),"",VLOOKUP($B27,$J$3:$L$48,3,FALSE))</f>
        <v>per acre</v>
      </c>
      <c r="E27" s="239"/>
      <c r="F27" s="101">
        <v>1</v>
      </c>
      <c r="I27" s="100" t="s">
        <v>617</v>
      </c>
      <c r="J27" s="146" t="s">
        <v>629</v>
      </c>
      <c r="K27" s="171">
        <v>8.44</v>
      </c>
      <c r="L27" s="146" t="s">
        <v>50</v>
      </c>
      <c r="M27" s="100" t="s">
        <v>599</v>
      </c>
    </row>
    <row r="28" spans="2:13" ht="16.5" hidden="1" customHeight="1">
      <c r="B28" s="101"/>
      <c r="C28" s="174" t="str">
        <f>IF(ISBLANK($B28),"",VLOOKUP($B28,$J$3:$L$48,2,FALSE))</f>
        <v/>
      </c>
      <c r="D28" s="174" t="str">
        <f>IF(ISBLANK($B28),"",VLOOKUP($B28,$J$3:$L$48,3,FALSE))</f>
        <v/>
      </c>
      <c r="E28" s="239"/>
      <c r="F28" s="101">
        <v>1</v>
      </c>
      <c r="I28" s="100" t="s">
        <v>617</v>
      </c>
      <c r="J28" s="146" t="s">
        <v>630</v>
      </c>
      <c r="K28" s="171">
        <v>7.71</v>
      </c>
      <c r="L28" s="146" t="s">
        <v>50</v>
      </c>
      <c r="M28" s="100" t="s">
        <v>599</v>
      </c>
    </row>
    <row r="29" spans="2:13" ht="16.5" hidden="1" customHeight="1">
      <c r="B29" s="101"/>
      <c r="C29" s="174"/>
      <c r="D29" s="174"/>
      <c r="E29" s="239"/>
      <c r="F29" s="101"/>
      <c r="I29" s="100" t="s">
        <v>617</v>
      </c>
      <c r="J29" s="146" t="s">
        <v>631</v>
      </c>
      <c r="K29" s="171">
        <v>7.84</v>
      </c>
      <c r="L29" s="146" t="s">
        <v>50</v>
      </c>
      <c r="M29" s="100" t="s">
        <v>599</v>
      </c>
    </row>
    <row r="30" spans="2:13" ht="16.5" hidden="1" customHeight="1">
      <c r="B30" s="175"/>
      <c r="C30" s="177" t="str">
        <f>IF(ISBLANK(B30),"",VLOOKUP(B30,$J$3:$L$48,2,FALSE))</f>
        <v/>
      </c>
      <c r="D30" s="177" t="str">
        <f>IF(ISBLANK($B30),"",VLOOKUP($B30,$J$3:$L$48,3,FALSE))</f>
        <v/>
      </c>
      <c r="E30" s="241"/>
      <c r="F30" s="175"/>
      <c r="I30" s="100" t="s">
        <v>617</v>
      </c>
      <c r="J30" s="146" t="s">
        <v>626</v>
      </c>
      <c r="K30" s="171">
        <v>6.75</v>
      </c>
      <c r="L30" s="146" t="s">
        <v>50</v>
      </c>
      <c r="M30" s="100" t="s">
        <v>599</v>
      </c>
    </row>
    <row r="31" spans="2:13" ht="16.5" hidden="1" customHeight="1">
      <c r="I31" s="100" t="s">
        <v>632</v>
      </c>
      <c r="J31" s="146" t="s">
        <v>633</v>
      </c>
      <c r="K31" s="171">
        <v>43.29</v>
      </c>
      <c r="L31" s="146" t="s">
        <v>50</v>
      </c>
      <c r="M31" s="100" t="s">
        <v>599</v>
      </c>
    </row>
    <row r="32" spans="2:13" ht="16.5" hidden="1" customHeight="1">
      <c r="B32" s="329" t="s">
        <v>3</v>
      </c>
      <c r="C32" s="329"/>
      <c r="D32" s="329"/>
      <c r="E32" s="329"/>
      <c r="F32" s="329"/>
      <c r="I32" s="100" t="s">
        <v>632</v>
      </c>
      <c r="J32" s="146" t="s">
        <v>634</v>
      </c>
      <c r="K32" s="171">
        <v>39.42</v>
      </c>
      <c r="L32" s="146" t="s">
        <v>50</v>
      </c>
      <c r="M32" s="100" t="s">
        <v>599</v>
      </c>
    </row>
    <row r="33" spans="2:13" ht="16.5" hidden="1" customHeight="1">
      <c r="B33" s="172" t="s">
        <v>600</v>
      </c>
      <c r="C33" s="173" t="s">
        <v>601</v>
      </c>
      <c r="D33" s="173"/>
      <c r="E33" s="173" t="s">
        <v>787</v>
      </c>
      <c r="F33" s="173" t="s">
        <v>15</v>
      </c>
      <c r="I33" s="100" t="s">
        <v>632</v>
      </c>
      <c r="J33" s="146" t="s">
        <v>635</v>
      </c>
      <c r="K33" s="171">
        <v>41.13</v>
      </c>
      <c r="L33" s="146" t="s">
        <v>50</v>
      </c>
      <c r="M33" s="100" t="s">
        <v>599</v>
      </c>
    </row>
    <row r="34" spans="2:13" ht="16.5" hidden="1" customHeight="1">
      <c r="B34" s="101" t="s">
        <v>603</v>
      </c>
      <c r="C34" s="174">
        <f>IF(ISBLANK($B34),"",VLOOKUP($B34,$J$3:$L$48,2,FALSE))</f>
        <v>7.02</v>
      </c>
      <c r="D34" s="174" t="str">
        <f>IF(ISBLANK($B34),"",VLOOKUP($B34,$J$3:$L$48,3,FALSE))</f>
        <v>per acre</v>
      </c>
      <c r="E34" s="239"/>
      <c r="F34" s="101">
        <v>2</v>
      </c>
      <c r="I34" s="100" t="s">
        <v>632</v>
      </c>
      <c r="J34" s="146" t="s">
        <v>636</v>
      </c>
      <c r="K34" s="171">
        <v>32.5</v>
      </c>
      <c r="L34" s="146" t="s">
        <v>50</v>
      </c>
      <c r="M34" s="100" t="s">
        <v>599</v>
      </c>
    </row>
    <row r="35" spans="2:13" ht="16.5" hidden="1" customHeight="1">
      <c r="B35" s="101"/>
      <c r="C35" s="174" t="str">
        <f>IF(ISBLANK($B35),"",VLOOKUP($B35,$J$3:$L$48,2,FALSE))</f>
        <v/>
      </c>
      <c r="D35" s="174" t="str">
        <f>IF(ISBLANK($B35),"",VLOOKUP($B35,$J$3:$L$48,3,FALSE))</f>
        <v/>
      </c>
      <c r="E35" s="239"/>
      <c r="F35" s="101"/>
      <c r="I35" s="100" t="s">
        <v>632</v>
      </c>
      <c r="J35" s="146" t="s">
        <v>637</v>
      </c>
      <c r="K35" s="171">
        <v>9.8000000000000007</v>
      </c>
      <c r="L35" s="146" t="s">
        <v>50</v>
      </c>
      <c r="M35" s="100" t="s">
        <v>599</v>
      </c>
    </row>
    <row r="36" spans="2:13" ht="16.5" hidden="1" customHeight="1">
      <c r="B36" s="101"/>
      <c r="C36" s="174"/>
      <c r="D36" s="174"/>
      <c r="E36" s="239"/>
      <c r="F36" s="101"/>
      <c r="I36" s="100" t="s">
        <v>632</v>
      </c>
      <c r="J36" s="146" t="s">
        <v>638</v>
      </c>
      <c r="K36" s="171">
        <v>0.16</v>
      </c>
      <c r="L36" s="146" t="s">
        <v>639</v>
      </c>
      <c r="M36" s="100" t="s">
        <v>599</v>
      </c>
    </row>
    <row r="37" spans="2:13" ht="16.5" hidden="1" customHeight="1">
      <c r="B37" s="175"/>
      <c r="C37" s="177" t="str">
        <f>IF(ISBLANK(B37),"",VLOOKUP(B37,$J$3:$L$48,2,FALSE))</f>
        <v/>
      </c>
      <c r="D37" s="177" t="str">
        <f>IF(ISBLANK($B37),"",VLOOKUP($B37,$J$3:$L$48,3,FALSE))</f>
        <v/>
      </c>
      <c r="E37" s="241"/>
      <c r="F37" s="175"/>
      <c r="I37" s="100" t="s">
        <v>632</v>
      </c>
      <c r="J37" s="146" t="s">
        <v>640</v>
      </c>
      <c r="K37" s="171">
        <v>0.28999999999999998</v>
      </c>
      <c r="L37" s="146" t="s">
        <v>639</v>
      </c>
      <c r="M37" s="100" t="s">
        <v>599</v>
      </c>
    </row>
    <row r="38" spans="2:13" ht="16.5" hidden="1" customHeight="1">
      <c r="I38" s="100" t="s">
        <v>632</v>
      </c>
      <c r="J38" s="146" t="s">
        <v>640</v>
      </c>
      <c r="K38" s="171">
        <v>4.07</v>
      </c>
      <c r="L38" s="146" t="s">
        <v>641</v>
      </c>
      <c r="M38" s="100" t="s">
        <v>599</v>
      </c>
    </row>
    <row r="39" spans="2:13" ht="16.5" hidden="1" customHeight="1">
      <c r="I39" s="100" t="s">
        <v>632</v>
      </c>
      <c r="J39" s="146" t="s">
        <v>643</v>
      </c>
      <c r="K39" s="171">
        <v>19</v>
      </c>
      <c r="L39" s="146" t="s">
        <v>50</v>
      </c>
      <c r="M39" s="100" t="s">
        <v>599</v>
      </c>
    </row>
    <row r="40" spans="2:13" ht="16.5" hidden="1" customHeight="1">
      <c r="I40" s="100" t="s">
        <v>632</v>
      </c>
      <c r="J40" s="146" t="s">
        <v>644</v>
      </c>
      <c r="K40" s="171">
        <v>9.25</v>
      </c>
      <c r="L40" s="146" t="s">
        <v>50</v>
      </c>
      <c r="M40" s="100" t="s">
        <v>599</v>
      </c>
    </row>
    <row r="41" spans="2:13" ht="16.5" hidden="1" customHeight="1">
      <c r="I41" s="100" t="s">
        <v>632</v>
      </c>
      <c r="J41" s="146" t="s">
        <v>645</v>
      </c>
      <c r="K41" s="171">
        <v>17.440000000000001</v>
      </c>
      <c r="L41" s="146" t="s">
        <v>646</v>
      </c>
      <c r="M41" s="100" t="s">
        <v>599</v>
      </c>
    </row>
    <row r="42" spans="2:13" ht="16.5" hidden="1" customHeight="1">
      <c r="I42" s="100" t="s">
        <v>632</v>
      </c>
      <c r="J42" s="146" t="s">
        <v>647</v>
      </c>
      <c r="K42" s="171">
        <v>29.86</v>
      </c>
      <c r="L42" s="146" t="s">
        <v>646</v>
      </c>
      <c r="M42" s="100" t="s">
        <v>599</v>
      </c>
    </row>
    <row r="43" spans="2:13" ht="16.5" hidden="1" customHeight="1">
      <c r="I43" s="100" t="s">
        <v>632</v>
      </c>
      <c r="J43" s="146" t="s">
        <v>611</v>
      </c>
      <c r="K43" s="171">
        <v>10</v>
      </c>
      <c r="L43" s="146" t="s">
        <v>646</v>
      </c>
      <c r="M43" s="100" t="s">
        <v>599</v>
      </c>
    </row>
    <row r="44" spans="2:13" ht="16.5" hidden="1" customHeight="1">
      <c r="I44" s="100" t="s">
        <v>632</v>
      </c>
      <c r="J44" s="146" t="s">
        <v>610</v>
      </c>
      <c r="K44" s="171">
        <v>6.5</v>
      </c>
      <c r="L44" s="146" t="s">
        <v>646</v>
      </c>
      <c r="M44" s="100" t="s">
        <v>599</v>
      </c>
    </row>
    <row r="45" spans="2:13" ht="16.5" hidden="1" customHeight="1">
      <c r="I45" s="100" t="s">
        <v>632</v>
      </c>
      <c r="J45" s="146" t="s">
        <v>648</v>
      </c>
      <c r="K45" s="171">
        <v>1.5</v>
      </c>
      <c r="L45" s="146" t="s">
        <v>646</v>
      </c>
      <c r="M45" s="100" t="s">
        <v>649</v>
      </c>
    </row>
    <row r="46" spans="2:13" ht="16.5" hidden="1" customHeight="1">
      <c r="I46" s="100" t="s">
        <v>632</v>
      </c>
      <c r="J46" s="146" t="s">
        <v>604</v>
      </c>
      <c r="K46" s="171">
        <v>0.9</v>
      </c>
      <c r="L46" s="146" t="s">
        <v>646</v>
      </c>
      <c r="M46" s="100" t="s">
        <v>650</v>
      </c>
    </row>
    <row r="47" spans="2:13" ht="16.5" hidden="1" customHeight="1">
      <c r="I47" s="100" t="s">
        <v>632</v>
      </c>
      <c r="J47" s="146" t="s">
        <v>619</v>
      </c>
      <c r="K47" s="171">
        <v>10</v>
      </c>
      <c r="L47" s="146" t="s">
        <v>628</v>
      </c>
      <c r="M47" s="100" t="s">
        <v>651</v>
      </c>
    </row>
    <row r="48" spans="2:13" ht="16.5" hidden="1" customHeight="1">
      <c r="J48" s="101" t="s">
        <v>386</v>
      </c>
      <c r="K48" s="178"/>
      <c r="L48" s="101" t="s">
        <v>50</v>
      </c>
    </row>
    <row r="53" ht="15" hidden="1" customHeight="1"/>
    <row r="54" ht="15" hidden="1" customHeight="1"/>
    <row r="55" ht="15" hidden="1" customHeight="1"/>
    <row r="56" ht="15" hidden="1" customHeight="1"/>
    <row r="57" ht="15" hidden="1" customHeight="1"/>
    <row r="59" ht="14.25" hidden="1" customHeight="1"/>
  </sheetData>
  <sheetProtection sheet="1" objects="1" scenarios="1"/>
  <protectedRanges>
    <protectedRange sqref="B6:B9 E6:F9 E34:F37 E13:F16 E20:F23 B20:B23 B13:B16 B34:B37 B27:B30 E27:F30" name="Grey edit cells"/>
  </protectedRanges>
  <mergeCells count="7">
    <mergeCell ref="B32:F32"/>
    <mergeCell ref="B18:F18"/>
    <mergeCell ref="B1:F1"/>
    <mergeCell ref="B2:F3"/>
    <mergeCell ref="B4:F4"/>
    <mergeCell ref="B11:F11"/>
    <mergeCell ref="B25:F25"/>
  </mergeCells>
  <phoneticPr fontId="45" type="noConversion"/>
  <dataValidations count="1">
    <dataValidation type="list" allowBlank="1" showInputMessage="1" showErrorMessage="1" sqref="B20:B23 B27:B30 B34:B37 B13:B16 B6:B9" xr:uid="{AC18F60D-E2CF-4558-BEDD-D584CEE1E5DE}">
      <formula1>$J$4:$J$48</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29D47-EF57-4DD8-97BA-DE4C2A0936DE}">
  <dimension ref="A1:WVP1233"/>
  <sheetViews>
    <sheetView tabSelected="1" workbookViewId="0">
      <selection activeCell="H32" sqref="H32"/>
    </sheetView>
  </sheetViews>
  <sheetFormatPr defaultColWidth="0" defaultRowHeight="16.5" zeroHeight="1"/>
  <cols>
    <col min="1" max="1" width="3.1640625" style="2" customWidth="1"/>
    <col min="2" max="2" width="50.5" style="2" customWidth="1"/>
    <col min="3" max="3" width="11.83203125" style="2" customWidth="1"/>
    <col min="4" max="4" width="10.5" style="2" customWidth="1"/>
    <col min="5" max="5" width="11" style="2" customWidth="1"/>
    <col min="6" max="6" width="12.6640625" style="2" customWidth="1"/>
    <col min="7" max="7" width="11.6640625" style="2" customWidth="1"/>
    <col min="8" max="8" width="11.83203125" style="2" customWidth="1"/>
    <col min="9" max="9" width="9" style="2" customWidth="1"/>
    <col min="10" max="13" width="8" style="2" hidden="1"/>
    <col min="14" max="14" width="38.6640625" style="2" hidden="1"/>
    <col min="15" max="257" width="8" style="2" hidden="1"/>
    <col min="258" max="258" width="28.1640625" style="2" hidden="1"/>
    <col min="259" max="259" width="8.1640625" style="2" hidden="1"/>
    <col min="260" max="260" width="9.1640625" style="2" hidden="1"/>
    <col min="261" max="261" width="9.6640625" style="2" hidden="1"/>
    <col min="262" max="262" width="11.1640625" style="2" hidden="1"/>
    <col min="263" max="263" width="10.33203125" style="2" hidden="1"/>
    <col min="264" max="264" width="10.5" style="2" hidden="1"/>
    <col min="265" max="513" width="8" style="2" hidden="1"/>
    <col min="514" max="514" width="28.1640625" style="2" hidden="1"/>
    <col min="515" max="515" width="8.1640625" style="2" hidden="1"/>
    <col min="516" max="516" width="9.1640625" style="2" hidden="1"/>
    <col min="517" max="517" width="9.6640625" style="2" hidden="1"/>
    <col min="518" max="518" width="11.1640625" style="2" hidden="1"/>
    <col min="519" max="519" width="10.33203125" style="2" hidden="1"/>
    <col min="520" max="520" width="10.5" style="2" hidden="1"/>
    <col min="521" max="769" width="8" style="2" hidden="1"/>
    <col min="770" max="770" width="28.1640625" style="2" hidden="1"/>
    <col min="771" max="771" width="8.1640625" style="2" hidden="1"/>
    <col min="772" max="772" width="9.1640625" style="2" hidden="1"/>
    <col min="773" max="773" width="9.6640625" style="2" hidden="1"/>
    <col min="774" max="774" width="11.1640625" style="2" hidden="1"/>
    <col min="775" max="775" width="10.33203125" style="2" hidden="1"/>
    <col min="776" max="776" width="10.5" style="2" hidden="1"/>
    <col min="777" max="1025" width="9" style="2" hidden="1"/>
    <col min="1026" max="1026" width="28.1640625" style="2" hidden="1"/>
    <col min="1027" max="1027" width="8.1640625" style="2" hidden="1"/>
    <col min="1028" max="1028" width="9.1640625" style="2" hidden="1"/>
    <col min="1029" max="1029" width="9.6640625" style="2" hidden="1"/>
    <col min="1030" max="1030" width="11.1640625" style="2" hidden="1"/>
    <col min="1031" max="1031" width="10.33203125" style="2" hidden="1"/>
    <col min="1032" max="1032" width="10.5" style="2" hidden="1"/>
    <col min="1033" max="1281" width="8" style="2" hidden="1"/>
    <col min="1282" max="1282" width="28.1640625" style="2" hidden="1"/>
    <col min="1283" max="1283" width="8.1640625" style="2" hidden="1"/>
    <col min="1284" max="1284" width="9.1640625" style="2" hidden="1"/>
    <col min="1285" max="1285" width="9.6640625" style="2" hidden="1"/>
    <col min="1286" max="1286" width="11.1640625" style="2" hidden="1"/>
    <col min="1287" max="1287" width="10.33203125" style="2" hidden="1"/>
    <col min="1288" max="1288" width="10.5" style="2" hidden="1"/>
    <col min="1289" max="1537" width="8" style="2" hidden="1"/>
    <col min="1538" max="1538" width="28.1640625" style="2" hidden="1"/>
    <col min="1539" max="1539" width="8.1640625" style="2" hidden="1"/>
    <col min="1540" max="1540" width="9.1640625" style="2" hidden="1"/>
    <col min="1541" max="1541" width="9.6640625" style="2" hidden="1"/>
    <col min="1542" max="1542" width="11.1640625" style="2" hidden="1"/>
    <col min="1543" max="1543" width="10.33203125" style="2" hidden="1"/>
    <col min="1544" max="1544" width="10.5" style="2" hidden="1"/>
    <col min="1545" max="1793" width="8" style="2" hidden="1"/>
    <col min="1794" max="1794" width="28.1640625" style="2" hidden="1"/>
    <col min="1795" max="1795" width="8.1640625" style="2" hidden="1"/>
    <col min="1796" max="1796" width="9.1640625" style="2" hidden="1"/>
    <col min="1797" max="1797" width="9.6640625" style="2" hidden="1"/>
    <col min="1798" max="1798" width="11.1640625" style="2" hidden="1"/>
    <col min="1799" max="1799" width="10.33203125" style="2" hidden="1"/>
    <col min="1800" max="1800" width="10.5" style="2" hidden="1"/>
    <col min="1801" max="2049" width="9" style="2" hidden="1"/>
    <col min="2050" max="2050" width="28.1640625" style="2" hidden="1"/>
    <col min="2051" max="2051" width="8.1640625" style="2" hidden="1"/>
    <col min="2052" max="2052" width="9.1640625" style="2" hidden="1"/>
    <col min="2053" max="2053" width="9.6640625" style="2" hidden="1"/>
    <col min="2054" max="2054" width="11.1640625" style="2" hidden="1"/>
    <col min="2055" max="2055" width="10.33203125" style="2" hidden="1"/>
    <col min="2056" max="2056" width="10.5" style="2" hidden="1"/>
    <col min="2057" max="2305" width="8" style="2" hidden="1"/>
    <col min="2306" max="2306" width="28.1640625" style="2" hidden="1"/>
    <col min="2307" max="2307" width="8.1640625" style="2" hidden="1"/>
    <col min="2308" max="2308" width="9.1640625" style="2" hidden="1"/>
    <col min="2309" max="2309" width="9.6640625" style="2" hidden="1"/>
    <col min="2310" max="2310" width="11.1640625" style="2" hidden="1"/>
    <col min="2311" max="2311" width="10.33203125" style="2" hidden="1"/>
    <col min="2312" max="2312" width="10.5" style="2" hidden="1"/>
    <col min="2313" max="2561" width="8" style="2" hidden="1"/>
    <col min="2562" max="2562" width="28.1640625" style="2" hidden="1"/>
    <col min="2563" max="2563" width="8.1640625" style="2" hidden="1"/>
    <col min="2564" max="2564" width="9.1640625" style="2" hidden="1"/>
    <col min="2565" max="2565" width="9.6640625" style="2" hidden="1"/>
    <col min="2566" max="2566" width="11.1640625" style="2" hidden="1"/>
    <col min="2567" max="2567" width="10.33203125" style="2" hidden="1"/>
    <col min="2568" max="2568" width="10.5" style="2" hidden="1"/>
    <col min="2569" max="2817" width="8" style="2" hidden="1"/>
    <col min="2818" max="2818" width="28.1640625" style="2" hidden="1"/>
    <col min="2819" max="2819" width="8.1640625" style="2" hidden="1"/>
    <col min="2820" max="2820" width="9.1640625" style="2" hidden="1"/>
    <col min="2821" max="2821" width="9.6640625" style="2" hidden="1"/>
    <col min="2822" max="2822" width="11.1640625" style="2" hidden="1"/>
    <col min="2823" max="2823" width="10.33203125" style="2" hidden="1"/>
    <col min="2824" max="2824" width="10.5" style="2" hidden="1"/>
    <col min="2825" max="3073" width="9" style="2" hidden="1"/>
    <col min="3074" max="3074" width="28.1640625" style="2" hidden="1"/>
    <col min="3075" max="3075" width="8.1640625" style="2" hidden="1"/>
    <col min="3076" max="3076" width="9.1640625" style="2" hidden="1"/>
    <col min="3077" max="3077" width="9.6640625" style="2" hidden="1"/>
    <col min="3078" max="3078" width="11.1640625" style="2" hidden="1"/>
    <col min="3079" max="3079" width="10.33203125" style="2" hidden="1"/>
    <col min="3080" max="3080" width="10.5" style="2" hidden="1"/>
    <col min="3081" max="3329" width="8" style="2" hidden="1"/>
    <col min="3330" max="3330" width="28.1640625" style="2" hidden="1"/>
    <col min="3331" max="3331" width="8.1640625" style="2" hidden="1"/>
    <col min="3332" max="3332" width="9.1640625" style="2" hidden="1"/>
    <col min="3333" max="3333" width="9.6640625" style="2" hidden="1"/>
    <col min="3334" max="3334" width="11.1640625" style="2" hidden="1"/>
    <col min="3335" max="3335" width="10.33203125" style="2" hidden="1"/>
    <col min="3336" max="3336" width="10.5" style="2" hidden="1"/>
    <col min="3337" max="3585" width="8" style="2" hidden="1"/>
    <col min="3586" max="3586" width="28.1640625" style="2" hidden="1"/>
    <col min="3587" max="3587" width="8.1640625" style="2" hidden="1"/>
    <col min="3588" max="3588" width="9.1640625" style="2" hidden="1"/>
    <col min="3589" max="3589" width="9.6640625" style="2" hidden="1"/>
    <col min="3590" max="3590" width="11.1640625" style="2" hidden="1"/>
    <col min="3591" max="3591" width="10.33203125" style="2" hidden="1"/>
    <col min="3592" max="3592" width="10.5" style="2" hidden="1"/>
    <col min="3593" max="3841" width="8" style="2" hidden="1"/>
    <col min="3842" max="3842" width="28.1640625" style="2" hidden="1"/>
    <col min="3843" max="3843" width="8.1640625" style="2" hidden="1"/>
    <col min="3844" max="3844" width="9.1640625" style="2" hidden="1"/>
    <col min="3845" max="3845" width="9.6640625" style="2" hidden="1"/>
    <col min="3846" max="3846" width="11.1640625" style="2" hidden="1"/>
    <col min="3847" max="3847" width="10.33203125" style="2" hidden="1"/>
    <col min="3848" max="3848" width="10.5" style="2" hidden="1"/>
    <col min="3849" max="4097" width="9" style="2" hidden="1"/>
    <col min="4098" max="4098" width="28.1640625" style="2" hidden="1"/>
    <col min="4099" max="4099" width="8.1640625" style="2" hidden="1"/>
    <col min="4100" max="4100" width="9.1640625" style="2" hidden="1"/>
    <col min="4101" max="4101" width="9.6640625" style="2" hidden="1"/>
    <col min="4102" max="4102" width="11.1640625" style="2" hidden="1"/>
    <col min="4103" max="4103" width="10.33203125" style="2" hidden="1"/>
    <col min="4104" max="4104" width="10.5" style="2" hidden="1"/>
    <col min="4105" max="4353" width="8" style="2" hidden="1"/>
    <col min="4354" max="4354" width="28.1640625" style="2" hidden="1"/>
    <col min="4355" max="4355" width="8.1640625" style="2" hidden="1"/>
    <col min="4356" max="4356" width="9.1640625" style="2" hidden="1"/>
    <col min="4357" max="4357" width="9.6640625" style="2" hidden="1"/>
    <col min="4358" max="4358" width="11.1640625" style="2" hidden="1"/>
    <col min="4359" max="4359" width="10.33203125" style="2" hidden="1"/>
    <col min="4360" max="4360" width="10.5" style="2" hidden="1"/>
    <col min="4361" max="4609" width="8" style="2" hidden="1"/>
    <col min="4610" max="4610" width="28.1640625" style="2" hidden="1"/>
    <col min="4611" max="4611" width="8.1640625" style="2" hidden="1"/>
    <col min="4612" max="4612" width="9.1640625" style="2" hidden="1"/>
    <col min="4613" max="4613" width="9.6640625" style="2" hidden="1"/>
    <col min="4614" max="4614" width="11.1640625" style="2" hidden="1"/>
    <col min="4615" max="4615" width="10.33203125" style="2" hidden="1"/>
    <col min="4616" max="4616" width="10.5" style="2" hidden="1"/>
    <col min="4617" max="4865" width="8" style="2" hidden="1"/>
    <col min="4866" max="4866" width="28.1640625" style="2" hidden="1"/>
    <col min="4867" max="4867" width="8.1640625" style="2" hidden="1"/>
    <col min="4868" max="4868" width="9.1640625" style="2" hidden="1"/>
    <col min="4869" max="4869" width="9.6640625" style="2" hidden="1"/>
    <col min="4870" max="4870" width="11.1640625" style="2" hidden="1"/>
    <col min="4871" max="4871" width="10.33203125" style="2" hidden="1"/>
    <col min="4872" max="4872" width="10.5" style="2" hidden="1"/>
    <col min="4873" max="5121" width="9" style="2" hidden="1"/>
    <col min="5122" max="5122" width="28.1640625" style="2" hidden="1"/>
    <col min="5123" max="5123" width="8.1640625" style="2" hidden="1"/>
    <col min="5124" max="5124" width="9.1640625" style="2" hidden="1"/>
    <col min="5125" max="5125" width="9.6640625" style="2" hidden="1"/>
    <col min="5126" max="5126" width="11.1640625" style="2" hidden="1"/>
    <col min="5127" max="5127" width="10.33203125" style="2" hidden="1"/>
    <col min="5128" max="5128" width="10.5" style="2" hidden="1"/>
    <col min="5129" max="5377" width="8" style="2" hidden="1"/>
    <col min="5378" max="5378" width="28.1640625" style="2" hidden="1"/>
    <col min="5379" max="5379" width="8.1640625" style="2" hidden="1"/>
    <col min="5380" max="5380" width="9.1640625" style="2" hidden="1"/>
    <col min="5381" max="5381" width="9.6640625" style="2" hidden="1"/>
    <col min="5382" max="5382" width="11.1640625" style="2" hidden="1"/>
    <col min="5383" max="5383" width="10.33203125" style="2" hidden="1"/>
    <col min="5384" max="5384" width="10.5" style="2" hidden="1"/>
    <col min="5385" max="5633" width="8" style="2" hidden="1"/>
    <col min="5634" max="5634" width="28.1640625" style="2" hidden="1"/>
    <col min="5635" max="5635" width="8.1640625" style="2" hidden="1"/>
    <col min="5636" max="5636" width="9.1640625" style="2" hidden="1"/>
    <col min="5637" max="5637" width="9.6640625" style="2" hidden="1"/>
    <col min="5638" max="5638" width="11.1640625" style="2" hidden="1"/>
    <col min="5639" max="5639" width="10.33203125" style="2" hidden="1"/>
    <col min="5640" max="5640" width="10.5" style="2" hidden="1"/>
    <col min="5641" max="5889" width="8" style="2" hidden="1"/>
    <col min="5890" max="5890" width="28.1640625" style="2" hidden="1"/>
    <col min="5891" max="5891" width="8.1640625" style="2" hidden="1"/>
    <col min="5892" max="5892" width="9.1640625" style="2" hidden="1"/>
    <col min="5893" max="5893" width="9.6640625" style="2" hidden="1"/>
    <col min="5894" max="5894" width="11.1640625" style="2" hidden="1"/>
    <col min="5895" max="5895" width="10.33203125" style="2" hidden="1"/>
    <col min="5896" max="5896" width="10.5" style="2" hidden="1"/>
    <col min="5897" max="6145" width="9" style="2" hidden="1"/>
    <col min="6146" max="6146" width="28.1640625" style="2" hidden="1"/>
    <col min="6147" max="6147" width="8.1640625" style="2" hidden="1"/>
    <col min="6148" max="6148" width="9.1640625" style="2" hidden="1"/>
    <col min="6149" max="6149" width="9.6640625" style="2" hidden="1"/>
    <col min="6150" max="6150" width="11.1640625" style="2" hidden="1"/>
    <col min="6151" max="6151" width="10.33203125" style="2" hidden="1"/>
    <col min="6152" max="6152" width="10.5" style="2" hidden="1"/>
    <col min="6153" max="6401" width="8" style="2" hidden="1"/>
    <col min="6402" max="6402" width="28.1640625" style="2" hidden="1"/>
    <col min="6403" max="6403" width="8.1640625" style="2" hidden="1"/>
    <col min="6404" max="6404" width="9.1640625" style="2" hidden="1"/>
    <col min="6405" max="6405" width="9.6640625" style="2" hidden="1"/>
    <col min="6406" max="6406" width="11.1640625" style="2" hidden="1"/>
    <col min="6407" max="6407" width="10.33203125" style="2" hidden="1"/>
    <col min="6408" max="6408" width="10.5" style="2" hidden="1"/>
    <col min="6409" max="6657" width="8" style="2" hidden="1"/>
    <col min="6658" max="6658" width="28.1640625" style="2" hidden="1"/>
    <col min="6659" max="6659" width="8.1640625" style="2" hidden="1"/>
    <col min="6660" max="6660" width="9.1640625" style="2" hidden="1"/>
    <col min="6661" max="6661" width="9.6640625" style="2" hidden="1"/>
    <col min="6662" max="6662" width="11.1640625" style="2" hidden="1"/>
    <col min="6663" max="6663" width="10.33203125" style="2" hidden="1"/>
    <col min="6664" max="6664" width="10.5" style="2" hidden="1"/>
    <col min="6665" max="6913" width="8" style="2" hidden="1"/>
    <col min="6914" max="6914" width="28.1640625" style="2" hidden="1"/>
    <col min="6915" max="6915" width="8.1640625" style="2" hidden="1"/>
    <col min="6916" max="6916" width="9.1640625" style="2" hidden="1"/>
    <col min="6917" max="6917" width="9.6640625" style="2" hidden="1"/>
    <col min="6918" max="6918" width="11.1640625" style="2" hidden="1"/>
    <col min="6919" max="6919" width="10.33203125" style="2" hidden="1"/>
    <col min="6920" max="6920" width="10.5" style="2" hidden="1"/>
    <col min="6921" max="7169" width="9" style="2" hidden="1"/>
    <col min="7170" max="7170" width="28.1640625" style="2" hidden="1"/>
    <col min="7171" max="7171" width="8.1640625" style="2" hidden="1"/>
    <col min="7172" max="7172" width="9.1640625" style="2" hidden="1"/>
    <col min="7173" max="7173" width="9.6640625" style="2" hidden="1"/>
    <col min="7174" max="7174" width="11.1640625" style="2" hidden="1"/>
    <col min="7175" max="7175" width="10.33203125" style="2" hidden="1"/>
    <col min="7176" max="7176" width="10.5" style="2" hidden="1"/>
    <col min="7177" max="7425" width="8" style="2" hidden="1"/>
    <col min="7426" max="7426" width="28.1640625" style="2" hidden="1"/>
    <col min="7427" max="7427" width="8.1640625" style="2" hidden="1"/>
    <col min="7428" max="7428" width="9.1640625" style="2" hidden="1"/>
    <col min="7429" max="7429" width="9.6640625" style="2" hidden="1"/>
    <col min="7430" max="7430" width="11.1640625" style="2" hidden="1"/>
    <col min="7431" max="7431" width="10.33203125" style="2" hidden="1"/>
    <col min="7432" max="7432" width="10.5" style="2" hidden="1"/>
    <col min="7433" max="7681" width="8" style="2" hidden="1"/>
    <col min="7682" max="7682" width="28.1640625" style="2" hidden="1"/>
    <col min="7683" max="7683" width="8.1640625" style="2" hidden="1"/>
    <col min="7684" max="7684" width="9.1640625" style="2" hidden="1"/>
    <col min="7685" max="7685" width="9.6640625" style="2" hidden="1"/>
    <col min="7686" max="7686" width="11.1640625" style="2" hidden="1"/>
    <col min="7687" max="7687" width="10.33203125" style="2" hidden="1"/>
    <col min="7688" max="7688" width="10.5" style="2" hidden="1"/>
    <col min="7689" max="7937" width="8" style="2" hidden="1"/>
    <col min="7938" max="7938" width="28.1640625" style="2" hidden="1"/>
    <col min="7939" max="7939" width="8.1640625" style="2" hidden="1"/>
    <col min="7940" max="7940" width="9.1640625" style="2" hidden="1"/>
    <col min="7941" max="7941" width="9.6640625" style="2" hidden="1"/>
    <col min="7942" max="7942" width="11.1640625" style="2" hidden="1"/>
    <col min="7943" max="7943" width="10.33203125" style="2" hidden="1"/>
    <col min="7944" max="7944" width="10.5" style="2" hidden="1"/>
    <col min="7945" max="8193" width="9" style="2" hidden="1"/>
    <col min="8194" max="8194" width="28.1640625" style="2" hidden="1"/>
    <col min="8195" max="8195" width="8.1640625" style="2" hidden="1"/>
    <col min="8196" max="8196" width="9.1640625" style="2" hidden="1"/>
    <col min="8197" max="8197" width="9.6640625" style="2" hidden="1"/>
    <col min="8198" max="8198" width="11.1640625" style="2" hidden="1"/>
    <col min="8199" max="8199" width="10.33203125" style="2" hidden="1"/>
    <col min="8200" max="8200" width="10.5" style="2" hidden="1"/>
    <col min="8201" max="8449" width="8" style="2" hidden="1"/>
    <col min="8450" max="8450" width="28.1640625" style="2" hidden="1"/>
    <col min="8451" max="8451" width="8.1640625" style="2" hidden="1"/>
    <col min="8452" max="8452" width="9.1640625" style="2" hidden="1"/>
    <col min="8453" max="8453" width="9.6640625" style="2" hidden="1"/>
    <col min="8454" max="8454" width="11.1640625" style="2" hidden="1"/>
    <col min="8455" max="8455" width="10.33203125" style="2" hidden="1"/>
    <col min="8456" max="8456" width="10.5" style="2" hidden="1"/>
    <col min="8457" max="8705" width="8" style="2" hidden="1"/>
    <col min="8706" max="8706" width="28.1640625" style="2" hidden="1"/>
    <col min="8707" max="8707" width="8.1640625" style="2" hidden="1"/>
    <col min="8708" max="8708" width="9.1640625" style="2" hidden="1"/>
    <col min="8709" max="8709" width="9.6640625" style="2" hidden="1"/>
    <col min="8710" max="8710" width="11.1640625" style="2" hidden="1"/>
    <col min="8711" max="8711" width="10.33203125" style="2" hidden="1"/>
    <col min="8712" max="8712" width="10.5" style="2" hidden="1"/>
    <col min="8713" max="8961" width="8" style="2" hidden="1"/>
    <col min="8962" max="8962" width="28.1640625" style="2" hidden="1"/>
    <col min="8963" max="8963" width="8.1640625" style="2" hidden="1"/>
    <col min="8964" max="8964" width="9.1640625" style="2" hidden="1"/>
    <col min="8965" max="8965" width="9.6640625" style="2" hidden="1"/>
    <col min="8966" max="8966" width="11.1640625" style="2" hidden="1"/>
    <col min="8967" max="8967" width="10.33203125" style="2" hidden="1"/>
    <col min="8968" max="8968" width="10.5" style="2" hidden="1"/>
    <col min="8969" max="9217" width="9" style="2" hidden="1"/>
    <col min="9218" max="9218" width="28.1640625" style="2" hidden="1"/>
    <col min="9219" max="9219" width="8.1640625" style="2" hidden="1"/>
    <col min="9220" max="9220" width="9.1640625" style="2" hidden="1"/>
    <col min="9221" max="9221" width="9.6640625" style="2" hidden="1"/>
    <col min="9222" max="9222" width="11.1640625" style="2" hidden="1"/>
    <col min="9223" max="9223" width="10.33203125" style="2" hidden="1"/>
    <col min="9224" max="9224" width="10.5" style="2" hidden="1"/>
    <col min="9225" max="9473" width="8" style="2" hidden="1"/>
    <col min="9474" max="9474" width="28.1640625" style="2" hidden="1"/>
    <col min="9475" max="9475" width="8.1640625" style="2" hidden="1"/>
    <col min="9476" max="9476" width="9.1640625" style="2" hidden="1"/>
    <col min="9477" max="9477" width="9.6640625" style="2" hidden="1"/>
    <col min="9478" max="9478" width="11.1640625" style="2" hidden="1"/>
    <col min="9479" max="9479" width="10.33203125" style="2" hidden="1"/>
    <col min="9480" max="9480" width="10.5" style="2" hidden="1"/>
    <col min="9481" max="9729" width="8" style="2" hidden="1"/>
    <col min="9730" max="9730" width="28.1640625" style="2" hidden="1"/>
    <col min="9731" max="9731" width="8.1640625" style="2" hidden="1"/>
    <col min="9732" max="9732" width="9.1640625" style="2" hidden="1"/>
    <col min="9733" max="9733" width="9.6640625" style="2" hidden="1"/>
    <col min="9734" max="9734" width="11.1640625" style="2" hidden="1"/>
    <col min="9735" max="9735" width="10.33203125" style="2" hidden="1"/>
    <col min="9736" max="9736" width="10.5" style="2" hidden="1"/>
    <col min="9737" max="9985" width="8" style="2" hidden="1"/>
    <col min="9986" max="9986" width="28.1640625" style="2" hidden="1"/>
    <col min="9987" max="9987" width="8.1640625" style="2" hidden="1"/>
    <col min="9988" max="9988" width="9.1640625" style="2" hidden="1"/>
    <col min="9989" max="9989" width="9.6640625" style="2" hidden="1"/>
    <col min="9990" max="9990" width="11.1640625" style="2" hidden="1"/>
    <col min="9991" max="9991" width="10.33203125" style="2" hidden="1"/>
    <col min="9992" max="9992" width="10.5" style="2" hidden="1"/>
    <col min="9993" max="10241" width="9" style="2" hidden="1"/>
    <col min="10242" max="10242" width="28.1640625" style="2" hidden="1"/>
    <col min="10243" max="10243" width="8.1640625" style="2" hidden="1"/>
    <col min="10244" max="10244" width="9.1640625" style="2" hidden="1"/>
    <col min="10245" max="10245" width="9.6640625" style="2" hidden="1"/>
    <col min="10246" max="10246" width="11.1640625" style="2" hidden="1"/>
    <col min="10247" max="10247" width="10.33203125" style="2" hidden="1"/>
    <col min="10248" max="10248" width="10.5" style="2" hidden="1"/>
    <col min="10249" max="10497" width="8" style="2" hidden="1"/>
    <col min="10498" max="10498" width="28.1640625" style="2" hidden="1"/>
    <col min="10499" max="10499" width="8.1640625" style="2" hidden="1"/>
    <col min="10500" max="10500" width="9.1640625" style="2" hidden="1"/>
    <col min="10501" max="10501" width="9.6640625" style="2" hidden="1"/>
    <col min="10502" max="10502" width="11.1640625" style="2" hidden="1"/>
    <col min="10503" max="10503" width="10.33203125" style="2" hidden="1"/>
    <col min="10504" max="10504" width="10.5" style="2" hidden="1"/>
    <col min="10505" max="10753" width="8" style="2" hidden="1"/>
    <col min="10754" max="10754" width="28.1640625" style="2" hidden="1"/>
    <col min="10755" max="10755" width="8.1640625" style="2" hidden="1"/>
    <col min="10756" max="10756" width="9.1640625" style="2" hidden="1"/>
    <col min="10757" max="10757" width="9.6640625" style="2" hidden="1"/>
    <col min="10758" max="10758" width="11.1640625" style="2" hidden="1"/>
    <col min="10759" max="10759" width="10.33203125" style="2" hidden="1"/>
    <col min="10760" max="10760" width="10.5" style="2" hidden="1"/>
    <col min="10761" max="11009" width="8" style="2" hidden="1"/>
    <col min="11010" max="11010" width="28.1640625" style="2" hidden="1"/>
    <col min="11011" max="11011" width="8.1640625" style="2" hidden="1"/>
    <col min="11012" max="11012" width="9.1640625" style="2" hidden="1"/>
    <col min="11013" max="11013" width="9.6640625" style="2" hidden="1"/>
    <col min="11014" max="11014" width="11.1640625" style="2" hidden="1"/>
    <col min="11015" max="11015" width="10.33203125" style="2" hidden="1"/>
    <col min="11016" max="11016" width="10.5" style="2" hidden="1"/>
    <col min="11017" max="11265" width="9" style="2" hidden="1"/>
    <col min="11266" max="11266" width="28.1640625" style="2" hidden="1"/>
    <col min="11267" max="11267" width="8.1640625" style="2" hidden="1"/>
    <col min="11268" max="11268" width="9.1640625" style="2" hidden="1"/>
    <col min="11269" max="11269" width="9.6640625" style="2" hidden="1"/>
    <col min="11270" max="11270" width="11.1640625" style="2" hidden="1"/>
    <col min="11271" max="11271" width="10.33203125" style="2" hidden="1"/>
    <col min="11272" max="11272" width="10.5" style="2" hidden="1"/>
    <col min="11273" max="11521" width="8" style="2" hidden="1"/>
    <col min="11522" max="11522" width="28.1640625" style="2" hidden="1"/>
    <col min="11523" max="11523" width="8.1640625" style="2" hidden="1"/>
    <col min="11524" max="11524" width="9.1640625" style="2" hidden="1"/>
    <col min="11525" max="11525" width="9.6640625" style="2" hidden="1"/>
    <col min="11526" max="11526" width="11.1640625" style="2" hidden="1"/>
    <col min="11527" max="11527" width="10.33203125" style="2" hidden="1"/>
    <col min="11528" max="11528" width="10.5" style="2" hidden="1"/>
    <col min="11529" max="11777" width="8" style="2" hidden="1"/>
    <col min="11778" max="11778" width="28.1640625" style="2" hidden="1"/>
    <col min="11779" max="11779" width="8.1640625" style="2" hidden="1"/>
    <col min="11780" max="11780" width="9.1640625" style="2" hidden="1"/>
    <col min="11781" max="11781" width="9.6640625" style="2" hidden="1"/>
    <col min="11782" max="11782" width="11.1640625" style="2" hidden="1"/>
    <col min="11783" max="11783" width="10.33203125" style="2" hidden="1"/>
    <col min="11784" max="11784" width="10.5" style="2" hidden="1"/>
    <col min="11785" max="12033" width="8" style="2" hidden="1"/>
    <col min="12034" max="12034" width="28.1640625" style="2" hidden="1"/>
    <col min="12035" max="12035" width="8.1640625" style="2" hidden="1"/>
    <col min="12036" max="12036" width="9.1640625" style="2" hidden="1"/>
    <col min="12037" max="12037" width="9.6640625" style="2" hidden="1"/>
    <col min="12038" max="12038" width="11.1640625" style="2" hidden="1"/>
    <col min="12039" max="12039" width="10.33203125" style="2" hidden="1"/>
    <col min="12040" max="12040" width="10.5" style="2" hidden="1"/>
    <col min="12041" max="12289" width="9" style="2" hidden="1"/>
    <col min="12290" max="12290" width="28.1640625" style="2" hidden="1"/>
    <col min="12291" max="12291" width="8.1640625" style="2" hidden="1"/>
    <col min="12292" max="12292" width="9.1640625" style="2" hidden="1"/>
    <col min="12293" max="12293" width="9.6640625" style="2" hidden="1"/>
    <col min="12294" max="12294" width="11.1640625" style="2" hidden="1"/>
    <col min="12295" max="12295" width="10.33203125" style="2" hidden="1"/>
    <col min="12296" max="12296" width="10.5" style="2" hidden="1"/>
    <col min="12297" max="12545" width="8" style="2" hidden="1"/>
    <col min="12546" max="12546" width="28.1640625" style="2" hidden="1"/>
    <col min="12547" max="12547" width="8.1640625" style="2" hidden="1"/>
    <col min="12548" max="12548" width="9.1640625" style="2" hidden="1"/>
    <col min="12549" max="12549" width="9.6640625" style="2" hidden="1"/>
    <col min="12550" max="12550" width="11.1640625" style="2" hidden="1"/>
    <col min="12551" max="12551" width="10.33203125" style="2" hidden="1"/>
    <col min="12552" max="12552" width="10.5" style="2" hidden="1"/>
    <col min="12553" max="12801" width="8" style="2" hidden="1"/>
    <col min="12802" max="12802" width="28.1640625" style="2" hidden="1"/>
    <col min="12803" max="12803" width="8.1640625" style="2" hidden="1"/>
    <col min="12804" max="12804" width="9.1640625" style="2" hidden="1"/>
    <col min="12805" max="12805" width="9.6640625" style="2" hidden="1"/>
    <col min="12806" max="12806" width="11.1640625" style="2" hidden="1"/>
    <col min="12807" max="12807" width="10.33203125" style="2" hidden="1"/>
    <col min="12808" max="12808" width="10.5" style="2" hidden="1"/>
    <col min="12809" max="13057" width="8" style="2" hidden="1"/>
    <col min="13058" max="13058" width="28.1640625" style="2" hidden="1"/>
    <col min="13059" max="13059" width="8.1640625" style="2" hidden="1"/>
    <col min="13060" max="13060" width="9.1640625" style="2" hidden="1"/>
    <col min="13061" max="13061" width="9.6640625" style="2" hidden="1"/>
    <col min="13062" max="13062" width="11.1640625" style="2" hidden="1"/>
    <col min="13063" max="13063" width="10.33203125" style="2" hidden="1"/>
    <col min="13064" max="13064" width="10.5" style="2" hidden="1"/>
    <col min="13065" max="13313" width="9" style="2" hidden="1"/>
    <col min="13314" max="13314" width="28.1640625" style="2" hidden="1"/>
    <col min="13315" max="13315" width="8.1640625" style="2" hidden="1"/>
    <col min="13316" max="13316" width="9.1640625" style="2" hidden="1"/>
    <col min="13317" max="13317" width="9.6640625" style="2" hidden="1"/>
    <col min="13318" max="13318" width="11.1640625" style="2" hidden="1"/>
    <col min="13319" max="13319" width="10.33203125" style="2" hidden="1"/>
    <col min="13320" max="13320" width="10.5" style="2" hidden="1"/>
    <col min="13321" max="13569" width="8" style="2" hidden="1"/>
    <col min="13570" max="13570" width="28.1640625" style="2" hidden="1"/>
    <col min="13571" max="13571" width="8.1640625" style="2" hidden="1"/>
    <col min="13572" max="13572" width="9.1640625" style="2" hidden="1"/>
    <col min="13573" max="13573" width="9.6640625" style="2" hidden="1"/>
    <col min="13574" max="13574" width="11.1640625" style="2" hidden="1"/>
    <col min="13575" max="13575" width="10.33203125" style="2" hidden="1"/>
    <col min="13576" max="13576" width="10.5" style="2" hidden="1"/>
    <col min="13577" max="13825" width="8" style="2" hidden="1"/>
    <col min="13826" max="13826" width="28.1640625" style="2" hidden="1"/>
    <col min="13827" max="13827" width="8.1640625" style="2" hidden="1"/>
    <col min="13828" max="13828" width="9.1640625" style="2" hidden="1"/>
    <col min="13829" max="13829" width="9.6640625" style="2" hidden="1"/>
    <col min="13830" max="13830" width="11.1640625" style="2" hidden="1"/>
    <col min="13831" max="13831" width="10.33203125" style="2" hidden="1"/>
    <col min="13832" max="13832" width="10.5" style="2" hidden="1"/>
    <col min="13833" max="14081" width="8" style="2" hidden="1"/>
    <col min="14082" max="14082" width="28.1640625" style="2" hidden="1"/>
    <col min="14083" max="14083" width="8.1640625" style="2" hidden="1"/>
    <col min="14084" max="14084" width="9.1640625" style="2" hidden="1"/>
    <col min="14085" max="14085" width="9.6640625" style="2" hidden="1"/>
    <col min="14086" max="14086" width="11.1640625" style="2" hidden="1"/>
    <col min="14087" max="14087" width="10.33203125" style="2" hidden="1"/>
    <col min="14088" max="14088" width="10.5" style="2" hidden="1"/>
    <col min="14089" max="14337" width="9" style="2" hidden="1"/>
    <col min="14338" max="14338" width="28.1640625" style="2" hidden="1"/>
    <col min="14339" max="14339" width="8.1640625" style="2" hidden="1"/>
    <col min="14340" max="14340" width="9.1640625" style="2" hidden="1"/>
    <col min="14341" max="14341" width="9.6640625" style="2" hidden="1"/>
    <col min="14342" max="14342" width="11.1640625" style="2" hidden="1"/>
    <col min="14343" max="14343" width="10.33203125" style="2" hidden="1"/>
    <col min="14344" max="14344" width="10.5" style="2" hidden="1"/>
    <col min="14345" max="14593" width="8" style="2" hidden="1"/>
    <col min="14594" max="14594" width="28.1640625" style="2" hidden="1"/>
    <col min="14595" max="14595" width="8.1640625" style="2" hidden="1"/>
    <col min="14596" max="14596" width="9.1640625" style="2" hidden="1"/>
    <col min="14597" max="14597" width="9.6640625" style="2" hidden="1"/>
    <col min="14598" max="14598" width="11.1640625" style="2" hidden="1"/>
    <col min="14599" max="14599" width="10.33203125" style="2" hidden="1"/>
    <col min="14600" max="14600" width="10.5" style="2" hidden="1"/>
    <col min="14601" max="14849" width="8" style="2" hidden="1"/>
    <col min="14850" max="14850" width="28.1640625" style="2" hidden="1"/>
    <col min="14851" max="14851" width="8.1640625" style="2" hidden="1"/>
    <col min="14852" max="14852" width="9.1640625" style="2" hidden="1"/>
    <col min="14853" max="14853" width="9.6640625" style="2" hidden="1"/>
    <col min="14854" max="14854" width="11.1640625" style="2" hidden="1"/>
    <col min="14855" max="14855" width="10.33203125" style="2" hidden="1"/>
    <col min="14856" max="14856" width="10.5" style="2" hidden="1"/>
    <col min="14857" max="15105" width="8" style="2" hidden="1"/>
    <col min="15106" max="15106" width="28.1640625" style="2" hidden="1"/>
    <col min="15107" max="15107" width="8.1640625" style="2" hidden="1"/>
    <col min="15108" max="15108" width="9.1640625" style="2" hidden="1"/>
    <col min="15109" max="15109" width="9.6640625" style="2" hidden="1"/>
    <col min="15110" max="15110" width="11.1640625" style="2" hidden="1"/>
    <col min="15111" max="15111" width="10.33203125" style="2" hidden="1"/>
    <col min="15112" max="15112" width="10.5" style="2" hidden="1"/>
    <col min="15113" max="15361" width="9" style="2" hidden="1"/>
    <col min="15362" max="15362" width="28.1640625" style="2" hidden="1"/>
    <col min="15363" max="15363" width="8.1640625" style="2" hidden="1"/>
    <col min="15364" max="15364" width="9.1640625" style="2" hidden="1"/>
    <col min="15365" max="15365" width="9.6640625" style="2" hidden="1"/>
    <col min="15366" max="15366" width="11.1640625" style="2" hidden="1"/>
    <col min="15367" max="15367" width="10.33203125" style="2" hidden="1"/>
    <col min="15368" max="15368" width="10.5" style="2" hidden="1"/>
    <col min="15369" max="15617" width="8" style="2" hidden="1"/>
    <col min="15618" max="15618" width="28.1640625" style="2" hidden="1"/>
    <col min="15619" max="15619" width="8.1640625" style="2" hidden="1"/>
    <col min="15620" max="15620" width="9.1640625" style="2" hidden="1"/>
    <col min="15621" max="15621" width="9.6640625" style="2" hidden="1"/>
    <col min="15622" max="15622" width="11.1640625" style="2" hidden="1"/>
    <col min="15623" max="15623" width="10.33203125" style="2" hidden="1"/>
    <col min="15624" max="15624" width="10.5" style="2" hidden="1"/>
    <col min="15625" max="15873" width="8" style="2" hidden="1"/>
    <col min="15874" max="15874" width="28.1640625" style="2" hidden="1"/>
    <col min="15875" max="15875" width="8.1640625" style="2" hidden="1"/>
    <col min="15876" max="15876" width="9.1640625" style="2" hidden="1"/>
    <col min="15877" max="15877" width="9.6640625" style="2" hidden="1"/>
    <col min="15878" max="15878" width="11.1640625" style="2" hidden="1"/>
    <col min="15879" max="15879" width="10.33203125" style="2" hidden="1"/>
    <col min="15880" max="15880" width="10.5" style="2" hidden="1"/>
    <col min="15881" max="16129" width="8" style="2" hidden="1"/>
    <col min="16130" max="16130" width="28.1640625" style="2" hidden="1"/>
    <col min="16131" max="16131" width="8.1640625" style="2" hidden="1"/>
    <col min="16132" max="16132" width="9.1640625" style="2" hidden="1"/>
    <col min="16133" max="16133" width="9.6640625" style="2" hidden="1"/>
    <col min="16134" max="16134" width="11.1640625" style="2" hidden="1"/>
    <col min="16135" max="16135" width="10.33203125" style="2" hidden="1"/>
    <col min="16136" max="16136" width="10.5" style="2" hidden="1"/>
    <col min="16137" max="16384" width="9" style="2" hidden="1"/>
  </cols>
  <sheetData>
    <row r="1" spans="2:8" ht="15.75" customHeight="1" thickBot="1">
      <c r="B1" s="2" t="s">
        <v>28</v>
      </c>
      <c r="F1" s="3" t="s">
        <v>29</v>
      </c>
    </row>
    <row r="2" spans="2:8" hidden="1">
      <c r="F2" s="3"/>
    </row>
    <row r="3" spans="2:8" ht="20.25" customHeight="1">
      <c r="B3" s="336" t="s">
        <v>876</v>
      </c>
      <c r="C3" s="337"/>
      <c r="D3" s="337"/>
      <c r="E3" s="337"/>
      <c r="F3" s="338"/>
      <c r="G3" s="18"/>
      <c r="H3" s="34"/>
    </row>
    <row r="4" spans="2:8" ht="6" customHeight="1">
      <c r="B4" s="4"/>
      <c r="C4" s="10"/>
      <c r="E4" s="10"/>
      <c r="F4" s="15"/>
      <c r="G4" s="18"/>
      <c r="H4" s="18"/>
    </row>
    <row r="5" spans="2:8">
      <c r="B5" s="77" t="s">
        <v>399</v>
      </c>
      <c r="C5" s="78" t="s">
        <v>4</v>
      </c>
      <c r="D5" s="78" t="s">
        <v>9</v>
      </c>
      <c r="E5" s="79" t="s">
        <v>30</v>
      </c>
      <c r="F5" s="36" t="s">
        <v>31</v>
      </c>
      <c r="G5" s="18"/>
      <c r="H5" s="18"/>
    </row>
    <row r="6" spans="2:8">
      <c r="B6" s="7" t="s">
        <v>32</v>
      </c>
      <c r="C6" s="8" t="s">
        <v>33</v>
      </c>
      <c r="D6" s="71">
        <f>'Input quantities'!C5</f>
        <v>140</v>
      </c>
      <c r="E6" s="10">
        <v>9</v>
      </c>
      <c r="F6" s="12">
        <f>D6*E6</f>
        <v>1260</v>
      </c>
      <c r="G6" s="99" t="s">
        <v>66</v>
      </c>
      <c r="H6" s="99" t="s">
        <v>66</v>
      </c>
    </row>
    <row r="7" spans="2:8">
      <c r="B7" s="7" t="s">
        <v>34</v>
      </c>
      <c r="C7" s="72"/>
      <c r="D7" s="72"/>
      <c r="E7" s="73"/>
      <c r="F7" s="12">
        <f>D7*E7</f>
        <v>0</v>
      </c>
      <c r="G7" s="35"/>
      <c r="H7" s="35"/>
    </row>
    <row r="8" spans="2:8">
      <c r="B8" s="13" t="s">
        <v>35</v>
      </c>
      <c r="C8" s="10"/>
      <c r="D8" s="86"/>
      <c r="E8" s="10"/>
      <c r="F8" s="16">
        <v>15</v>
      </c>
      <c r="G8" s="35"/>
      <c r="H8" s="35"/>
    </row>
    <row r="9" spans="2:8">
      <c r="B9" s="13" t="s">
        <v>36</v>
      </c>
      <c r="C9" s="10"/>
      <c r="D9" s="86"/>
      <c r="E9" s="10"/>
      <c r="F9" s="89">
        <v>0</v>
      </c>
      <c r="G9" s="35"/>
      <c r="H9" s="35"/>
    </row>
    <row r="10" spans="2:8">
      <c r="B10" s="83" t="s">
        <v>404</v>
      </c>
      <c r="C10" s="5"/>
      <c r="D10" s="19"/>
      <c r="E10" s="19"/>
      <c r="F10" s="84">
        <f>SUM(F6:F9)</f>
        <v>1275</v>
      </c>
      <c r="G10" s="10"/>
      <c r="H10" s="10"/>
    </row>
    <row r="11" spans="2:8">
      <c r="B11" s="9"/>
      <c r="C11" s="10"/>
      <c r="D11" s="11"/>
      <c r="E11" s="10"/>
      <c r="F11" s="12"/>
      <c r="G11" s="10"/>
      <c r="H11" s="10"/>
    </row>
    <row r="12" spans="2:8">
      <c r="B12" s="80" t="s">
        <v>400</v>
      </c>
      <c r="C12" s="90" t="s">
        <v>37</v>
      </c>
      <c r="D12" s="90" t="s">
        <v>30</v>
      </c>
      <c r="E12" s="10"/>
      <c r="F12" s="12"/>
      <c r="G12" s="37"/>
      <c r="H12" s="37"/>
    </row>
    <row r="13" spans="2:8">
      <c r="B13" s="13" t="s">
        <v>20</v>
      </c>
      <c r="C13" s="91">
        <v>33000</v>
      </c>
      <c r="D13" s="75">
        <f>'Input prices'!E15</f>
        <v>265</v>
      </c>
      <c r="F13" s="12">
        <f>D13*C13/'Input quantities'!C10</f>
        <v>109.3125</v>
      </c>
      <c r="G13" s="10"/>
      <c r="H13" s="10"/>
    </row>
    <row r="14" spans="2:8">
      <c r="B14" s="13" t="s">
        <v>859</v>
      </c>
      <c r="C14" s="74"/>
      <c r="D14" s="75"/>
      <c r="E14" s="98"/>
      <c r="F14" s="12">
        <f>SUM(E15:E19)</f>
        <v>225</v>
      </c>
      <c r="G14" s="10"/>
      <c r="H14" s="10"/>
    </row>
    <row r="15" spans="2:8">
      <c r="B15" s="14" t="s">
        <v>860</v>
      </c>
      <c r="C15" s="74"/>
      <c r="D15" s="75"/>
      <c r="E15" s="97">
        <f>C15*D15</f>
        <v>0</v>
      </c>
      <c r="F15" s="12"/>
      <c r="G15" s="10"/>
      <c r="H15" s="10"/>
    </row>
    <row r="16" spans="2:8">
      <c r="B16" s="14" t="s">
        <v>861</v>
      </c>
      <c r="C16" s="74">
        <v>3</v>
      </c>
      <c r="D16" s="75">
        <v>55</v>
      </c>
      <c r="E16" s="97">
        <f>C16*D16</f>
        <v>165</v>
      </c>
      <c r="F16" s="12"/>
      <c r="G16" s="10"/>
      <c r="H16" s="10"/>
    </row>
    <row r="17" spans="2:8">
      <c r="B17" s="14" t="s">
        <v>862</v>
      </c>
      <c r="C17" s="74">
        <v>1</v>
      </c>
      <c r="D17" s="75">
        <v>45</v>
      </c>
      <c r="E17" s="97">
        <f>C17*D17</f>
        <v>45</v>
      </c>
      <c r="F17" s="12"/>
      <c r="G17" s="10"/>
      <c r="H17" s="10"/>
    </row>
    <row r="18" spans="2:8">
      <c r="B18" s="14" t="s">
        <v>759</v>
      </c>
      <c r="C18" s="74"/>
      <c r="D18" s="75"/>
      <c r="E18" s="97">
        <f>C18*D18</f>
        <v>0</v>
      </c>
      <c r="F18" s="12"/>
      <c r="G18" s="10"/>
      <c r="H18" s="10"/>
    </row>
    <row r="19" spans="2:8">
      <c r="B19" s="14" t="s">
        <v>13</v>
      </c>
      <c r="C19" s="74">
        <v>0.5</v>
      </c>
      <c r="D19" s="75">
        <f>IF('Input prices'!$E14&gt;0,'Input prices'!$E14,'Input prices'!$D14)</f>
        <v>30</v>
      </c>
      <c r="E19" s="97">
        <f>C19*D19</f>
        <v>15</v>
      </c>
      <c r="F19" s="15"/>
      <c r="G19" s="10"/>
      <c r="H19" s="10"/>
    </row>
    <row r="20" spans="2:8">
      <c r="B20" s="13" t="s">
        <v>39</v>
      </c>
      <c r="C20" s="74"/>
      <c r="D20" s="75"/>
      <c r="E20" s="97"/>
      <c r="F20" s="12">
        <f>SUM(E21:E23)</f>
        <v>0</v>
      </c>
      <c r="G20" s="10"/>
      <c r="H20" s="10"/>
    </row>
    <row r="21" spans="2:8">
      <c r="B21" s="14" t="s">
        <v>863</v>
      </c>
      <c r="C21" s="74"/>
      <c r="D21" s="75">
        <v>0</v>
      </c>
      <c r="E21" s="97">
        <f>C21*D21</f>
        <v>0</v>
      </c>
      <c r="F21" s="12"/>
      <c r="G21" s="18"/>
      <c r="H21" s="18"/>
    </row>
    <row r="22" spans="2:8">
      <c r="B22" s="14" t="s">
        <v>864</v>
      </c>
      <c r="C22" s="74"/>
      <c r="D22" s="75">
        <v>25</v>
      </c>
      <c r="E22" s="97">
        <f>C22*D22</f>
        <v>0</v>
      </c>
      <c r="F22" s="12"/>
      <c r="G22" s="18"/>
      <c r="H22" s="18"/>
    </row>
    <row r="23" spans="2:8">
      <c r="B23" s="14" t="s">
        <v>865</v>
      </c>
      <c r="C23" s="74"/>
      <c r="D23" s="75">
        <v>0</v>
      </c>
      <c r="E23" s="97">
        <f t="shared" ref="E23:E24" si="0">C23*D23</f>
        <v>0</v>
      </c>
      <c r="F23" s="12"/>
      <c r="G23" s="18"/>
      <c r="H23" s="18"/>
    </row>
    <row r="24" spans="2:8" hidden="1">
      <c r="B24" s="14" t="s">
        <v>762</v>
      </c>
      <c r="C24" s="74" t="e">
        <f>'Input quantities'!#REF!</f>
        <v>#REF!</v>
      </c>
      <c r="D24" s="75" t="e">
        <f>'Input prices'!#REF!</f>
        <v>#REF!</v>
      </c>
      <c r="E24" s="97" t="e">
        <f t="shared" si="0"/>
        <v>#REF!</v>
      </c>
      <c r="F24" s="12"/>
      <c r="G24" s="10"/>
      <c r="H24" s="10"/>
    </row>
    <row r="25" spans="2:8">
      <c r="B25" s="13" t="s">
        <v>788</v>
      </c>
      <c r="C25" s="243">
        <f>IF('Input quantities'!C6&gt;'Input quantities'!C25,'Input quantities'!C6-'Input quantities'!C25,"-")</f>
        <v>2.5000000000000022E-2</v>
      </c>
      <c r="D25" s="75">
        <f>'Input prices'!D19</f>
        <v>0.05</v>
      </c>
      <c r="E25" s="97"/>
      <c r="F25" s="12">
        <f>IFERROR(C25*100*D25*D6,0)</f>
        <v>17.500000000000014</v>
      </c>
      <c r="G25" s="10"/>
      <c r="H25" s="10"/>
    </row>
    <row r="26" spans="2:8">
      <c r="B26" s="13" t="s">
        <v>40</v>
      </c>
      <c r="C26" s="74"/>
      <c r="D26" s="75"/>
      <c r="E26" s="10"/>
      <c r="F26" s="16">
        <v>8.5</v>
      </c>
      <c r="G26" s="10"/>
      <c r="H26" s="10"/>
    </row>
    <row r="27" spans="2:8">
      <c r="B27" s="13" t="s">
        <v>41</v>
      </c>
      <c r="C27" s="74"/>
      <c r="D27" s="75"/>
      <c r="E27" s="10"/>
      <c r="F27" s="16">
        <v>33</v>
      </c>
      <c r="G27" s="10"/>
      <c r="H27" s="10"/>
    </row>
    <row r="28" spans="2:8">
      <c r="B28" s="13" t="s">
        <v>42</v>
      </c>
      <c r="C28" s="74"/>
      <c r="D28" s="75"/>
      <c r="E28" s="10"/>
      <c r="F28" s="237">
        <v>0</v>
      </c>
      <c r="G28" s="10"/>
      <c r="H28" s="10"/>
    </row>
    <row r="29" spans="2:8">
      <c r="B29" s="13" t="s">
        <v>834</v>
      </c>
      <c r="C29" s="74">
        <f>D76</f>
        <v>0.9982114179004935</v>
      </c>
      <c r="D29" s="75">
        <f>'Input prices'!D20</f>
        <v>26</v>
      </c>
      <c r="E29" s="10"/>
      <c r="F29" s="237">
        <f>D29*C29</f>
        <v>25.953496865412831</v>
      </c>
      <c r="G29" s="10"/>
      <c r="H29" s="10"/>
    </row>
    <row r="30" spans="2:8">
      <c r="B30" s="13" t="s">
        <v>774</v>
      </c>
      <c r="C30" s="74">
        <f>E76</f>
        <v>7.0693245631585953</v>
      </c>
      <c r="D30" s="75">
        <f>'Input prices'!D21</f>
        <v>3.25</v>
      </c>
      <c r="E30" s="10"/>
      <c r="F30" s="237">
        <f>C30*D30</f>
        <v>22.975304830265436</v>
      </c>
      <c r="G30" s="10"/>
      <c r="H30" s="10"/>
    </row>
    <row r="31" spans="2:8">
      <c r="B31" s="13" t="s">
        <v>43</v>
      </c>
      <c r="C31" s="74"/>
      <c r="D31" s="75"/>
      <c r="E31" s="10"/>
      <c r="F31" s="237">
        <f>F76-F30-F29</f>
        <v>39.965550680883808</v>
      </c>
      <c r="G31" s="10"/>
      <c r="H31" s="10"/>
    </row>
    <row r="32" spans="2:8">
      <c r="B32" s="13" t="s">
        <v>395</v>
      </c>
      <c r="C32" s="74"/>
      <c r="D32" s="75"/>
      <c r="E32" s="10"/>
      <c r="F32" s="237">
        <f>F10*0.03</f>
        <v>38.25</v>
      </c>
      <c r="G32" s="10"/>
      <c r="H32" s="10"/>
    </row>
    <row r="33" spans="2:8">
      <c r="B33" s="13" t="s">
        <v>44</v>
      </c>
      <c r="C33" s="74"/>
      <c r="D33" s="75"/>
      <c r="E33" s="10"/>
      <c r="F33" s="16">
        <v>0</v>
      </c>
      <c r="G33" s="10"/>
      <c r="H33" s="10"/>
    </row>
    <row r="34" spans="2:8">
      <c r="B34" s="13" t="s">
        <v>16</v>
      </c>
      <c r="C34" s="85">
        <f>SUM(F13:F33)/2</f>
        <v>260.22842618828105</v>
      </c>
      <c r="D34" s="76">
        <f>'Input prices'!D22</f>
        <v>0.09</v>
      </c>
      <c r="E34" s="74"/>
      <c r="F34" s="17">
        <f>D34*C34</f>
        <v>23.420558356945293</v>
      </c>
      <c r="G34" s="10"/>
      <c r="H34" s="10"/>
    </row>
    <row r="35" spans="2:8">
      <c r="B35" s="82" t="s">
        <v>402</v>
      </c>
      <c r="C35" s="10"/>
      <c r="D35" s="11"/>
      <c r="E35" s="10"/>
      <c r="F35" s="81">
        <f>SUM(F13:F34)</f>
        <v>543.87741073350742</v>
      </c>
      <c r="G35" s="37"/>
      <c r="H35" s="37"/>
    </row>
    <row r="36" spans="2:8">
      <c r="B36" s="9"/>
      <c r="C36" s="10"/>
      <c r="D36" s="11"/>
      <c r="E36" s="10"/>
      <c r="F36" s="15"/>
      <c r="G36" s="10"/>
      <c r="H36" s="10"/>
    </row>
    <row r="37" spans="2:8">
      <c r="B37" s="80" t="s">
        <v>401</v>
      </c>
      <c r="C37" s="10"/>
      <c r="D37" s="11"/>
      <c r="E37" s="10"/>
      <c r="F37" s="12"/>
      <c r="G37" s="10"/>
      <c r="H37" s="10"/>
    </row>
    <row r="38" spans="2:8">
      <c r="B38" s="13" t="s">
        <v>26</v>
      </c>
      <c r="C38" s="18"/>
      <c r="D38" s="11"/>
      <c r="E38" s="10"/>
      <c r="F38" s="12">
        <f>'Input prices'!D25*'Organic Corn'!F10</f>
        <v>12.75</v>
      </c>
      <c r="G38" s="10"/>
      <c r="H38" s="10"/>
    </row>
    <row r="39" spans="2:8">
      <c r="B39" s="13" t="s">
        <v>412</v>
      </c>
      <c r="C39" s="10"/>
      <c r="D39" s="11"/>
      <c r="E39" s="10"/>
      <c r="F39" s="12">
        <f>G76</f>
        <v>112.50504397848755</v>
      </c>
      <c r="G39" s="10"/>
      <c r="H39" s="10"/>
    </row>
    <row r="40" spans="2:8">
      <c r="B40" s="13" t="s">
        <v>45</v>
      </c>
      <c r="C40" s="10"/>
      <c r="D40" s="11"/>
      <c r="E40" s="10"/>
      <c r="F40" s="17">
        <f>IF('Input prices'!D26&gt;0,'Input prices'!D26,'Input prices'!E26)</f>
        <v>185</v>
      </c>
      <c r="G40" s="10"/>
      <c r="H40" s="10"/>
    </row>
    <row r="41" spans="2:8">
      <c r="B41" s="82" t="s">
        <v>403</v>
      </c>
      <c r="C41" s="10"/>
      <c r="D41" s="11"/>
      <c r="E41" s="10"/>
      <c r="F41" s="81">
        <f>SUM(F38:F40)</f>
        <v>310.25504397848755</v>
      </c>
      <c r="G41" s="37"/>
      <c r="H41" s="37"/>
    </row>
    <row r="42" spans="2:8">
      <c r="B42" s="9"/>
      <c r="C42" s="10"/>
      <c r="D42" s="11"/>
      <c r="E42" s="10"/>
      <c r="F42" s="70"/>
      <c r="G42" s="10"/>
      <c r="H42" s="10"/>
    </row>
    <row r="43" spans="2:8" ht="15" customHeight="1">
      <c r="B43" s="82" t="s">
        <v>405</v>
      </c>
      <c r="C43" s="10"/>
      <c r="D43" s="11"/>
      <c r="E43" s="11"/>
      <c r="F43" s="81">
        <f>F35+F41</f>
        <v>854.13245471199502</v>
      </c>
      <c r="G43" s="37"/>
      <c r="H43" s="37"/>
    </row>
    <row r="44" spans="2:8">
      <c r="B44" s="94"/>
      <c r="C44" s="92"/>
      <c r="D44" s="93"/>
      <c r="E44" s="92"/>
      <c r="F44" s="95"/>
      <c r="G44" s="18"/>
      <c r="H44" s="10"/>
    </row>
    <row r="45" spans="2:8">
      <c r="B45" s="87" t="s">
        <v>396</v>
      </c>
      <c r="C45" s="10"/>
      <c r="D45" s="11"/>
      <c r="E45" s="10"/>
      <c r="F45" s="6">
        <f>F10-F35</f>
        <v>731.12258926649258</v>
      </c>
      <c r="G45" s="10"/>
      <c r="H45" s="10"/>
    </row>
    <row r="46" spans="2:8">
      <c r="B46" s="87" t="s">
        <v>397</v>
      </c>
      <c r="C46" s="10"/>
      <c r="D46" s="11"/>
      <c r="E46" s="10"/>
      <c r="F46" s="6">
        <f>F10-F43</f>
        <v>420.86754528800498</v>
      </c>
      <c r="G46" s="10"/>
      <c r="H46" s="10"/>
    </row>
    <row r="47" spans="2:8">
      <c r="B47" s="96" t="s">
        <v>398</v>
      </c>
      <c r="C47" s="5"/>
      <c r="D47" s="19"/>
      <c r="E47" s="5"/>
      <c r="F47" s="36">
        <f>F10-F43+F40+F32</f>
        <v>644.11754528800498</v>
      </c>
      <c r="G47" s="18"/>
      <c r="H47" s="18"/>
    </row>
    <row r="48" spans="2:8">
      <c r="B48" s="9"/>
      <c r="C48" s="10"/>
      <c r="D48" s="10" t="s">
        <v>46</v>
      </c>
      <c r="E48" s="10"/>
      <c r="F48" s="12">
        <f>F35/D6</f>
        <v>3.8848386480964816</v>
      </c>
      <c r="G48" s="10"/>
      <c r="H48" s="10"/>
    </row>
    <row r="49" spans="2:8">
      <c r="B49" s="9"/>
      <c r="C49" s="10"/>
      <c r="D49" s="10" t="s">
        <v>47</v>
      </c>
      <c r="E49" s="10"/>
      <c r="F49" s="12">
        <f>F41/D6</f>
        <v>2.2161074569891968</v>
      </c>
      <c r="G49" s="10"/>
      <c r="H49" s="10"/>
    </row>
    <row r="50" spans="2:8" ht="17" thickBot="1">
      <c r="B50" s="20"/>
      <c r="C50" s="21"/>
      <c r="D50" s="21" t="s">
        <v>48</v>
      </c>
      <c r="E50" s="21"/>
      <c r="F50" s="38">
        <f>F43/D6</f>
        <v>6.1009461050856784</v>
      </c>
      <c r="G50" s="10"/>
      <c r="H50" s="10"/>
    </row>
    <row r="51" spans="2:8">
      <c r="B51" s="18"/>
      <c r="C51" s="10"/>
      <c r="D51" s="11"/>
      <c r="E51" s="10"/>
      <c r="F51" s="18"/>
      <c r="G51" s="10"/>
      <c r="H51" s="10"/>
    </row>
    <row r="52" spans="2:8">
      <c r="B52" s="18"/>
      <c r="C52" s="10"/>
      <c r="D52" s="11"/>
      <c r="E52" s="10"/>
      <c r="F52" s="18"/>
      <c r="G52" s="10"/>
      <c r="H52" s="10"/>
    </row>
    <row r="53" spans="2:8">
      <c r="B53" s="18"/>
      <c r="C53" s="10"/>
      <c r="D53" s="10"/>
      <c r="E53" s="10"/>
      <c r="F53" s="10"/>
      <c r="G53" s="10"/>
      <c r="H53" s="10"/>
    </row>
    <row r="54" spans="2:8">
      <c r="G54" s="18"/>
      <c r="H54" s="18"/>
    </row>
    <row r="55" spans="2:8">
      <c r="B55" s="22" t="str">
        <f>"Detailed Report: "&amp;B3</f>
        <v>Detailed Report: Organic Corn Enterprise Budget</v>
      </c>
      <c r="C55" s="23"/>
      <c r="D55" s="24"/>
      <c r="E55" s="23"/>
      <c r="F55" s="25"/>
      <c r="G55" s="26"/>
    </row>
    <row r="56" spans="2:8">
      <c r="C56" s="27"/>
      <c r="D56" s="24"/>
      <c r="E56" s="25"/>
      <c r="F56" s="25"/>
      <c r="G56" s="25"/>
    </row>
    <row r="57" spans="2:8">
      <c r="B57" s="28" t="s">
        <v>49</v>
      </c>
      <c r="C57" s="29" t="s">
        <v>50</v>
      </c>
      <c r="D57" s="30"/>
      <c r="E57" s="28" t="s">
        <v>51</v>
      </c>
      <c r="F57" s="28"/>
      <c r="G57" s="31"/>
      <c r="H57" s="29" t="s">
        <v>52</v>
      </c>
    </row>
    <row r="58" spans="2:8">
      <c r="B58" s="267" t="s">
        <v>53</v>
      </c>
      <c r="C58" s="268">
        <f>D6</f>
        <v>140</v>
      </c>
      <c r="D58" s="269"/>
      <c r="E58" s="267" t="s">
        <v>384</v>
      </c>
      <c r="F58" s="59"/>
      <c r="G58" s="59"/>
      <c r="H58" s="269">
        <f>E6</f>
        <v>9</v>
      </c>
    </row>
    <row r="59" spans="2:8">
      <c r="B59" s="267" t="s">
        <v>54</v>
      </c>
      <c r="C59" s="270">
        <f>C13</f>
        <v>33000</v>
      </c>
      <c r="D59" s="269"/>
      <c r="E59" s="267" t="str">
        <f>"Seed, per "&amp;'Input quantities'!C10&amp;" seed bag"</f>
        <v>Seed, per 80000 seed bag</v>
      </c>
      <c r="F59" s="59"/>
      <c r="G59" s="59"/>
      <c r="H59" s="269">
        <f>D13</f>
        <v>265</v>
      </c>
    </row>
    <row r="60" spans="2:8">
      <c r="B60" s="267" t="s">
        <v>836</v>
      </c>
      <c r="C60" s="304">
        <v>0.6</v>
      </c>
      <c r="D60" s="269"/>
      <c r="E60" s="267" t="s">
        <v>837</v>
      </c>
      <c r="F60" s="267"/>
      <c r="G60" s="59"/>
      <c r="H60" s="269">
        <f>'Input prices'!D14</f>
        <v>30</v>
      </c>
    </row>
    <row r="61" spans="2:8">
      <c r="B61" s="267" t="s">
        <v>55</v>
      </c>
      <c r="C61" s="271">
        <f>D76</f>
        <v>0.9982114179004935</v>
      </c>
      <c r="D61" s="269"/>
      <c r="E61" s="267" t="s">
        <v>56</v>
      </c>
      <c r="F61" s="267"/>
      <c r="G61" s="59"/>
      <c r="H61" s="269">
        <f>'Input prices'!D20</f>
        <v>26</v>
      </c>
    </row>
    <row r="62" spans="2:8">
      <c r="B62" s="59" t="s">
        <v>838</v>
      </c>
      <c r="C62" s="305">
        <f>D34</f>
        <v>0.09</v>
      </c>
      <c r="D62" s="59"/>
      <c r="E62" s="267" t="s">
        <v>57</v>
      </c>
      <c r="F62" s="267"/>
      <c r="G62" s="59"/>
      <c r="H62" s="269">
        <f>'Input prices'!D21</f>
        <v>3.25</v>
      </c>
    </row>
    <row r="63" spans="2:8">
      <c r="E63" s="25"/>
      <c r="F63" s="25"/>
      <c r="H63" s="24"/>
    </row>
    <row r="64" spans="2:8">
      <c r="B64" s="25"/>
      <c r="C64" s="27"/>
      <c r="D64" s="27"/>
      <c r="E64" s="27"/>
      <c r="F64" s="27"/>
      <c r="G64" s="27"/>
      <c r="H64" s="25"/>
    </row>
    <row r="65" spans="2:8" ht="34.5">
      <c r="B65" s="22"/>
      <c r="C65" s="32" t="s">
        <v>60</v>
      </c>
      <c r="D65" s="32" t="s">
        <v>58</v>
      </c>
      <c r="E65" s="32" t="s">
        <v>59</v>
      </c>
      <c r="F65" s="33" t="s">
        <v>410</v>
      </c>
      <c r="G65" s="33" t="s">
        <v>411</v>
      </c>
      <c r="H65" s="33" t="s">
        <v>409</v>
      </c>
    </row>
    <row r="66" spans="2:8">
      <c r="B66" s="28" t="s">
        <v>61</v>
      </c>
      <c r="C66" s="29" t="s">
        <v>65</v>
      </c>
      <c r="D66" s="29" t="s">
        <v>62</v>
      </c>
      <c r="E66" s="29" t="s">
        <v>63</v>
      </c>
      <c r="F66" s="29" t="s">
        <v>64</v>
      </c>
      <c r="G66" s="29" t="s">
        <v>64</v>
      </c>
      <c r="H66" s="29" t="s">
        <v>64</v>
      </c>
    </row>
    <row r="67" spans="2:8">
      <c r="B67" s="59" t="str">
        <f>CONCATENATE(Equipment!B8,"; ",Equipment!C8)</f>
        <v>Chisel plow, 22 Ft Folding, per acre; 200 HP MFWD</v>
      </c>
      <c r="C67" s="272">
        <f>IFERROR(Equipment!D8,"-")</f>
        <v>1</v>
      </c>
      <c r="D67" s="271">
        <f>IFERROR(Equipment!F8,"-")</f>
        <v>8.8235294117647065E-2</v>
      </c>
      <c r="E67" s="271">
        <f>IFERROR(Equipment!E8,"-")</f>
        <v>0.77647058823529402</v>
      </c>
      <c r="F67" s="271">
        <f>IFERROR(Equipment!G8,"-")</f>
        <v>8.4272624866121184</v>
      </c>
      <c r="G67" s="271">
        <f>IFERROR(Equipment!H8,"-")</f>
        <v>12.73136686869473</v>
      </c>
      <c r="H67" s="273">
        <f>SUM(F67:G67)</f>
        <v>21.15862935530685</v>
      </c>
    </row>
    <row r="68" spans="2:8">
      <c r="B68" s="59" t="str">
        <f>CONCATENATE(Equipment!B9,"; ",Equipment!C9)</f>
        <v>Tandem disk, 21 Ft Folding, per acre; 200 HP MFWD</v>
      </c>
      <c r="C68" s="272">
        <f>IFERROR(Equipment!D9,"-")</f>
        <v>2</v>
      </c>
      <c r="D68" s="271">
        <f>IFERROR(Equipment!F9,"-")</f>
        <v>0.16369047619047616</v>
      </c>
      <c r="E68" s="271">
        <f>IFERROR(Equipment!E9,"-")</f>
        <v>1.44047619047619</v>
      </c>
      <c r="F68" s="271">
        <f>IFERROR(Equipment!G9,"-")</f>
        <v>15.849080958305125</v>
      </c>
      <c r="G68" s="271">
        <f>IFERROR(Equipment!H9,"-")</f>
        <v>24.41697555603243</v>
      </c>
      <c r="H68" s="273">
        <f t="shared" ref="H68:H72" si="1">SUM(F68:G68)</f>
        <v>40.266056514337556</v>
      </c>
    </row>
    <row r="69" spans="2:8">
      <c r="B69" s="59" t="str">
        <f>CONCATENATE(Equipment!B10,"; ",Equipment!C10)</f>
        <v>Field cultivator, 28 Ft Folding, per acre; 160 HP MFWD</v>
      </c>
      <c r="C69" s="272">
        <f>IFERROR(Equipment!D10,"-")</f>
        <v>2</v>
      </c>
      <c r="D69" s="271">
        <f>IFERROR(Equipment!F10,"-")</f>
        <v>9.9039615846338538E-2</v>
      </c>
      <c r="E69" s="271">
        <f>IFERROR(Equipment!E10,"-")</f>
        <v>0.69723889555822327</v>
      </c>
      <c r="F69" s="271">
        <f>IFERROR(Equipment!G10,"-")</f>
        <v>8.0829852889381666</v>
      </c>
      <c r="G69" s="271">
        <f>IFERROR(Equipment!H10,"-")</f>
        <v>10.432093520387751</v>
      </c>
      <c r="H69" s="273">
        <f t="shared" si="1"/>
        <v>18.515078809325917</v>
      </c>
    </row>
    <row r="70" spans="2:8">
      <c r="B70" s="59" t="str">
        <f>CONCATENATE(Equipment!B12,"; ",Equipment!C12)</f>
        <v>Row crop planter, 20 Ft Folding, per acre; 160 HP MFWD</v>
      </c>
      <c r="C70" s="272">
        <f>IFERROR(Equipment!D12,"-")</f>
        <v>1</v>
      </c>
      <c r="D70" s="271">
        <f>IFERROR(Equipment!F12,"-")</f>
        <v>0.10714285714285714</v>
      </c>
      <c r="E70" s="271">
        <f>IFERROR(Equipment!E12,"-")</f>
        <v>0.75428571428571412</v>
      </c>
      <c r="F70" s="271">
        <f>IFERROR(Equipment!G12,"-")</f>
        <v>9.9861755178410796</v>
      </c>
      <c r="G70" s="271">
        <f>IFERROR(Equipment!H12,"-")</f>
        <v>14.199056463772342</v>
      </c>
      <c r="H70" s="273">
        <f t="shared" si="1"/>
        <v>24.18523198161342</v>
      </c>
    </row>
    <row r="71" spans="2:8">
      <c r="B71" s="59" t="str">
        <f>CONCATENATE(Equipment!B13,"; ",Equipment!C13)</f>
        <v>Combine corn hd, 15 Ft, per acre; 275 HP Combine</v>
      </c>
      <c r="C71" s="272">
        <f>IFERROR(Equipment!D13,"-")</f>
        <v>1</v>
      </c>
      <c r="D71" s="271">
        <f>IFERROR(Equipment!F13,"-")</f>
        <v>0.17460317460317459</v>
      </c>
      <c r="E71" s="271">
        <f>IFERROR(Equipment!E13,"-")</f>
        <v>1.8246031746031743</v>
      </c>
      <c r="F71" s="271">
        <f>IFERROR(Equipment!G13,"-")</f>
        <v>25.231700551805574</v>
      </c>
      <c r="G71" s="271">
        <f>IFERROR(Equipment!H13,"-")</f>
        <v>35.851657280157099</v>
      </c>
      <c r="H71" s="273">
        <f t="shared" si="1"/>
        <v>61.083357831962672</v>
      </c>
    </row>
    <row r="72" spans="2:8">
      <c r="B72" s="59" t="str">
        <f>CONCATENATE(Equipment!B14,"; ",Equipment!C14)</f>
        <v>Grain cart, 1000 Bu, per hour; 200 HP MFWD</v>
      </c>
      <c r="C72" s="272">
        <f>IFERROR(Equipment!D14,"-")</f>
        <v>0.05</v>
      </c>
      <c r="D72" s="271">
        <f>IFERROR(Equipment!F14,"-")</f>
        <v>5.5500000000000008E-2</v>
      </c>
      <c r="E72" s="271">
        <f>IFERROR(Equipment!E14,"-")</f>
        <v>0.43999999999999995</v>
      </c>
      <c r="F72" s="271">
        <f>IFERROR(Equipment!G14,"-")</f>
        <v>5.5251596344634999</v>
      </c>
      <c r="G72" s="271">
        <f>IFERROR(Equipment!H14,"-")</f>
        <v>6.9239420292434888</v>
      </c>
      <c r="H72" s="273">
        <f t="shared" si="1"/>
        <v>12.449101663706989</v>
      </c>
    </row>
    <row r="73" spans="2:8">
      <c r="B73" s="59" t="str">
        <f>CONCATENATE(Equipment!B15,"; ",Equipment!C15)</f>
        <v>; 325 HP Tandem grain truck</v>
      </c>
      <c r="C73" s="272">
        <f>IFERROR(Equipment!D15,"-")</f>
        <v>0.11</v>
      </c>
      <c r="D73" s="271">
        <f>IFERROR(Equipment!F15,"-")</f>
        <v>0.11</v>
      </c>
      <c r="E73" s="271">
        <f>IFERROR(Equipment!E15,"-")</f>
        <v>0.53625</v>
      </c>
      <c r="F73" s="271">
        <f>IFERROR(Equipment!G15,"-")</f>
        <v>5.1051458333333333</v>
      </c>
      <c r="G73" s="271">
        <f>IFERROR(Equipment!H15,"-")</f>
        <v>1.5918307004015182</v>
      </c>
      <c r="H73" s="273">
        <f t="shared" ref="H73:H75" si="2">SUM(F73:G73)</f>
        <v>6.6969765337348512</v>
      </c>
    </row>
    <row r="74" spans="2:8">
      <c r="B74" s="59" t="str">
        <f>CONCATENATE(Equipment!B16,"; ",Equipment!C16)</f>
        <v>Grain auger, 13 In, per hour; 130 HP MFWD</v>
      </c>
      <c r="C74" s="272">
        <f>IFERROR(Equipment!D16,"-")</f>
        <v>0.05</v>
      </c>
      <c r="D74" s="271" t="str">
        <f>IFERROR(Equipment!F16,"-")</f>
        <v>-</v>
      </c>
      <c r="E74" s="271" t="str">
        <f>IFERROR(Equipment!E16,"-")</f>
        <v>-</v>
      </c>
      <c r="F74" s="271" t="str">
        <f>IFERROR(Equipment!G16,"-")</f>
        <v>-</v>
      </c>
      <c r="G74" s="271">
        <f>IFERROR(Equipment!H16,"-")</f>
        <v>2.0296807880304071</v>
      </c>
      <c r="H74" s="273">
        <f t="shared" si="2"/>
        <v>2.0296807880304071</v>
      </c>
    </row>
    <row r="75" spans="2:8">
      <c r="B75" s="220" t="str">
        <f>CONCATENATE(Equipment!B17,"; ",Equipment!C17)</f>
        <v>; 1 Ton 4x4 Pickup</v>
      </c>
      <c r="C75" s="274">
        <f>IFERROR(Equipment!D17,"-")</f>
        <v>0.2</v>
      </c>
      <c r="D75" s="275">
        <f>IFERROR(Equipment!F17,"-")</f>
        <v>0.2</v>
      </c>
      <c r="E75" s="275">
        <f>IFERROR(Equipment!E17,"-")</f>
        <v>0.60000000000000009</v>
      </c>
      <c r="F75" s="275">
        <f>IFERROR(Equipment!G17,"-")</f>
        <v>10.686842105263159</v>
      </c>
      <c r="G75" s="275">
        <f>IFERROR(Equipment!H17,"-")</f>
        <v>4.3284407717677809</v>
      </c>
      <c r="H75" s="276">
        <f t="shared" si="2"/>
        <v>15.015282877030939</v>
      </c>
    </row>
    <row r="76" spans="2:8">
      <c r="B76" s="277" t="s">
        <v>829</v>
      </c>
      <c r="C76" s="278"/>
      <c r="D76" s="279">
        <f>SUM(D67:D75)</f>
        <v>0.9982114179004935</v>
      </c>
      <c r="E76" s="279">
        <f>SUM(E67:E75)</f>
        <v>7.0693245631585953</v>
      </c>
      <c r="F76" s="279">
        <f>SUM(F67:F75)</f>
        <v>88.894352376562068</v>
      </c>
      <c r="G76" s="279">
        <f>SUM(G67:G75)</f>
        <v>112.50504397848755</v>
      </c>
      <c r="H76" s="279">
        <f>SUM(H67:H75)</f>
        <v>201.39939635504959</v>
      </c>
    </row>
    <row r="77" spans="2:8"/>
    <row r="78" spans="2:8">
      <c r="B78" s="59" t="s">
        <v>406</v>
      </c>
    </row>
    <row r="79" spans="2:8">
      <c r="B79" s="59" t="s">
        <v>407</v>
      </c>
    </row>
    <row r="80" spans="2:8">
      <c r="B80" s="59" t="s">
        <v>408</v>
      </c>
    </row>
    <row r="81" spans="1:9"/>
    <row r="82" spans="1:9"/>
    <row r="83" spans="1:9">
      <c r="B83" s="249" t="s">
        <v>816</v>
      </c>
    </row>
    <row r="84" spans="1:9">
      <c r="B84" s="339" t="s">
        <v>9</v>
      </c>
      <c r="C84" s="339"/>
      <c r="D84" s="339"/>
      <c r="E84" s="339"/>
      <c r="F84" s="339"/>
      <c r="G84" s="339"/>
      <c r="H84" s="339"/>
      <c r="I84" s="339"/>
    </row>
    <row r="85" spans="1:9">
      <c r="A85" s="340" t="s">
        <v>817</v>
      </c>
      <c r="B85" s="250"/>
      <c r="C85" s="251">
        <f>0.7*$D$6</f>
        <v>98</v>
      </c>
      <c r="D85" s="251">
        <f>0.8*$D$6</f>
        <v>112</v>
      </c>
      <c r="E85" s="251">
        <f>0.9*$D$6</f>
        <v>126</v>
      </c>
      <c r="F85" s="251">
        <f>1*$D$6</f>
        <v>140</v>
      </c>
      <c r="G85" s="251">
        <f>1.1*$D$6</f>
        <v>154</v>
      </c>
      <c r="H85" s="251">
        <f>1.2*$D$6</f>
        <v>168</v>
      </c>
      <c r="I85" s="251">
        <f>1.3*$D$6</f>
        <v>182</v>
      </c>
    </row>
    <row r="86" spans="1:9">
      <c r="A86" s="340"/>
      <c r="B86" s="252">
        <f>0.7*$E$6</f>
        <v>6.3</v>
      </c>
      <c r="C86" s="284">
        <f t="shared" ref="C86:I92" si="3">(C$85*$B86+SUM($F$7:$F$9)-((C$85*$B86+SUM($F$7:$F$9))/$F$10*$F$38)-($F$25*C$85/$D$6)-SUM($F$13:$F$23,$F$26:$F$31,$F$33:$F$34,$F$39))</f>
        <v>13.193545288004998</v>
      </c>
      <c r="D86" s="285">
        <f t="shared" si="3"/>
        <v>98.761545288004982</v>
      </c>
      <c r="E86" s="285">
        <f t="shared" si="3"/>
        <v>184.32954528800497</v>
      </c>
      <c r="F86" s="286">
        <f t="shared" si="3"/>
        <v>269.89754528800495</v>
      </c>
      <c r="G86" s="285">
        <f t="shared" si="3"/>
        <v>355.46554528800493</v>
      </c>
      <c r="H86" s="285">
        <f t="shared" si="3"/>
        <v>441.03354528800492</v>
      </c>
      <c r="I86" s="287">
        <f t="shared" si="3"/>
        <v>526.6015452880049</v>
      </c>
    </row>
    <row r="87" spans="1:9">
      <c r="A87" s="340"/>
      <c r="B87" s="252">
        <f>0.8*$E$6</f>
        <v>7.2</v>
      </c>
      <c r="C87" s="288">
        <f t="shared" si="3"/>
        <v>100.51154528800498</v>
      </c>
      <c r="D87" s="289">
        <f t="shared" si="3"/>
        <v>198.5535452880049</v>
      </c>
      <c r="E87" s="289">
        <f t="shared" si="3"/>
        <v>296.59554528800504</v>
      </c>
      <c r="F87" s="290">
        <f t="shared" si="3"/>
        <v>394.63754528800496</v>
      </c>
      <c r="G87" s="289">
        <f t="shared" si="3"/>
        <v>492.67954528800487</v>
      </c>
      <c r="H87" s="289">
        <f t="shared" si="3"/>
        <v>590.72154528800502</v>
      </c>
      <c r="I87" s="291">
        <f t="shared" si="3"/>
        <v>688.76354528800516</v>
      </c>
    </row>
    <row r="88" spans="1:9">
      <c r="A88" s="340"/>
      <c r="B88" s="252">
        <f>0.9*$E$6</f>
        <v>8.1</v>
      </c>
      <c r="C88" s="288">
        <f t="shared" si="3"/>
        <v>187.82954528800497</v>
      </c>
      <c r="D88" s="289">
        <f t="shared" si="3"/>
        <v>298.34554528800493</v>
      </c>
      <c r="E88" s="289">
        <f t="shared" si="3"/>
        <v>408.86154528800489</v>
      </c>
      <c r="F88" s="290">
        <f t="shared" si="3"/>
        <v>519.37754528800497</v>
      </c>
      <c r="G88" s="289">
        <f t="shared" si="3"/>
        <v>629.89354528800482</v>
      </c>
      <c r="H88" s="289">
        <f t="shared" si="3"/>
        <v>740.40954528800489</v>
      </c>
      <c r="I88" s="291">
        <f t="shared" si="3"/>
        <v>850.92554528800497</v>
      </c>
    </row>
    <row r="89" spans="1:9">
      <c r="A89" s="340"/>
      <c r="B89" s="252">
        <f>1*$E$6</f>
        <v>9</v>
      </c>
      <c r="C89" s="292">
        <f t="shared" si="3"/>
        <v>275.14754528800495</v>
      </c>
      <c r="D89" s="290">
        <f t="shared" si="3"/>
        <v>398.13754528800496</v>
      </c>
      <c r="E89" s="290">
        <f t="shared" si="3"/>
        <v>521.12754528800497</v>
      </c>
      <c r="F89" s="290">
        <f t="shared" si="3"/>
        <v>644.11754528800498</v>
      </c>
      <c r="G89" s="290">
        <f t="shared" si="3"/>
        <v>767.10754528800499</v>
      </c>
      <c r="H89" s="290">
        <f t="shared" si="3"/>
        <v>890.09754528800499</v>
      </c>
      <c r="I89" s="293">
        <f t="shared" si="3"/>
        <v>1013.087545288005</v>
      </c>
    </row>
    <row r="90" spans="1:9">
      <c r="A90" s="340"/>
      <c r="B90" s="252">
        <f>1.1*$E$6</f>
        <v>9.9</v>
      </c>
      <c r="C90" s="288">
        <f t="shared" si="3"/>
        <v>362.46554528800505</v>
      </c>
      <c r="D90" s="289">
        <f t="shared" si="3"/>
        <v>497.92954528800487</v>
      </c>
      <c r="E90" s="289">
        <f t="shared" si="3"/>
        <v>633.39354528800504</v>
      </c>
      <c r="F90" s="290">
        <f t="shared" si="3"/>
        <v>768.85754528800499</v>
      </c>
      <c r="G90" s="289">
        <f t="shared" si="3"/>
        <v>904.32154528800515</v>
      </c>
      <c r="H90" s="289">
        <f t="shared" si="3"/>
        <v>1039.7855452880051</v>
      </c>
      <c r="I90" s="291">
        <f t="shared" si="3"/>
        <v>1175.249545288005</v>
      </c>
    </row>
    <row r="91" spans="1:9">
      <c r="A91" s="340"/>
      <c r="B91" s="252">
        <f>1.2*$E$6</f>
        <v>10.799999999999999</v>
      </c>
      <c r="C91" s="288">
        <f t="shared" si="3"/>
        <v>449.78354528800492</v>
      </c>
      <c r="D91" s="289">
        <f t="shared" si="3"/>
        <v>597.72154528800479</v>
      </c>
      <c r="E91" s="289">
        <f t="shared" si="3"/>
        <v>745.65954528800489</v>
      </c>
      <c r="F91" s="290">
        <f t="shared" si="3"/>
        <v>893.59754528800477</v>
      </c>
      <c r="G91" s="289">
        <f t="shared" si="3"/>
        <v>1041.5355452880049</v>
      </c>
      <c r="H91" s="289">
        <f t="shared" si="3"/>
        <v>1189.4735452880047</v>
      </c>
      <c r="I91" s="291">
        <f t="shared" si="3"/>
        <v>1337.4115452880048</v>
      </c>
    </row>
    <row r="92" spans="1:9">
      <c r="A92" s="340"/>
      <c r="B92" s="253">
        <f>1.3*$E$6</f>
        <v>11.700000000000001</v>
      </c>
      <c r="C92" s="294">
        <f t="shared" si="3"/>
        <v>537.10154528800513</v>
      </c>
      <c r="D92" s="295">
        <f t="shared" si="3"/>
        <v>697.51354528800516</v>
      </c>
      <c r="E92" s="295">
        <f t="shared" si="3"/>
        <v>857.92554528800497</v>
      </c>
      <c r="F92" s="296">
        <f t="shared" si="3"/>
        <v>1018.3375452880052</v>
      </c>
      <c r="G92" s="295">
        <f t="shared" si="3"/>
        <v>1178.7495452880053</v>
      </c>
      <c r="H92" s="295">
        <f t="shared" si="3"/>
        <v>1339.1615452880051</v>
      </c>
      <c r="I92" s="297">
        <f t="shared" si="3"/>
        <v>1499.5735452880051</v>
      </c>
    </row>
    <row r="93" spans="1:9">
      <c r="E93" s="283" t="s">
        <v>818</v>
      </c>
      <c r="F93" s="75">
        <f>F47</f>
        <v>644.11754528800498</v>
      </c>
    </row>
    <row r="938" spans="2:3" hidden="1">
      <c r="B938" s="2" t="s">
        <v>67</v>
      </c>
    </row>
    <row r="939" spans="2:3" hidden="1">
      <c r="B939" s="2" t="s">
        <v>68</v>
      </c>
      <c r="C939" s="2">
        <v>5</v>
      </c>
    </row>
    <row r="940" spans="2:3" hidden="1">
      <c r="B940" s="2" t="s">
        <v>69</v>
      </c>
      <c r="C940" s="2">
        <v>1</v>
      </c>
    </row>
    <row r="941" spans="2:3" hidden="1">
      <c r="B941" s="2" t="s">
        <v>70</v>
      </c>
      <c r="C941" s="2">
        <v>1</v>
      </c>
    </row>
    <row r="942" spans="2:3" hidden="1">
      <c r="B942" s="2" t="s">
        <v>71</v>
      </c>
      <c r="C942" s="2">
        <v>2</v>
      </c>
    </row>
    <row r="943" spans="2:3" hidden="1">
      <c r="B943" s="2" t="s">
        <v>72</v>
      </c>
      <c r="C943" s="2">
        <v>1</v>
      </c>
    </row>
    <row r="944" spans="2:3" hidden="1">
      <c r="B944" s="2" t="s">
        <v>73</v>
      </c>
      <c r="C944" s="2">
        <v>0</v>
      </c>
    </row>
    <row r="945" spans="2:3" hidden="1">
      <c r="B945" s="2" t="s">
        <v>74</v>
      </c>
      <c r="C945" s="2">
        <v>0</v>
      </c>
    </row>
    <row r="946" spans="2:3" hidden="1">
      <c r="B946" s="2" t="s">
        <v>75</v>
      </c>
      <c r="C946" s="2">
        <v>0</v>
      </c>
    </row>
    <row r="947" spans="2:3" hidden="1">
      <c r="B947" s="2" t="s">
        <v>76</v>
      </c>
      <c r="C947" s="2">
        <v>0</v>
      </c>
    </row>
    <row r="948" spans="2:3" hidden="1">
      <c r="B948" s="2" t="s">
        <v>77</v>
      </c>
      <c r="C948" s="2">
        <v>0</v>
      </c>
    </row>
    <row r="949" spans="2:3" hidden="1">
      <c r="B949" s="2" t="s">
        <v>78</v>
      </c>
      <c r="C949" s="2">
        <v>0</v>
      </c>
    </row>
    <row r="950" spans="2:3" hidden="1">
      <c r="B950" s="2" t="s">
        <v>79</v>
      </c>
      <c r="C950" s="2" t="b">
        <v>1</v>
      </c>
    </row>
    <row r="951" spans="2:3" hidden="1">
      <c r="B951" s="2" t="s">
        <v>80</v>
      </c>
      <c r="C951" s="2">
        <v>0</v>
      </c>
    </row>
    <row r="952" spans="2:3" hidden="1">
      <c r="B952" s="2" t="s">
        <v>81</v>
      </c>
      <c r="C952" s="2" t="b">
        <v>1</v>
      </c>
    </row>
    <row r="953" spans="2:3" hidden="1">
      <c r="B953" s="2" t="s">
        <v>82</v>
      </c>
      <c r="C953" s="2">
        <v>0</v>
      </c>
    </row>
    <row r="954" spans="2:3" hidden="1">
      <c r="B954" s="2" t="s">
        <v>83</v>
      </c>
      <c r="C954" s="2">
        <v>0</v>
      </c>
    </row>
    <row r="955" spans="2:3" hidden="1">
      <c r="B955" s="2" t="s">
        <v>84</v>
      </c>
      <c r="C955" s="2" t="b">
        <v>1</v>
      </c>
    </row>
    <row r="956" spans="2:3" hidden="1">
      <c r="B956" s="2" t="s">
        <v>85</v>
      </c>
      <c r="C956" s="2">
        <v>0</v>
      </c>
    </row>
    <row r="957" spans="2:3" hidden="1">
      <c r="B957" s="2" t="s">
        <v>86</v>
      </c>
      <c r="C957" s="2">
        <v>0</v>
      </c>
    </row>
    <row r="958" spans="2:3" hidden="1">
      <c r="B958" s="2" t="s">
        <v>87</v>
      </c>
      <c r="C958" s="2">
        <v>0</v>
      </c>
    </row>
    <row r="959" spans="2:3" hidden="1">
      <c r="B959" s="2" t="s">
        <v>88</v>
      </c>
      <c r="C959" s="2">
        <v>0</v>
      </c>
    </row>
    <row r="960" spans="2:3" hidden="1">
      <c r="B960" s="2" t="s">
        <v>89</v>
      </c>
      <c r="C960" s="2" t="s">
        <v>385</v>
      </c>
    </row>
    <row r="961" spans="2:3" hidden="1">
      <c r="B961" s="2" t="s">
        <v>90</v>
      </c>
      <c r="C961" s="2">
        <v>100</v>
      </c>
    </row>
    <row r="962" spans="2:3" hidden="1">
      <c r="B962" s="2" t="s">
        <v>91</v>
      </c>
      <c r="C962" s="2">
        <v>25</v>
      </c>
    </row>
    <row r="963" spans="2:3" hidden="1">
      <c r="B963" s="2" t="s">
        <v>92</v>
      </c>
      <c r="C963" s="2">
        <v>9</v>
      </c>
    </row>
    <row r="964" spans="2:3" hidden="1">
      <c r="B964" s="2" t="s">
        <v>93</v>
      </c>
      <c r="C964" s="2">
        <v>0</v>
      </c>
    </row>
    <row r="965" spans="2:3" hidden="1">
      <c r="B965" s="2" t="s">
        <v>94</v>
      </c>
      <c r="C965" s="2">
        <v>0</v>
      </c>
    </row>
    <row r="966" spans="2:3" hidden="1">
      <c r="B966" s="2" t="s">
        <v>95</v>
      </c>
      <c r="C966" s="2">
        <v>0</v>
      </c>
    </row>
    <row r="967" spans="2:3" hidden="1">
      <c r="B967" s="2" t="s">
        <v>96</v>
      </c>
      <c r="C967" s="2">
        <v>0</v>
      </c>
    </row>
    <row r="968" spans="2:3" hidden="1">
      <c r="B968" s="2" t="s">
        <v>97</v>
      </c>
      <c r="C968" s="2">
        <v>0</v>
      </c>
    </row>
    <row r="969" spans="2:3" hidden="1">
      <c r="B969" s="2" t="s">
        <v>98</v>
      </c>
      <c r="C969" s="2">
        <v>60</v>
      </c>
    </row>
    <row r="970" spans="2:3" hidden="1">
      <c r="B970" s="2" t="s">
        <v>99</v>
      </c>
      <c r="C970" s="2">
        <v>0</v>
      </c>
    </row>
    <row r="971" spans="2:3" hidden="1">
      <c r="B971" s="2" t="s">
        <v>100</v>
      </c>
      <c r="C971" s="2">
        <v>0</v>
      </c>
    </row>
    <row r="972" spans="2:3" hidden="1">
      <c r="B972" s="2" t="s">
        <v>101</v>
      </c>
      <c r="C972" s="2">
        <v>0</v>
      </c>
    </row>
    <row r="973" spans="2:3" hidden="1">
      <c r="B973" s="2" t="s">
        <v>102</v>
      </c>
      <c r="C973" s="2">
        <v>0</v>
      </c>
    </row>
    <row r="974" spans="2:3" hidden="1">
      <c r="B974" s="2" t="s">
        <v>103</v>
      </c>
      <c r="C974" s="2">
        <v>0</v>
      </c>
    </row>
    <row r="975" spans="2:3" hidden="1">
      <c r="B975" s="2" t="s">
        <v>104</v>
      </c>
      <c r="C975" s="2">
        <v>200000</v>
      </c>
    </row>
    <row r="976" spans="2:3" hidden="1">
      <c r="B976" s="2" t="s">
        <v>105</v>
      </c>
      <c r="C976" s="2">
        <v>0</v>
      </c>
    </row>
    <row r="977" spans="2:3" hidden="1">
      <c r="B977" s="2" t="s">
        <v>106</v>
      </c>
      <c r="C977" s="2">
        <v>0</v>
      </c>
    </row>
    <row r="978" spans="2:3" hidden="1">
      <c r="B978" s="2" t="s">
        <v>107</v>
      </c>
      <c r="C978" s="2">
        <v>0</v>
      </c>
    </row>
    <row r="979" spans="2:3" hidden="1">
      <c r="B979" s="2" t="s">
        <v>108</v>
      </c>
      <c r="C979" s="2">
        <v>0</v>
      </c>
    </row>
    <row r="980" spans="2:3" hidden="1">
      <c r="B980" s="2" t="s">
        <v>109</v>
      </c>
      <c r="C980" s="2">
        <v>0</v>
      </c>
    </row>
    <row r="981" spans="2:3" hidden="1">
      <c r="B981" s="2" t="s">
        <v>110</v>
      </c>
      <c r="C981" s="2">
        <v>0</v>
      </c>
    </row>
    <row r="982" spans="2:3" hidden="1">
      <c r="B982" s="2" t="s">
        <v>111</v>
      </c>
      <c r="C982" s="2">
        <v>0</v>
      </c>
    </row>
    <row r="983" spans="2:3" hidden="1">
      <c r="B983" s="2" t="s">
        <v>112</v>
      </c>
      <c r="C983" s="2">
        <v>20</v>
      </c>
    </row>
    <row r="984" spans="2:3" hidden="1">
      <c r="B984" s="2" t="s">
        <v>113</v>
      </c>
      <c r="C984" s="2">
        <v>35</v>
      </c>
    </row>
    <row r="985" spans="2:3" hidden="1">
      <c r="B985" s="2" t="s">
        <v>114</v>
      </c>
      <c r="C985" s="2">
        <v>0</v>
      </c>
    </row>
    <row r="986" spans="2:3" hidden="1">
      <c r="B986" s="2" t="s">
        <v>115</v>
      </c>
      <c r="C986" s="2">
        <v>0</v>
      </c>
    </row>
    <row r="987" spans="2:3" hidden="1">
      <c r="B987" s="2" t="s">
        <v>116</v>
      </c>
      <c r="C987" s="2">
        <v>0</v>
      </c>
    </row>
    <row r="988" spans="2:3" hidden="1">
      <c r="B988" s="2" t="s">
        <v>117</v>
      </c>
      <c r="C988" s="2">
        <v>0</v>
      </c>
    </row>
    <row r="989" spans="2:3" hidden="1">
      <c r="B989" s="2" t="s">
        <v>118</v>
      </c>
      <c r="C989" s="2">
        <v>0</v>
      </c>
    </row>
    <row r="990" spans="2:3" hidden="1">
      <c r="B990" s="2" t="s">
        <v>119</v>
      </c>
      <c r="C990" s="2">
        <v>0</v>
      </c>
    </row>
    <row r="991" spans="2:3" hidden="1">
      <c r="B991" s="2" t="s">
        <v>120</v>
      </c>
      <c r="C991" s="2">
        <v>0.49</v>
      </c>
    </row>
    <row r="992" spans="2:3" hidden="1">
      <c r="B992" s="2" t="s">
        <v>121</v>
      </c>
      <c r="C992" s="2">
        <v>0.4</v>
      </c>
    </row>
    <row r="993" spans="2:3" hidden="1">
      <c r="B993" s="2" t="s">
        <v>122</v>
      </c>
      <c r="C993" s="2">
        <v>0</v>
      </c>
    </row>
    <row r="994" spans="2:3" hidden="1">
      <c r="B994" s="2" t="s">
        <v>123</v>
      </c>
      <c r="C994" s="2">
        <v>0</v>
      </c>
    </row>
    <row r="995" spans="2:3" hidden="1">
      <c r="B995" s="2" t="s">
        <v>124</v>
      </c>
      <c r="C995" s="2">
        <v>0</v>
      </c>
    </row>
    <row r="996" spans="2:3" hidden="1">
      <c r="B996" s="2" t="s">
        <v>125</v>
      </c>
      <c r="C996" s="2">
        <v>0</v>
      </c>
    </row>
    <row r="997" spans="2:3" hidden="1">
      <c r="B997" s="2" t="s">
        <v>126</v>
      </c>
      <c r="C997" s="2">
        <v>0</v>
      </c>
    </row>
    <row r="998" spans="2:3" hidden="1">
      <c r="B998" s="2" t="s">
        <v>127</v>
      </c>
      <c r="C998" s="2">
        <v>0</v>
      </c>
    </row>
    <row r="999" spans="2:3" hidden="1">
      <c r="B999" s="2" t="s">
        <v>128</v>
      </c>
      <c r="C999" s="2">
        <v>1</v>
      </c>
    </row>
    <row r="1000" spans="2:3" hidden="1">
      <c r="B1000" s="2" t="s">
        <v>129</v>
      </c>
      <c r="C1000" s="2">
        <v>0</v>
      </c>
    </row>
    <row r="1001" spans="2:3" hidden="1">
      <c r="B1001" s="2" t="s">
        <v>130</v>
      </c>
      <c r="C1001" s="2">
        <v>0</v>
      </c>
    </row>
    <row r="1002" spans="2:3" hidden="1">
      <c r="B1002" s="2" t="s">
        <v>131</v>
      </c>
      <c r="C1002" s="2">
        <v>1</v>
      </c>
    </row>
    <row r="1003" spans="2:3" hidden="1">
      <c r="B1003" s="2" t="s">
        <v>132</v>
      </c>
      <c r="C1003" s="2">
        <v>0</v>
      </c>
    </row>
    <row r="1004" spans="2:3" hidden="1">
      <c r="B1004" s="2" t="s">
        <v>133</v>
      </c>
      <c r="C1004" s="2">
        <v>0</v>
      </c>
    </row>
    <row r="1005" spans="2:3" hidden="1">
      <c r="B1005" s="2" t="s">
        <v>134</v>
      </c>
      <c r="C1005" s="2">
        <v>0</v>
      </c>
    </row>
    <row r="1006" spans="2:3" hidden="1">
      <c r="B1006" s="2" t="s">
        <v>135</v>
      </c>
      <c r="C1006" s="2">
        <v>0</v>
      </c>
    </row>
    <row r="1007" spans="2:3" hidden="1">
      <c r="B1007" s="2" t="s">
        <v>136</v>
      </c>
      <c r="C1007" s="2">
        <v>8.75</v>
      </c>
    </row>
    <row r="1008" spans="2:3" hidden="1">
      <c r="B1008" s="2" t="s">
        <v>137</v>
      </c>
      <c r="C1008" s="2">
        <v>0</v>
      </c>
    </row>
    <row r="1009" spans="2:3" hidden="1">
      <c r="B1009" s="2" t="s">
        <v>138</v>
      </c>
      <c r="C1009" s="2">
        <v>0</v>
      </c>
    </row>
    <row r="1010" spans="2:3" hidden="1">
      <c r="B1010" s="2" t="s">
        <v>139</v>
      </c>
      <c r="C1010" s="2">
        <v>0</v>
      </c>
    </row>
    <row r="1011" spans="2:3" hidden="1">
      <c r="B1011" s="2" t="s">
        <v>140</v>
      </c>
      <c r="C1011" s="2">
        <v>0</v>
      </c>
    </row>
    <row r="1012" spans="2:3" hidden="1">
      <c r="B1012" s="2" t="s">
        <v>141</v>
      </c>
      <c r="C1012" s="2">
        <v>0</v>
      </c>
    </row>
    <row r="1013" spans="2:3" hidden="1">
      <c r="B1013" s="2" t="s">
        <v>142</v>
      </c>
      <c r="C1013" s="2">
        <v>0</v>
      </c>
    </row>
    <row r="1014" spans="2:3" hidden="1">
      <c r="B1014" s="2" t="s">
        <v>143</v>
      </c>
      <c r="C1014" s="2">
        <v>0</v>
      </c>
    </row>
    <row r="1015" spans="2:3" hidden="1">
      <c r="B1015" s="2" t="s">
        <v>144</v>
      </c>
      <c r="C1015" s="2">
        <v>0</v>
      </c>
    </row>
    <row r="1016" spans="2:3" hidden="1">
      <c r="B1016" s="2" t="s">
        <v>145</v>
      </c>
      <c r="C1016" s="2">
        <v>0</v>
      </c>
    </row>
    <row r="1017" spans="2:3" hidden="1">
      <c r="B1017" s="2" t="s">
        <v>146</v>
      </c>
      <c r="C1017" s="2">
        <v>0</v>
      </c>
    </row>
    <row r="1018" spans="2:3" hidden="1">
      <c r="B1018" s="2" t="s">
        <v>147</v>
      </c>
      <c r="C1018" s="2">
        <v>0</v>
      </c>
    </row>
    <row r="1019" spans="2:3" hidden="1">
      <c r="B1019" s="2" t="s">
        <v>148</v>
      </c>
      <c r="C1019" s="2">
        <v>0</v>
      </c>
    </row>
    <row r="1020" spans="2:3" hidden="1">
      <c r="B1020" s="2" t="s">
        <v>149</v>
      </c>
      <c r="C1020" s="2">
        <v>0</v>
      </c>
    </row>
    <row r="1021" spans="2:3" hidden="1">
      <c r="B1021" s="2" t="s">
        <v>150</v>
      </c>
      <c r="C1021" s="2">
        <v>0</v>
      </c>
    </row>
    <row r="1022" spans="2:3" hidden="1">
      <c r="B1022" s="2" t="s">
        <v>151</v>
      </c>
      <c r="C1022" s="2">
        <v>0.5</v>
      </c>
    </row>
    <row r="1023" spans="2:3" hidden="1">
      <c r="B1023" s="2" t="s">
        <v>152</v>
      </c>
      <c r="C1023" s="2">
        <v>13.5</v>
      </c>
    </row>
    <row r="1024" spans="2:3" hidden="1">
      <c r="B1024" s="2" t="s">
        <v>153</v>
      </c>
      <c r="C1024" s="2">
        <v>18</v>
      </c>
    </row>
    <row r="1025" spans="2:3" hidden="1">
      <c r="B1025" s="2" t="s">
        <v>154</v>
      </c>
      <c r="C1025" s="2">
        <v>0</v>
      </c>
    </row>
    <row r="1026" spans="2:3" hidden="1">
      <c r="B1026" s="2" t="s">
        <v>155</v>
      </c>
      <c r="C1026" s="2">
        <v>0</v>
      </c>
    </row>
    <row r="1027" spans="2:3" hidden="1">
      <c r="B1027" s="2" t="s">
        <v>156</v>
      </c>
      <c r="C1027" s="2">
        <v>0</v>
      </c>
    </row>
    <row r="1028" spans="2:3" hidden="1">
      <c r="B1028" s="2" t="s">
        <v>157</v>
      </c>
      <c r="C1028" s="2">
        <v>3600</v>
      </c>
    </row>
    <row r="1029" spans="2:3" hidden="1">
      <c r="B1029" s="2" t="s">
        <v>158</v>
      </c>
      <c r="C1029" s="2">
        <v>0</v>
      </c>
    </row>
    <row r="1030" spans="2:3" hidden="1">
      <c r="B1030" s="2" t="s">
        <v>159</v>
      </c>
      <c r="C1030" s="2">
        <v>0</v>
      </c>
    </row>
    <row r="1031" spans="2:3" hidden="1">
      <c r="B1031" s="2" t="s">
        <v>160</v>
      </c>
      <c r="C1031" s="2">
        <v>0</v>
      </c>
    </row>
    <row r="1032" spans="2:3" hidden="1">
      <c r="B1032" s="2" t="s">
        <v>161</v>
      </c>
      <c r="C1032" s="2">
        <v>0</v>
      </c>
    </row>
    <row r="1033" spans="2:3" hidden="1">
      <c r="B1033" s="2" t="s">
        <v>162</v>
      </c>
      <c r="C1033" s="2">
        <v>6</v>
      </c>
    </row>
    <row r="1034" spans="2:3" hidden="1">
      <c r="B1034" s="2" t="s">
        <v>163</v>
      </c>
      <c r="C1034" s="2">
        <v>3.65</v>
      </c>
    </row>
    <row r="1035" spans="2:3" hidden="1">
      <c r="B1035" s="2" t="s">
        <v>164</v>
      </c>
      <c r="C1035" s="2">
        <v>3.38</v>
      </c>
    </row>
    <row r="1036" spans="2:3" hidden="1">
      <c r="B1036" s="2" t="s">
        <v>165</v>
      </c>
      <c r="C1036" s="2">
        <v>0</v>
      </c>
    </row>
    <row r="1037" spans="2:3" hidden="1">
      <c r="B1037" s="2" t="s">
        <v>166</v>
      </c>
      <c r="C1037" s="2">
        <v>0</v>
      </c>
    </row>
    <row r="1038" spans="2:3" hidden="1">
      <c r="B1038" s="2" t="s">
        <v>167</v>
      </c>
      <c r="C1038" s="2">
        <v>0</v>
      </c>
    </row>
    <row r="1039" spans="2:3" hidden="1">
      <c r="B1039" s="2" t="s">
        <v>168</v>
      </c>
      <c r="C1039" s="2">
        <v>0</v>
      </c>
    </row>
    <row r="1040" spans="2:3" hidden="1">
      <c r="B1040" s="2" t="s">
        <v>169</v>
      </c>
      <c r="C1040" s="2">
        <v>0</v>
      </c>
    </row>
    <row r="1041" spans="2:3" hidden="1">
      <c r="B1041" s="2" t="s">
        <v>170</v>
      </c>
      <c r="C1041" s="2">
        <v>0</v>
      </c>
    </row>
    <row r="1042" spans="2:3" hidden="1">
      <c r="B1042" s="2" t="s">
        <v>171</v>
      </c>
      <c r="C1042" s="2">
        <v>0</v>
      </c>
    </row>
    <row r="1043" spans="2:3" hidden="1">
      <c r="B1043" s="2" t="s">
        <v>172</v>
      </c>
      <c r="C1043" s="2">
        <v>0</v>
      </c>
    </row>
    <row r="1044" spans="2:3" hidden="1">
      <c r="B1044" s="2" t="s">
        <v>173</v>
      </c>
      <c r="C1044" s="2">
        <v>0</v>
      </c>
    </row>
    <row r="1045" spans="2:3" hidden="1">
      <c r="B1045" s="2" t="s">
        <v>174</v>
      </c>
      <c r="C1045" s="2">
        <v>5</v>
      </c>
    </row>
    <row r="1046" spans="2:3" hidden="1">
      <c r="B1046" s="2" t="s">
        <v>175</v>
      </c>
      <c r="C1046" s="2">
        <v>0</v>
      </c>
    </row>
    <row r="1047" spans="2:3" hidden="1">
      <c r="B1047" s="2" t="s">
        <v>176</v>
      </c>
      <c r="C1047" s="2">
        <v>0</v>
      </c>
    </row>
    <row r="1048" spans="2:3" hidden="1">
      <c r="B1048" s="2" t="s">
        <v>177</v>
      </c>
      <c r="C1048" s="2">
        <v>0</v>
      </c>
    </row>
    <row r="1049" spans="2:3" hidden="1">
      <c r="B1049" s="2" t="s">
        <v>178</v>
      </c>
      <c r="C1049" s="2">
        <v>6800</v>
      </c>
    </row>
    <row r="1050" spans="2:3" hidden="1">
      <c r="B1050" s="2" t="s">
        <v>179</v>
      </c>
      <c r="C1050" s="2">
        <v>0</v>
      </c>
    </row>
    <row r="1051" spans="2:3" hidden="1">
      <c r="B1051" s="2" t="s">
        <v>180</v>
      </c>
      <c r="C1051" s="2">
        <v>0</v>
      </c>
    </row>
    <row r="1052" spans="2:3" hidden="1">
      <c r="B1052" s="2" t="s">
        <v>181</v>
      </c>
      <c r="C1052" s="2">
        <v>8500</v>
      </c>
    </row>
    <row r="1053" spans="2:3" hidden="1">
      <c r="B1053" s="2" t="s">
        <v>182</v>
      </c>
      <c r="C1053" s="2">
        <v>0</v>
      </c>
    </row>
    <row r="1054" spans="2:3" hidden="1">
      <c r="B1054" s="2" t="s">
        <v>183</v>
      </c>
      <c r="C1054" s="2">
        <v>15000</v>
      </c>
    </row>
    <row r="1055" spans="2:3" hidden="1">
      <c r="B1055" s="2" t="s">
        <v>184</v>
      </c>
      <c r="C1055" s="2">
        <v>3</v>
      </c>
    </row>
    <row r="1056" spans="2:3" hidden="1">
      <c r="B1056" s="2" t="s">
        <v>185</v>
      </c>
      <c r="C1056" s="2">
        <v>0</v>
      </c>
    </row>
    <row r="1057" spans="2:3" hidden="1">
      <c r="B1057" s="2" t="s">
        <v>186</v>
      </c>
      <c r="C1057" s="2">
        <v>0</v>
      </c>
    </row>
    <row r="1058" spans="2:3" hidden="1">
      <c r="B1058" s="2" t="s">
        <v>187</v>
      </c>
      <c r="C1058" s="2">
        <v>0</v>
      </c>
    </row>
    <row r="1059" spans="2:3" hidden="1">
      <c r="B1059" s="2" t="s">
        <v>188</v>
      </c>
      <c r="C1059" s="2">
        <v>0</v>
      </c>
    </row>
    <row r="1060" spans="2:3" hidden="1">
      <c r="B1060" s="2" t="s">
        <v>189</v>
      </c>
      <c r="C1060" s="2">
        <v>0</v>
      </c>
    </row>
    <row r="1061" spans="2:3" hidden="1">
      <c r="B1061" s="2" t="s">
        <v>190</v>
      </c>
      <c r="C1061" s="2">
        <v>0</v>
      </c>
    </row>
    <row r="1062" spans="2:3" hidden="1">
      <c r="B1062" s="2" t="s">
        <v>191</v>
      </c>
      <c r="C1062" s="2">
        <v>0</v>
      </c>
    </row>
    <row r="1063" spans="2:3" hidden="1">
      <c r="B1063" s="2" t="s">
        <v>192</v>
      </c>
      <c r="C1063" s="2">
        <v>0</v>
      </c>
    </row>
    <row r="1064" spans="2:3" hidden="1">
      <c r="B1064" s="2" t="s">
        <v>193</v>
      </c>
      <c r="C1064" s="2">
        <v>0</v>
      </c>
    </row>
    <row r="1065" spans="2:3" hidden="1">
      <c r="B1065" s="2" t="s">
        <v>194</v>
      </c>
      <c r="C1065" s="2">
        <v>0</v>
      </c>
    </row>
    <row r="1066" spans="2:3" hidden="1">
      <c r="B1066" s="2" t="s">
        <v>195</v>
      </c>
      <c r="C1066" s="2">
        <v>0</v>
      </c>
    </row>
    <row r="1067" spans="2:3" hidden="1">
      <c r="B1067" s="2" t="s">
        <v>196</v>
      </c>
      <c r="C1067" s="2">
        <v>0</v>
      </c>
    </row>
    <row r="1068" spans="2:3" hidden="1">
      <c r="B1068" s="2" t="s">
        <v>197</v>
      </c>
      <c r="C1068" s="2">
        <v>0</v>
      </c>
    </row>
    <row r="1069" spans="2:3" hidden="1">
      <c r="B1069" s="2" t="s">
        <v>198</v>
      </c>
      <c r="C1069" s="2">
        <v>0</v>
      </c>
    </row>
    <row r="1070" spans="2:3" hidden="1">
      <c r="B1070" s="2" t="s">
        <v>199</v>
      </c>
      <c r="C1070" s="2">
        <v>0</v>
      </c>
    </row>
    <row r="1071" spans="2:3" hidden="1">
      <c r="B1071" s="2" t="s">
        <v>200</v>
      </c>
      <c r="C1071" s="2">
        <v>0</v>
      </c>
    </row>
    <row r="1072" spans="2:3" hidden="1">
      <c r="B1072" s="2" t="s">
        <v>201</v>
      </c>
      <c r="C1072" s="2">
        <v>0</v>
      </c>
    </row>
    <row r="1073" spans="2:3" hidden="1">
      <c r="B1073" s="2" t="s">
        <v>202</v>
      </c>
      <c r="C1073" s="2">
        <v>0</v>
      </c>
    </row>
    <row r="1074" spans="2:3" hidden="1">
      <c r="B1074" s="2" t="s">
        <v>203</v>
      </c>
      <c r="C1074" s="2">
        <v>0</v>
      </c>
    </row>
    <row r="1075" spans="2:3" hidden="1">
      <c r="B1075" s="2" t="s">
        <v>204</v>
      </c>
      <c r="C1075" s="2">
        <v>0</v>
      </c>
    </row>
    <row r="1076" spans="2:3" hidden="1">
      <c r="B1076" s="2" t="s">
        <v>205</v>
      </c>
      <c r="C1076" s="2">
        <v>0</v>
      </c>
    </row>
    <row r="1077" spans="2:3" hidden="1">
      <c r="B1077" s="2" t="s">
        <v>206</v>
      </c>
      <c r="C1077" s="2">
        <v>0</v>
      </c>
    </row>
    <row r="1078" spans="2:3" hidden="1">
      <c r="B1078" s="2" t="s">
        <v>207</v>
      </c>
      <c r="C1078" s="2">
        <v>0</v>
      </c>
    </row>
    <row r="1079" spans="2:3" hidden="1">
      <c r="B1079" s="2" t="s">
        <v>208</v>
      </c>
      <c r="C1079" s="2">
        <v>0</v>
      </c>
    </row>
    <row r="1080" spans="2:3" hidden="1">
      <c r="B1080" s="2" t="s">
        <v>209</v>
      </c>
      <c r="C1080" s="2">
        <v>0</v>
      </c>
    </row>
    <row r="1081" spans="2:3" hidden="1">
      <c r="B1081" s="2" t="s">
        <v>210</v>
      </c>
      <c r="C1081" s="2">
        <v>0</v>
      </c>
    </row>
    <row r="1082" spans="2:3" hidden="1">
      <c r="B1082" s="2" t="s">
        <v>211</v>
      </c>
      <c r="C1082" s="2">
        <v>0</v>
      </c>
    </row>
    <row r="1083" spans="2:3" hidden="1">
      <c r="B1083" s="2" t="s">
        <v>212</v>
      </c>
      <c r="C1083" s="2">
        <v>0</v>
      </c>
    </row>
    <row r="1084" spans="2:3" hidden="1">
      <c r="B1084" s="2" t="s">
        <v>213</v>
      </c>
      <c r="C1084" s="2">
        <v>0</v>
      </c>
    </row>
    <row r="1085" spans="2:3" hidden="1">
      <c r="B1085" s="2" t="s">
        <v>214</v>
      </c>
      <c r="C1085" s="2">
        <v>0</v>
      </c>
    </row>
    <row r="1086" spans="2:3" hidden="1">
      <c r="B1086" s="2" t="s">
        <v>215</v>
      </c>
      <c r="C1086" s="2">
        <v>0</v>
      </c>
    </row>
    <row r="1087" spans="2:3" hidden="1">
      <c r="B1087" s="2" t="s">
        <v>216</v>
      </c>
      <c r="C1087" s="2">
        <v>0</v>
      </c>
    </row>
    <row r="1088" spans="2:3" hidden="1">
      <c r="B1088" s="2" t="s">
        <v>217</v>
      </c>
      <c r="C1088" s="2" t="s">
        <v>218</v>
      </c>
    </row>
    <row r="1089" spans="2:3" hidden="1">
      <c r="B1089" s="2" t="s">
        <v>219</v>
      </c>
      <c r="C1089" s="2" t="s">
        <v>220</v>
      </c>
    </row>
    <row r="1090" spans="2:3" hidden="1">
      <c r="B1090" s="2" t="s">
        <v>221</v>
      </c>
      <c r="C1090" s="2" t="s">
        <v>222</v>
      </c>
    </row>
    <row r="1091" spans="2:3" hidden="1">
      <c r="B1091" s="2" t="s">
        <v>223</v>
      </c>
      <c r="C1091" s="2" t="s">
        <v>224</v>
      </c>
    </row>
    <row r="1092" spans="2:3" hidden="1">
      <c r="B1092" s="2" t="s">
        <v>225</v>
      </c>
      <c r="C1092" s="2" t="s">
        <v>226</v>
      </c>
    </row>
    <row r="1093" spans="2:3" hidden="1">
      <c r="B1093" s="2" t="s">
        <v>227</v>
      </c>
      <c r="C1093" s="2" t="s">
        <v>228</v>
      </c>
    </row>
    <row r="1094" spans="2:3" hidden="1">
      <c r="B1094" s="2" t="s">
        <v>229</v>
      </c>
      <c r="C1094" s="2" t="s">
        <v>230</v>
      </c>
    </row>
    <row r="1095" spans="2:3" hidden="1">
      <c r="B1095" s="2" t="s">
        <v>231</v>
      </c>
      <c r="C1095" s="2" t="s">
        <v>232</v>
      </c>
    </row>
    <row r="1096" spans="2:3" hidden="1">
      <c r="B1096" s="2" t="s">
        <v>233</v>
      </c>
      <c r="C1096" s="2" t="s">
        <v>234</v>
      </c>
    </row>
    <row r="1097" spans="2:3" hidden="1">
      <c r="B1097" s="2" t="s">
        <v>235</v>
      </c>
      <c r="C1097" s="2" t="s">
        <v>236</v>
      </c>
    </row>
    <row r="1098" spans="2:3" hidden="1">
      <c r="B1098" s="2" t="s">
        <v>237</v>
      </c>
      <c r="C1098" s="2" t="s">
        <v>238</v>
      </c>
    </row>
    <row r="1099" spans="2:3" hidden="1">
      <c r="B1099" s="2" t="s">
        <v>239</v>
      </c>
      <c r="C1099" s="2" t="s">
        <v>240</v>
      </c>
    </row>
    <row r="1100" spans="2:3" hidden="1">
      <c r="B1100" s="2" t="s">
        <v>241</v>
      </c>
      <c r="C1100" s="2" t="s">
        <v>238</v>
      </c>
    </row>
    <row r="1101" spans="2:3" hidden="1">
      <c r="B1101" s="2" t="s">
        <v>242</v>
      </c>
      <c r="C1101" s="2" t="s">
        <v>230</v>
      </c>
    </row>
    <row r="1102" spans="2:3" hidden="1">
      <c r="B1102" s="2" t="s">
        <v>243</v>
      </c>
      <c r="C1102" s="2" t="s">
        <v>218</v>
      </c>
    </row>
    <row r="1103" spans="2:3" hidden="1">
      <c r="B1103" s="2" t="s">
        <v>244</v>
      </c>
      <c r="C1103" s="2" t="s">
        <v>238</v>
      </c>
    </row>
    <row r="1104" spans="2:3" hidden="1">
      <c r="B1104" s="2" t="s">
        <v>245</v>
      </c>
      <c r="C1104" s="2" t="s">
        <v>238</v>
      </c>
    </row>
    <row r="1105" spans="2:3" hidden="1">
      <c r="B1105" s="2" t="s">
        <v>246</v>
      </c>
      <c r="C1105" s="2" t="s">
        <v>226</v>
      </c>
    </row>
    <row r="1106" spans="2:3" hidden="1">
      <c r="B1106" s="2" t="s">
        <v>247</v>
      </c>
      <c r="C1106" s="2" t="s">
        <v>248</v>
      </c>
    </row>
    <row r="1107" spans="2:3" hidden="1">
      <c r="B1107" s="2" t="s">
        <v>249</v>
      </c>
      <c r="C1107" s="2" t="s">
        <v>222</v>
      </c>
    </row>
    <row r="1108" spans="2:3" hidden="1">
      <c r="B1108" s="2" t="s">
        <v>250</v>
      </c>
      <c r="C1108" s="2" t="s">
        <v>248</v>
      </c>
    </row>
    <row r="1109" spans="2:3" hidden="1">
      <c r="B1109" s="2" t="s">
        <v>251</v>
      </c>
      <c r="C1109" s="2" t="s">
        <v>252</v>
      </c>
    </row>
    <row r="1110" spans="2:3" hidden="1">
      <c r="B1110" s="2" t="s">
        <v>253</v>
      </c>
      <c r="C1110" s="2" t="s">
        <v>254</v>
      </c>
    </row>
    <row r="1111" spans="2:3" hidden="1">
      <c r="B1111" s="2" t="s">
        <v>255</v>
      </c>
      <c r="C1111" s="2" t="s">
        <v>256</v>
      </c>
    </row>
    <row r="1112" spans="2:3" hidden="1">
      <c r="B1112" s="2" t="s">
        <v>257</v>
      </c>
      <c r="C1112" s="2" t="s">
        <v>218</v>
      </c>
    </row>
    <row r="1113" spans="2:3" hidden="1">
      <c r="B1113" s="2" t="s">
        <v>258</v>
      </c>
      <c r="C1113" s="2" t="s">
        <v>226</v>
      </c>
    </row>
    <row r="1114" spans="2:3" hidden="1">
      <c r="B1114" s="2" t="s">
        <v>259</v>
      </c>
      <c r="C1114" s="2" t="s">
        <v>260</v>
      </c>
    </row>
    <row r="1115" spans="2:3" hidden="1">
      <c r="B1115" s="2" t="s">
        <v>261</v>
      </c>
      <c r="C1115" s="2" t="s">
        <v>262</v>
      </c>
    </row>
    <row r="1116" spans="2:3" hidden="1">
      <c r="B1116" s="2" t="s">
        <v>263</v>
      </c>
      <c r="C1116" s="2">
        <v>0</v>
      </c>
    </row>
    <row r="1117" spans="2:3" hidden="1">
      <c r="B1117" s="2" t="s">
        <v>264</v>
      </c>
      <c r="C1117" s="2">
        <v>0</v>
      </c>
    </row>
    <row r="1118" spans="2:3" hidden="1">
      <c r="B1118" s="2" t="s">
        <v>265</v>
      </c>
      <c r="C1118" s="2">
        <v>0</v>
      </c>
    </row>
    <row r="1119" spans="2:3" hidden="1">
      <c r="B1119" s="2" t="s">
        <v>266</v>
      </c>
      <c r="C1119" s="2">
        <v>0</v>
      </c>
    </row>
    <row r="1120" spans="2:3" hidden="1">
      <c r="B1120" s="2" t="s">
        <v>268</v>
      </c>
      <c r="C1120" s="2">
        <v>0</v>
      </c>
    </row>
    <row r="1121" spans="2:3" hidden="1">
      <c r="B1121" s="2" t="s">
        <v>269</v>
      </c>
      <c r="C1121" s="2">
        <v>0</v>
      </c>
    </row>
    <row r="1122" spans="2:3" hidden="1">
      <c r="B1122" s="2" t="s">
        <v>270</v>
      </c>
      <c r="C1122" s="2">
        <v>0</v>
      </c>
    </row>
    <row r="1123" spans="2:3" hidden="1">
      <c r="B1123" s="2" t="s">
        <v>271</v>
      </c>
      <c r="C1123" s="2">
        <v>0</v>
      </c>
    </row>
    <row r="1124" spans="2:3" hidden="1">
      <c r="B1124" s="2" t="s">
        <v>272</v>
      </c>
      <c r="C1124" s="2">
        <v>0</v>
      </c>
    </row>
    <row r="1125" spans="2:3" hidden="1">
      <c r="B1125" s="2" t="s">
        <v>273</v>
      </c>
      <c r="C1125" s="2">
        <v>0</v>
      </c>
    </row>
    <row r="1126" spans="2:3" hidden="1">
      <c r="B1126" s="2" t="s">
        <v>274</v>
      </c>
      <c r="C1126" s="2">
        <v>0</v>
      </c>
    </row>
    <row r="1127" spans="2:3" hidden="1">
      <c r="B1127" s="2" t="s">
        <v>275</v>
      </c>
      <c r="C1127" s="2" t="s">
        <v>276</v>
      </c>
    </row>
    <row r="1128" spans="2:3" hidden="1">
      <c r="B1128" s="2" t="s">
        <v>277</v>
      </c>
      <c r="C1128" s="2">
        <v>0</v>
      </c>
    </row>
    <row r="1129" spans="2:3" hidden="1">
      <c r="B1129" s="2" t="s">
        <v>278</v>
      </c>
      <c r="C1129" s="2">
        <v>0</v>
      </c>
    </row>
    <row r="1130" spans="2:3" hidden="1">
      <c r="B1130" s="2" t="s">
        <v>279</v>
      </c>
      <c r="C1130" s="2">
        <v>0</v>
      </c>
    </row>
    <row r="1131" spans="2:3" hidden="1">
      <c r="B1131" s="2" t="s">
        <v>280</v>
      </c>
      <c r="C1131" s="2">
        <v>0</v>
      </c>
    </row>
    <row r="1132" spans="2:3" hidden="1">
      <c r="B1132" s="2" t="s">
        <v>281</v>
      </c>
      <c r="C1132" s="2">
        <v>0</v>
      </c>
    </row>
    <row r="1133" spans="2:3" hidden="1">
      <c r="B1133" s="2" t="s">
        <v>282</v>
      </c>
      <c r="C1133" s="2">
        <v>0</v>
      </c>
    </row>
    <row r="1134" spans="2:3" hidden="1">
      <c r="B1134" s="2" t="s">
        <v>283</v>
      </c>
      <c r="C1134" s="2">
        <v>0</v>
      </c>
    </row>
    <row r="1135" spans="2:3" hidden="1">
      <c r="B1135" s="2" t="s">
        <v>284</v>
      </c>
      <c r="C1135" s="2" t="s">
        <v>285</v>
      </c>
    </row>
    <row r="1136" spans="2:3" hidden="1">
      <c r="B1136" s="2" t="s">
        <v>286</v>
      </c>
      <c r="C1136" s="2">
        <v>0</v>
      </c>
    </row>
    <row r="1137" spans="2:3" hidden="1">
      <c r="B1137" s="2" t="s">
        <v>287</v>
      </c>
      <c r="C1137" s="2">
        <v>0</v>
      </c>
    </row>
    <row r="1138" spans="2:3" hidden="1">
      <c r="B1138" s="2" t="s">
        <v>288</v>
      </c>
      <c r="C1138" s="2">
        <v>0</v>
      </c>
    </row>
    <row r="1139" spans="2:3" hidden="1">
      <c r="B1139" s="2" t="s">
        <v>289</v>
      </c>
      <c r="C1139" s="2">
        <v>0</v>
      </c>
    </row>
    <row r="1140" spans="2:3" hidden="1">
      <c r="B1140" s="2" t="s">
        <v>290</v>
      </c>
      <c r="C1140" s="2">
        <v>0</v>
      </c>
    </row>
    <row r="1141" spans="2:3" hidden="1">
      <c r="B1141" s="2" t="s">
        <v>291</v>
      </c>
      <c r="C1141" s="2">
        <v>0</v>
      </c>
    </row>
    <row r="1142" spans="2:3" hidden="1">
      <c r="B1142" s="2" t="s">
        <v>292</v>
      </c>
      <c r="C1142" s="2">
        <v>0</v>
      </c>
    </row>
    <row r="1143" spans="2:3" hidden="1">
      <c r="B1143" s="2" t="s">
        <v>293</v>
      </c>
      <c r="C1143" s="2">
        <v>0</v>
      </c>
    </row>
    <row r="1144" spans="2:3" hidden="1">
      <c r="B1144" s="2" t="s">
        <v>294</v>
      </c>
      <c r="C1144" s="2">
        <v>0</v>
      </c>
    </row>
    <row r="1145" spans="2:3" hidden="1">
      <c r="B1145" s="2" t="s">
        <v>295</v>
      </c>
      <c r="C1145" s="2">
        <v>0</v>
      </c>
    </row>
    <row r="1146" spans="2:3" hidden="1">
      <c r="B1146" s="2" t="s">
        <v>296</v>
      </c>
      <c r="C1146" s="2">
        <v>0</v>
      </c>
    </row>
    <row r="1147" spans="2:3" hidden="1">
      <c r="B1147" s="2" t="s">
        <v>297</v>
      </c>
      <c r="C1147" s="2">
        <v>0</v>
      </c>
    </row>
    <row r="1148" spans="2:3" hidden="1">
      <c r="B1148" s="2" t="s">
        <v>298</v>
      </c>
      <c r="C1148" s="2">
        <v>0</v>
      </c>
    </row>
    <row r="1149" spans="2:3" hidden="1">
      <c r="B1149" s="2" t="s">
        <v>299</v>
      </c>
      <c r="C1149" s="2">
        <v>0</v>
      </c>
    </row>
    <row r="1150" spans="2:3" hidden="1">
      <c r="B1150" s="2" t="s">
        <v>300</v>
      </c>
      <c r="C1150" s="2">
        <v>0</v>
      </c>
    </row>
    <row r="1151" spans="2:3" hidden="1">
      <c r="B1151" s="2" t="s">
        <v>301</v>
      </c>
      <c r="C1151" s="2">
        <v>0</v>
      </c>
    </row>
    <row r="1152" spans="2:3" hidden="1">
      <c r="B1152" s="2" t="s">
        <v>302</v>
      </c>
      <c r="C1152" s="2">
        <v>0</v>
      </c>
    </row>
    <row r="1153" spans="2:3" hidden="1">
      <c r="B1153" s="2" t="s">
        <v>303</v>
      </c>
      <c r="C1153" s="2" t="s">
        <v>267</v>
      </c>
    </row>
    <row r="1154" spans="2:3" hidden="1">
      <c r="B1154" s="2" t="s">
        <v>304</v>
      </c>
      <c r="C1154" s="2">
        <v>0</v>
      </c>
    </row>
    <row r="1155" spans="2:3" hidden="1">
      <c r="B1155" s="2" t="s">
        <v>305</v>
      </c>
      <c r="C1155" s="2">
        <v>0</v>
      </c>
    </row>
    <row r="1156" spans="2:3" hidden="1">
      <c r="B1156" s="2" t="s">
        <v>306</v>
      </c>
      <c r="C1156" s="2">
        <v>0</v>
      </c>
    </row>
    <row r="1157" spans="2:3" hidden="1">
      <c r="B1157" s="2" t="s">
        <v>307</v>
      </c>
      <c r="C1157" s="2">
        <v>0</v>
      </c>
    </row>
    <row r="1158" spans="2:3" hidden="1">
      <c r="B1158" s="2" t="s">
        <v>308</v>
      </c>
      <c r="C1158" s="2">
        <v>0</v>
      </c>
    </row>
    <row r="1159" spans="2:3" hidden="1">
      <c r="B1159" s="2" t="s">
        <v>309</v>
      </c>
      <c r="C1159" s="2">
        <v>0</v>
      </c>
    </row>
    <row r="1160" spans="2:3" hidden="1">
      <c r="B1160" s="2" t="s">
        <v>310</v>
      </c>
      <c r="C1160" s="2">
        <v>0</v>
      </c>
    </row>
    <row r="1161" spans="2:3" hidden="1">
      <c r="B1161" s="2" t="s">
        <v>311</v>
      </c>
      <c r="C1161" s="2">
        <v>0</v>
      </c>
    </row>
    <row r="1162" spans="2:3" hidden="1">
      <c r="B1162" s="2" t="s">
        <v>312</v>
      </c>
      <c r="C1162" s="2">
        <v>0</v>
      </c>
    </row>
    <row r="1163" spans="2:3" hidden="1">
      <c r="B1163" s="2" t="s">
        <v>313</v>
      </c>
      <c r="C1163" s="2">
        <v>0</v>
      </c>
    </row>
    <row r="1164" spans="2:3" hidden="1">
      <c r="B1164" s="2" t="s">
        <v>314</v>
      </c>
      <c r="C1164" s="2">
        <v>0</v>
      </c>
    </row>
    <row r="1165" spans="2:3" hidden="1">
      <c r="B1165" s="2" t="s">
        <v>315</v>
      </c>
      <c r="C1165" s="2">
        <v>1</v>
      </c>
    </row>
    <row r="1166" spans="2:3" hidden="1">
      <c r="B1166" s="2" t="s">
        <v>316</v>
      </c>
      <c r="C1166" s="2">
        <v>0</v>
      </c>
    </row>
    <row r="1167" spans="2:3" hidden="1">
      <c r="B1167" s="2" t="s">
        <v>317</v>
      </c>
      <c r="C1167" s="2">
        <v>0</v>
      </c>
    </row>
    <row r="1168" spans="2:3" hidden="1">
      <c r="B1168" s="2" t="s">
        <v>318</v>
      </c>
      <c r="C1168" s="2">
        <v>0</v>
      </c>
    </row>
    <row r="1169" spans="2:3" hidden="1">
      <c r="B1169" s="2" t="s">
        <v>319</v>
      </c>
      <c r="C1169" s="2">
        <v>0</v>
      </c>
    </row>
    <row r="1170" spans="2:3" hidden="1">
      <c r="B1170" s="2" t="s">
        <v>320</v>
      </c>
      <c r="C1170" s="2">
        <v>0</v>
      </c>
    </row>
    <row r="1171" spans="2:3" hidden="1">
      <c r="B1171" s="2" t="s">
        <v>321</v>
      </c>
      <c r="C1171" s="2">
        <v>0</v>
      </c>
    </row>
    <row r="1172" spans="2:3" hidden="1">
      <c r="B1172" s="2" t="s">
        <v>322</v>
      </c>
      <c r="C1172" s="2">
        <v>0</v>
      </c>
    </row>
    <row r="1173" spans="2:3" hidden="1">
      <c r="B1173" s="2" t="s">
        <v>323</v>
      </c>
      <c r="C1173" s="2">
        <v>1</v>
      </c>
    </row>
    <row r="1174" spans="2:3" hidden="1">
      <c r="B1174" s="2" t="s">
        <v>324</v>
      </c>
      <c r="C1174" s="2">
        <v>0</v>
      </c>
    </row>
    <row r="1175" spans="2:3" hidden="1">
      <c r="B1175" s="2" t="s">
        <v>325</v>
      </c>
      <c r="C1175" s="2">
        <v>0</v>
      </c>
    </row>
    <row r="1176" spans="2:3" hidden="1">
      <c r="B1176" s="2" t="s">
        <v>326</v>
      </c>
      <c r="C1176" s="2">
        <v>0</v>
      </c>
    </row>
    <row r="1177" spans="2:3" hidden="1">
      <c r="B1177" s="2" t="s">
        <v>327</v>
      </c>
      <c r="C1177" s="2">
        <v>0</v>
      </c>
    </row>
    <row r="1178" spans="2:3" hidden="1">
      <c r="B1178" s="2" t="s">
        <v>328</v>
      </c>
      <c r="C1178" s="2">
        <v>0</v>
      </c>
    </row>
    <row r="1179" spans="2:3" hidden="1">
      <c r="B1179" s="2" t="s">
        <v>329</v>
      </c>
      <c r="C1179" s="2">
        <v>0</v>
      </c>
    </row>
    <row r="1180" spans="2:3" hidden="1">
      <c r="B1180" s="2" t="s">
        <v>330</v>
      </c>
      <c r="C1180" s="2">
        <v>0</v>
      </c>
    </row>
    <row r="1181" spans="2:3" hidden="1">
      <c r="B1181" s="2" t="s">
        <v>331</v>
      </c>
      <c r="C1181" s="2">
        <v>0</v>
      </c>
    </row>
    <row r="1182" spans="2:3" hidden="1">
      <c r="B1182" s="2" t="s">
        <v>332</v>
      </c>
      <c r="C1182" s="2">
        <v>0</v>
      </c>
    </row>
    <row r="1183" spans="2:3" hidden="1">
      <c r="B1183" s="2" t="s">
        <v>333</v>
      </c>
      <c r="C1183" s="2">
        <v>0</v>
      </c>
    </row>
    <row r="1184" spans="2:3" hidden="1">
      <c r="B1184" s="2" t="s">
        <v>334</v>
      </c>
      <c r="C1184" s="2">
        <v>0</v>
      </c>
    </row>
    <row r="1185" spans="2:3" hidden="1">
      <c r="B1185" s="2" t="s">
        <v>335</v>
      </c>
      <c r="C1185" s="2">
        <v>0</v>
      </c>
    </row>
    <row r="1186" spans="2:3" hidden="1">
      <c r="B1186" s="2" t="s">
        <v>336</v>
      </c>
      <c r="C1186" s="2">
        <v>0</v>
      </c>
    </row>
    <row r="1187" spans="2:3" hidden="1">
      <c r="B1187" s="2" t="s">
        <v>337</v>
      </c>
      <c r="C1187" s="2">
        <v>0</v>
      </c>
    </row>
    <row r="1188" spans="2:3" hidden="1">
      <c r="B1188" s="2" t="s">
        <v>338</v>
      </c>
      <c r="C1188" s="2">
        <v>0</v>
      </c>
    </row>
    <row r="1189" spans="2:3" hidden="1">
      <c r="B1189" s="2" t="s">
        <v>339</v>
      </c>
      <c r="C1189" s="2">
        <v>0</v>
      </c>
    </row>
    <row r="1190" spans="2:3" hidden="1">
      <c r="B1190" s="2" t="s">
        <v>340</v>
      </c>
      <c r="C1190" s="2">
        <v>0</v>
      </c>
    </row>
    <row r="1191" spans="2:3" hidden="1">
      <c r="B1191" s="2" t="s">
        <v>341</v>
      </c>
      <c r="C1191" s="2">
        <v>0</v>
      </c>
    </row>
    <row r="1192" spans="2:3" hidden="1">
      <c r="B1192" s="2" t="s">
        <v>342</v>
      </c>
      <c r="C1192" s="2">
        <v>1</v>
      </c>
    </row>
    <row r="1193" spans="2:3" hidden="1">
      <c r="B1193" s="2" t="s">
        <v>343</v>
      </c>
      <c r="C1193" s="2">
        <v>0</v>
      </c>
    </row>
    <row r="1194" spans="2:3" hidden="1">
      <c r="B1194" s="2" t="s">
        <v>344</v>
      </c>
      <c r="C1194" s="2">
        <v>0</v>
      </c>
    </row>
    <row r="1195" spans="2:3" hidden="1">
      <c r="B1195" s="2" t="s">
        <v>345</v>
      </c>
      <c r="C1195" s="2">
        <v>0</v>
      </c>
    </row>
    <row r="1196" spans="2:3" hidden="1">
      <c r="B1196" s="2" t="s">
        <v>346</v>
      </c>
      <c r="C1196" s="2">
        <v>0</v>
      </c>
    </row>
    <row r="1197" spans="2:3" hidden="1">
      <c r="B1197" s="2" t="s">
        <v>347</v>
      </c>
      <c r="C1197" s="2">
        <v>0</v>
      </c>
    </row>
    <row r="1198" spans="2:3" hidden="1">
      <c r="B1198" s="2" t="s">
        <v>348</v>
      </c>
      <c r="C1198" s="2">
        <v>0</v>
      </c>
    </row>
    <row r="1199" spans="2:3" hidden="1">
      <c r="B1199" s="2" t="s">
        <v>349</v>
      </c>
      <c r="C1199" s="2">
        <v>0</v>
      </c>
    </row>
    <row r="1200" spans="2:3" hidden="1">
      <c r="B1200" s="2" t="s">
        <v>350</v>
      </c>
      <c r="C1200" s="2">
        <v>0</v>
      </c>
    </row>
    <row r="1201" spans="2:3" hidden="1">
      <c r="B1201" s="2" t="s">
        <v>351</v>
      </c>
      <c r="C1201" s="2">
        <v>0</v>
      </c>
    </row>
    <row r="1202" spans="2:3" hidden="1">
      <c r="B1202" s="2" t="s">
        <v>352</v>
      </c>
      <c r="C1202" s="2">
        <v>0</v>
      </c>
    </row>
    <row r="1203" spans="2:3" hidden="1">
      <c r="B1203" s="2" t="s">
        <v>353</v>
      </c>
      <c r="C1203" s="2">
        <v>0</v>
      </c>
    </row>
    <row r="1204" spans="2:3" hidden="1">
      <c r="B1204" s="2" t="s">
        <v>354</v>
      </c>
      <c r="C1204" s="2">
        <v>0</v>
      </c>
    </row>
    <row r="1205" spans="2:3" hidden="1">
      <c r="B1205" s="2" t="s">
        <v>355</v>
      </c>
      <c r="C1205" s="2">
        <v>0</v>
      </c>
    </row>
    <row r="1206" spans="2:3" hidden="1">
      <c r="B1206" s="2" t="s">
        <v>356</v>
      </c>
      <c r="C1206" s="2">
        <v>0</v>
      </c>
    </row>
    <row r="1207" spans="2:3" hidden="1">
      <c r="B1207" s="2" t="s">
        <v>357</v>
      </c>
      <c r="C1207" s="2">
        <v>0</v>
      </c>
    </row>
    <row r="1208" spans="2:3" hidden="1">
      <c r="B1208" s="2" t="s">
        <v>358</v>
      </c>
      <c r="C1208" s="2">
        <v>0</v>
      </c>
    </row>
    <row r="1209" spans="2:3" hidden="1">
      <c r="B1209" s="2" t="s">
        <v>359</v>
      </c>
      <c r="C1209" s="2">
        <v>0</v>
      </c>
    </row>
    <row r="1210" spans="2:3" hidden="1">
      <c r="B1210" s="2" t="s">
        <v>360</v>
      </c>
      <c r="C1210" s="2">
        <v>0</v>
      </c>
    </row>
    <row r="1211" spans="2:3" hidden="1">
      <c r="B1211" s="2" t="s">
        <v>361</v>
      </c>
      <c r="C1211" s="2">
        <v>0</v>
      </c>
    </row>
    <row r="1212" spans="2:3" hidden="1">
      <c r="B1212" s="2" t="s">
        <v>362</v>
      </c>
      <c r="C1212" s="2">
        <v>0</v>
      </c>
    </row>
    <row r="1213" spans="2:3" hidden="1">
      <c r="B1213" s="2" t="s">
        <v>363</v>
      </c>
      <c r="C1213" s="2">
        <v>0</v>
      </c>
    </row>
    <row r="1214" spans="2:3" hidden="1">
      <c r="B1214" s="2" t="s">
        <v>364</v>
      </c>
      <c r="C1214" s="2">
        <v>0</v>
      </c>
    </row>
    <row r="1215" spans="2:3" hidden="1">
      <c r="B1215" s="2" t="s">
        <v>365</v>
      </c>
      <c r="C1215" s="2">
        <v>0</v>
      </c>
    </row>
    <row r="1216" spans="2:3" hidden="1">
      <c r="B1216" s="2" t="s">
        <v>366</v>
      </c>
      <c r="C1216" s="2">
        <v>0</v>
      </c>
    </row>
    <row r="1217" spans="2:3" hidden="1">
      <c r="B1217" s="2" t="s">
        <v>367</v>
      </c>
      <c r="C1217" s="2">
        <v>0</v>
      </c>
    </row>
    <row r="1218" spans="2:3" hidden="1">
      <c r="B1218" s="2" t="s">
        <v>368</v>
      </c>
      <c r="C1218" s="2">
        <v>0</v>
      </c>
    </row>
    <row r="1219" spans="2:3" hidden="1">
      <c r="B1219" s="2" t="s">
        <v>369</v>
      </c>
      <c r="C1219" s="2">
        <v>0</v>
      </c>
    </row>
    <row r="1220" spans="2:3" hidden="1">
      <c r="B1220" s="2" t="s">
        <v>370</v>
      </c>
      <c r="C1220" s="2">
        <v>0</v>
      </c>
    </row>
    <row r="1221" spans="2:3" hidden="1">
      <c r="B1221" s="2" t="s">
        <v>371</v>
      </c>
      <c r="C1221" s="2">
        <v>0</v>
      </c>
    </row>
    <row r="1222" spans="2:3" hidden="1">
      <c r="B1222" s="2" t="s">
        <v>372</v>
      </c>
      <c r="C1222" s="2">
        <v>0</v>
      </c>
    </row>
    <row r="1223" spans="2:3" hidden="1">
      <c r="B1223" s="2" t="s">
        <v>373</v>
      </c>
      <c r="C1223" s="2">
        <v>0</v>
      </c>
    </row>
    <row r="1224" spans="2:3" hidden="1">
      <c r="B1224" s="2" t="s">
        <v>374</v>
      </c>
      <c r="C1224" s="2">
        <v>0</v>
      </c>
    </row>
    <row r="1225" spans="2:3" hidden="1">
      <c r="B1225" s="2" t="s">
        <v>375</v>
      </c>
      <c r="C1225" s="2">
        <v>0</v>
      </c>
    </row>
    <row r="1226" spans="2:3" hidden="1">
      <c r="B1226" s="2" t="s">
        <v>376</v>
      </c>
      <c r="C1226" s="2">
        <v>0</v>
      </c>
    </row>
    <row r="1227" spans="2:3" hidden="1">
      <c r="B1227" s="2" t="s">
        <v>377</v>
      </c>
      <c r="C1227" s="2">
        <v>0</v>
      </c>
    </row>
    <row r="1228" spans="2:3" hidden="1">
      <c r="B1228" s="2" t="s">
        <v>378</v>
      </c>
      <c r="C1228" s="2">
        <v>0</v>
      </c>
    </row>
    <row r="1229" spans="2:3" hidden="1">
      <c r="B1229" s="2" t="s">
        <v>379</v>
      </c>
      <c r="C1229" s="2">
        <v>0</v>
      </c>
    </row>
    <row r="1230" spans="2:3" hidden="1">
      <c r="B1230" s="2" t="s">
        <v>380</v>
      </c>
      <c r="C1230" s="2">
        <v>0</v>
      </c>
    </row>
    <row r="1231" spans="2:3" hidden="1">
      <c r="B1231" s="2" t="s">
        <v>381</v>
      </c>
      <c r="C1231" s="2">
        <v>0</v>
      </c>
    </row>
    <row r="1232" spans="2:3" hidden="1">
      <c r="B1232" s="2" t="s">
        <v>382</v>
      </c>
      <c r="C1232" s="2">
        <v>0</v>
      </c>
    </row>
    <row r="1233" spans="2:3" hidden="1">
      <c r="B1233" s="2" t="s">
        <v>383</v>
      </c>
      <c r="C1233" s="2">
        <v>0</v>
      </c>
    </row>
  </sheetData>
  <protectedRanges>
    <protectedRange sqref="F1 C7:E7 F8:F9 F26:F27 F33" name="Grey cells"/>
  </protectedRanges>
  <mergeCells count="3">
    <mergeCell ref="B3:F3"/>
    <mergeCell ref="B84:I84"/>
    <mergeCell ref="A85:A92"/>
  </mergeCells>
  <conditionalFormatting sqref="B76:C76">
    <cfRule type="expression" dxfId="3" priority="1" stopIfTrue="1">
      <formula>MID($B76,1,4)="Rent"</formula>
    </cfRule>
  </conditionalFormatting>
  <conditionalFormatting sqref="C12:D34">
    <cfRule type="expression" dxfId="2" priority="2">
      <formula>$F$1="yes"</formula>
    </cfRule>
  </conditionalFormatting>
  <dataValidations disablePrompts="1" count="1">
    <dataValidation type="list" allowBlank="1" showInputMessage="1" showErrorMessage="1" sqref="F1:F2" xr:uid="{B6C98B7F-9098-465C-AB09-D30430C94AE4}">
      <formula1>"Yes, No"</formula1>
    </dataValidation>
  </dataValidations>
  <pageMargins left="0.7" right="0.7" top="0.75" bottom="0.75" header="0.3" footer="0.3"/>
  <pageSetup scale="85" orientation="portrait" r:id="rId1"/>
  <headerFooter>
    <oddFooter>&amp;C&amp;"Verdana,Regular"&amp;8The Crop Budget Generator is a product of the Food and Agricultural Policy Research Institute at the University of Missouri
www.fapri.missouri.edu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B92D8-B485-418F-B068-EB1771EFF4FE}">
  <dimension ref="A1:WVP1243"/>
  <sheetViews>
    <sheetView workbookViewId="0">
      <selection activeCell="G16" sqref="G16"/>
    </sheetView>
  </sheetViews>
  <sheetFormatPr defaultColWidth="0" defaultRowHeight="16.5" zeroHeight="1"/>
  <cols>
    <col min="1" max="1" width="3.1640625" style="2" customWidth="1"/>
    <col min="2" max="2" width="43" style="2" customWidth="1"/>
    <col min="3" max="3" width="11.83203125" style="2" customWidth="1"/>
    <col min="4" max="4" width="10.5" style="2" customWidth="1"/>
    <col min="5" max="5" width="11" style="2" customWidth="1"/>
    <col min="6" max="6" width="12.6640625" style="2" customWidth="1"/>
    <col min="7" max="7" width="11.6640625" style="2" customWidth="1"/>
    <col min="8" max="8" width="11.83203125" style="2" customWidth="1"/>
    <col min="9" max="9" width="9" style="2" customWidth="1"/>
    <col min="10" max="13" width="8" style="2" hidden="1"/>
    <col min="14" max="14" width="38.6640625" style="2" hidden="1"/>
    <col min="15" max="257" width="8" style="2" hidden="1"/>
    <col min="258" max="258" width="28.1640625" style="2" hidden="1"/>
    <col min="259" max="259" width="8.1640625" style="2" hidden="1"/>
    <col min="260" max="260" width="9.1640625" style="2" hidden="1"/>
    <col min="261" max="261" width="9.6640625" style="2" hidden="1"/>
    <col min="262" max="262" width="11.1640625" style="2" hidden="1"/>
    <col min="263" max="263" width="10.33203125" style="2" hidden="1"/>
    <col min="264" max="264" width="10.5" style="2" hidden="1"/>
    <col min="265" max="513" width="8" style="2" hidden="1"/>
    <col min="514" max="514" width="28.1640625" style="2" hidden="1"/>
    <col min="515" max="515" width="8.1640625" style="2" hidden="1"/>
    <col min="516" max="516" width="9.1640625" style="2" hidden="1"/>
    <col min="517" max="517" width="9.6640625" style="2" hidden="1"/>
    <col min="518" max="518" width="11.1640625" style="2" hidden="1"/>
    <col min="519" max="519" width="10.33203125" style="2" hidden="1"/>
    <col min="520" max="520" width="10.5" style="2" hidden="1"/>
    <col min="521" max="769" width="8" style="2" hidden="1"/>
    <col min="770" max="770" width="28.1640625" style="2" hidden="1"/>
    <col min="771" max="771" width="8.1640625" style="2" hidden="1"/>
    <col min="772" max="772" width="9.1640625" style="2" hidden="1"/>
    <col min="773" max="773" width="9.6640625" style="2" hidden="1"/>
    <col min="774" max="774" width="11.1640625" style="2" hidden="1"/>
    <col min="775" max="775" width="10.33203125" style="2" hidden="1"/>
    <col min="776" max="776" width="10.5" style="2" hidden="1"/>
    <col min="777" max="1025" width="9" style="2" hidden="1"/>
    <col min="1026" max="1026" width="28.1640625" style="2" hidden="1"/>
    <col min="1027" max="1027" width="8.1640625" style="2" hidden="1"/>
    <col min="1028" max="1028" width="9.1640625" style="2" hidden="1"/>
    <col min="1029" max="1029" width="9.6640625" style="2" hidden="1"/>
    <col min="1030" max="1030" width="11.1640625" style="2" hidden="1"/>
    <col min="1031" max="1031" width="10.33203125" style="2" hidden="1"/>
    <col min="1032" max="1032" width="10.5" style="2" hidden="1"/>
    <col min="1033" max="1281" width="8" style="2" hidden="1"/>
    <col min="1282" max="1282" width="28.1640625" style="2" hidden="1"/>
    <col min="1283" max="1283" width="8.1640625" style="2" hidden="1"/>
    <col min="1284" max="1284" width="9.1640625" style="2" hidden="1"/>
    <col min="1285" max="1285" width="9.6640625" style="2" hidden="1"/>
    <col min="1286" max="1286" width="11.1640625" style="2" hidden="1"/>
    <col min="1287" max="1287" width="10.33203125" style="2" hidden="1"/>
    <col min="1288" max="1288" width="10.5" style="2" hidden="1"/>
    <col min="1289" max="1537" width="8" style="2" hidden="1"/>
    <col min="1538" max="1538" width="28.1640625" style="2" hidden="1"/>
    <col min="1539" max="1539" width="8.1640625" style="2" hidden="1"/>
    <col min="1540" max="1540" width="9.1640625" style="2" hidden="1"/>
    <col min="1541" max="1541" width="9.6640625" style="2" hidden="1"/>
    <col min="1542" max="1542" width="11.1640625" style="2" hidden="1"/>
    <col min="1543" max="1543" width="10.33203125" style="2" hidden="1"/>
    <col min="1544" max="1544" width="10.5" style="2" hidden="1"/>
    <col min="1545" max="1793" width="8" style="2" hidden="1"/>
    <col min="1794" max="1794" width="28.1640625" style="2" hidden="1"/>
    <col min="1795" max="1795" width="8.1640625" style="2" hidden="1"/>
    <col min="1796" max="1796" width="9.1640625" style="2" hidden="1"/>
    <col min="1797" max="1797" width="9.6640625" style="2" hidden="1"/>
    <col min="1798" max="1798" width="11.1640625" style="2" hidden="1"/>
    <col min="1799" max="1799" width="10.33203125" style="2" hidden="1"/>
    <col min="1800" max="1800" width="10.5" style="2" hidden="1"/>
    <col min="1801" max="2049" width="9" style="2" hidden="1"/>
    <col min="2050" max="2050" width="28.1640625" style="2" hidden="1"/>
    <col min="2051" max="2051" width="8.1640625" style="2" hidden="1"/>
    <col min="2052" max="2052" width="9.1640625" style="2" hidden="1"/>
    <col min="2053" max="2053" width="9.6640625" style="2" hidden="1"/>
    <col min="2054" max="2054" width="11.1640625" style="2" hidden="1"/>
    <col min="2055" max="2055" width="10.33203125" style="2" hidden="1"/>
    <col min="2056" max="2056" width="10.5" style="2" hidden="1"/>
    <col min="2057" max="2305" width="8" style="2" hidden="1"/>
    <col min="2306" max="2306" width="28.1640625" style="2" hidden="1"/>
    <col min="2307" max="2307" width="8.1640625" style="2" hidden="1"/>
    <col min="2308" max="2308" width="9.1640625" style="2" hidden="1"/>
    <col min="2309" max="2309" width="9.6640625" style="2" hidden="1"/>
    <col min="2310" max="2310" width="11.1640625" style="2" hidden="1"/>
    <col min="2311" max="2311" width="10.33203125" style="2" hidden="1"/>
    <col min="2312" max="2312" width="10.5" style="2" hidden="1"/>
    <col min="2313" max="2561" width="8" style="2" hidden="1"/>
    <col min="2562" max="2562" width="28.1640625" style="2" hidden="1"/>
    <col min="2563" max="2563" width="8.1640625" style="2" hidden="1"/>
    <col min="2564" max="2564" width="9.1640625" style="2" hidden="1"/>
    <col min="2565" max="2565" width="9.6640625" style="2" hidden="1"/>
    <col min="2566" max="2566" width="11.1640625" style="2" hidden="1"/>
    <col min="2567" max="2567" width="10.33203125" style="2" hidden="1"/>
    <col min="2568" max="2568" width="10.5" style="2" hidden="1"/>
    <col min="2569" max="2817" width="8" style="2" hidden="1"/>
    <col min="2818" max="2818" width="28.1640625" style="2" hidden="1"/>
    <col min="2819" max="2819" width="8.1640625" style="2" hidden="1"/>
    <col min="2820" max="2820" width="9.1640625" style="2" hidden="1"/>
    <col min="2821" max="2821" width="9.6640625" style="2" hidden="1"/>
    <col min="2822" max="2822" width="11.1640625" style="2" hidden="1"/>
    <col min="2823" max="2823" width="10.33203125" style="2" hidden="1"/>
    <col min="2824" max="2824" width="10.5" style="2" hidden="1"/>
    <col min="2825" max="3073" width="9" style="2" hidden="1"/>
    <col min="3074" max="3074" width="28.1640625" style="2" hidden="1"/>
    <col min="3075" max="3075" width="8.1640625" style="2" hidden="1"/>
    <col min="3076" max="3076" width="9.1640625" style="2" hidden="1"/>
    <col min="3077" max="3077" width="9.6640625" style="2" hidden="1"/>
    <col min="3078" max="3078" width="11.1640625" style="2" hidden="1"/>
    <col min="3079" max="3079" width="10.33203125" style="2" hidden="1"/>
    <col min="3080" max="3080" width="10.5" style="2" hidden="1"/>
    <col min="3081" max="3329" width="8" style="2" hidden="1"/>
    <col min="3330" max="3330" width="28.1640625" style="2" hidden="1"/>
    <col min="3331" max="3331" width="8.1640625" style="2" hidden="1"/>
    <col min="3332" max="3332" width="9.1640625" style="2" hidden="1"/>
    <col min="3333" max="3333" width="9.6640625" style="2" hidden="1"/>
    <col min="3334" max="3334" width="11.1640625" style="2" hidden="1"/>
    <col min="3335" max="3335" width="10.33203125" style="2" hidden="1"/>
    <col min="3336" max="3336" width="10.5" style="2" hidden="1"/>
    <col min="3337" max="3585" width="8" style="2" hidden="1"/>
    <col min="3586" max="3586" width="28.1640625" style="2" hidden="1"/>
    <col min="3587" max="3587" width="8.1640625" style="2" hidden="1"/>
    <col min="3588" max="3588" width="9.1640625" style="2" hidden="1"/>
    <col min="3589" max="3589" width="9.6640625" style="2" hidden="1"/>
    <col min="3590" max="3590" width="11.1640625" style="2" hidden="1"/>
    <col min="3591" max="3591" width="10.33203125" style="2" hidden="1"/>
    <col min="3592" max="3592" width="10.5" style="2" hidden="1"/>
    <col min="3593" max="3841" width="8" style="2" hidden="1"/>
    <col min="3842" max="3842" width="28.1640625" style="2" hidden="1"/>
    <col min="3843" max="3843" width="8.1640625" style="2" hidden="1"/>
    <col min="3844" max="3844" width="9.1640625" style="2" hidden="1"/>
    <col min="3845" max="3845" width="9.6640625" style="2" hidden="1"/>
    <col min="3846" max="3846" width="11.1640625" style="2" hidden="1"/>
    <col min="3847" max="3847" width="10.33203125" style="2" hidden="1"/>
    <col min="3848" max="3848" width="10.5" style="2" hidden="1"/>
    <col min="3849" max="4097" width="9" style="2" hidden="1"/>
    <col min="4098" max="4098" width="28.1640625" style="2" hidden="1"/>
    <col min="4099" max="4099" width="8.1640625" style="2" hidden="1"/>
    <col min="4100" max="4100" width="9.1640625" style="2" hidden="1"/>
    <col min="4101" max="4101" width="9.6640625" style="2" hidden="1"/>
    <col min="4102" max="4102" width="11.1640625" style="2" hidden="1"/>
    <col min="4103" max="4103" width="10.33203125" style="2" hidden="1"/>
    <col min="4104" max="4104" width="10.5" style="2" hidden="1"/>
    <col min="4105" max="4353" width="8" style="2" hidden="1"/>
    <col min="4354" max="4354" width="28.1640625" style="2" hidden="1"/>
    <col min="4355" max="4355" width="8.1640625" style="2" hidden="1"/>
    <col min="4356" max="4356" width="9.1640625" style="2" hidden="1"/>
    <col min="4357" max="4357" width="9.6640625" style="2" hidden="1"/>
    <col min="4358" max="4358" width="11.1640625" style="2" hidden="1"/>
    <col min="4359" max="4359" width="10.33203125" style="2" hidden="1"/>
    <col min="4360" max="4360" width="10.5" style="2" hidden="1"/>
    <col min="4361" max="4609" width="8" style="2" hidden="1"/>
    <col min="4610" max="4610" width="28.1640625" style="2" hidden="1"/>
    <col min="4611" max="4611" width="8.1640625" style="2" hidden="1"/>
    <col min="4612" max="4612" width="9.1640625" style="2" hidden="1"/>
    <col min="4613" max="4613" width="9.6640625" style="2" hidden="1"/>
    <col min="4614" max="4614" width="11.1640625" style="2" hidden="1"/>
    <col min="4615" max="4615" width="10.33203125" style="2" hidden="1"/>
    <col min="4616" max="4616" width="10.5" style="2" hidden="1"/>
    <col min="4617" max="4865" width="8" style="2" hidden="1"/>
    <col min="4866" max="4866" width="28.1640625" style="2" hidden="1"/>
    <col min="4867" max="4867" width="8.1640625" style="2" hidden="1"/>
    <col min="4868" max="4868" width="9.1640625" style="2" hidden="1"/>
    <col min="4869" max="4869" width="9.6640625" style="2" hidden="1"/>
    <col min="4870" max="4870" width="11.1640625" style="2" hidden="1"/>
    <col min="4871" max="4871" width="10.33203125" style="2" hidden="1"/>
    <col min="4872" max="4872" width="10.5" style="2" hidden="1"/>
    <col min="4873" max="5121" width="9" style="2" hidden="1"/>
    <col min="5122" max="5122" width="28.1640625" style="2" hidden="1"/>
    <col min="5123" max="5123" width="8.1640625" style="2" hidden="1"/>
    <col min="5124" max="5124" width="9.1640625" style="2" hidden="1"/>
    <col min="5125" max="5125" width="9.6640625" style="2" hidden="1"/>
    <col min="5126" max="5126" width="11.1640625" style="2" hidden="1"/>
    <col min="5127" max="5127" width="10.33203125" style="2" hidden="1"/>
    <col min="5128" max="5128" width="10.5" style="2" hidden="1"/>
    <col min="5129" max="5377" width="8" style="2" hidden="1"/>
    <col min="5378" max="5378" width="28.1640625" style="2" hidden="1"/>
    <col min="5379" max="5379" width="8.1640625" style="2" hidden="1"/>
    <col min="5380" max="5380" width="9.1640625" style="2" hidden="1"/>
    <col min="5381" max="5381" width="9.6640625" style="2" hidden="1"/>
    <col min="5382" max="5382" width="11.1640625" style="2" hidden="1"/>
    <col min="5383" max="5383" width="10.33203125" style="2" hidden="1"/>
    <col min="5384" max="5384" width="10.5" style="2" hidden="1"/>
    <col min="5385" max="5633" width="8" style="2" hidden="1"/>
    <col min="5634" max="5634" width="28.1640625" style="2" hidden="1"/>
    <col min="5635" max="5635" width="8.1640625" style="2" hidden="1"/>
    <col min="5636" max="5636" width="9.1640625" style="2" hidden="1"/>
    <col min="5637" max="5637" width="9.6640625" style="2" hidden="1"/>
    <col min="5638" max="5638" width="11.1640625" style="2" hidden="1"/>
    <col min="5639" max="5639" width="10.33203125" style="2" hidden="1"/>
    <col min="5640" max="5640" width="10.5" style="2" hidden="1"/>
    <col min="5641" max="5889" width="8" style="2" hidden="1"/>
    <col min="5890" max="5890" width="28.1640625" style="2" hidden="1"/>
    <col min="5891" max="5891" width="8.1640625" style="2" hidden="1"/>
    <col min="5892" max="5892" width="9.1640625" style="2" hidden="1"/>
    <col min="5893" max="5893" width="9.6640625" style="2" hidden="1"/>
    <col min="5894" max="5894" width="11.1640625" style="2" hidden="1"/>
    <col min="5895" max="5895" width="10.33203125" style="2" hidden="1"/>
    <col min="5896" max="5896" width="10.5" style="2" hidden="1"/>
    <col min="5897" max="6145" width="9" style="2" hidden="1"/>
    <col min="6146" max="6146" width="28.1640625" style="2" hidden="1"/>
    <col min="6147" max="6147" width="8.1640625" style="2" hidden="1"/>
    <col min="6148" max="6148" width="9.1640625" style="2" hidden="1"/>
    <col min="6149" max="6149" width="9.6640625" style="2" hidden="1"/>
    <col min="6150" max="6150" width="11.1640625" style="2" hidden="1"/>
    <col min="6151" max="6151" width="10.33203125" style="2" hidden="1"/>
    <col min="6152" max="6152" width="10.5" style="2" hidden="1"/>
    <col min="6153" max="6401" width="8" style="2" hidden="1"/>
    <col min="6402" max="6402" width="28.1640625" style="2" hidden="1"/>
    <col min="6403" max="6403" width="8.1640625" style="2" hidden="1"/>
    <col min="6404" max="6404" width="9.1640625" style="2" hidden="1"/>
    <col min="6405" max="6405" width="9.6640625" style="2" hidden="1"/>
    <col min="6406" max="6406" width="11.1640625" style="2" hidden="1"/>
    <col min="6407" max="6407" width="10.33203125" style="2" hidden="1"/>
    <col min="6408" max="6408" width="10.5" style="2" hidden="1"/>
    <col min="6409" max="6657" width="8" style="2" hidden="1"/>
    <col min="6658" max="6658" width="28.1640625" style="2" hidden="1"/>
    <col min="6659" max="6659" width="8.1640625" style="2" hidden="1"/>
    <col min="6660" max="6660" width="9.1640625" style="2" hidden="1"/>
    <col min="6661" max="6661" width="9.6640625" style="2" hidden="1"/>
    <col min="6662" max="6662" width="11.1640625" style="2" hidden="1"/>
    <col min="6663" max="6663" width="10.33203125" style="2" hidden="1"/>
    <col min="6664" max="6664" width="10.5" style="2" hidden="1"/>
    <col min="6665" max="6913" width="8" style="2" hidden="1"/>
    <col min="6914" max="6914" width="28.1640625" style="2" hidden="1"/>
    <col min="6915" max="6915" width="8.1640625" style="2" hidden="1"/>
    <col min="6916" max="6916" width="9.1640625" style="2" hidden="1"/>
    <col min="6917" max="6917" width="9.6640625" style="2" hidden="1"/>
    <col min="6918" max="6918" width="11.1640625" style="2" hidden="1"/>
    <col min="6919" max="6919" width="10.33203125" style="2" hidden="1"/>
    <col min="6920" max="6920" width="10.5" style="2" hidden="1"/>
    <col min="6921" max="7169" width="9" style="2" hidden="1"/>
    <col min="7170" max="7170" width="28.1640625" style="2" hidden="1"/>
    <col min="7171" max="7171" width="8.1640625" style="2" hidden="1"/>
    <col min="7172" max="7172" width="9.1640625" style="2" hidden="1"/>
    <col min="7173" max="7173" width="9.6640625" style="2" hidden="1"/>
    <col min="7174" max="7174" width="11.1640625" style="2" hidden="1"/>
    <col min="7175" max="7175" width="10.33203125" style="2" hidden="1"/>
    <col min="7176" max="7176" width="10.5" style="2" hidden="1"/>
    <col min="7177" max="7425" width="8" style="2" hidden="1"/>
    <col min="7426" max="7426" width="28.1640625" style="2" hidden="1"/>
    <col min="7427" max="7427" width="8.1640625" style="2" hidden="1"/>
    <col min="7428" max="7428" width="9.1640625" style="2" hidden="1"/>
    <col min="7429" max="7429" width="9.6640625" style="2" hidden="1"/>
    <col min="7430" max="7430" width="11.1640625" style="2" hidden="1"/>
    <col min="7431" max="7431" width="10.33203125" style="2" hidden="1"/>
    <col min="7432" max="7432" width="10.5" style="2" hidden="1"/>
    <col min="7433" max="7681" width="8" style="2" hidden="1"/>
    <col min="7682" max="7682" width="28.1640625" style="2" hidden="1"/>
    <col min="7683" max="7683" width="8.1640625" style="2" hidden="1"/>
    <col min="7684" max="7684" width="9.1640625" style="2" hidden="1"/>
    <col min="7685" max="7685" width="9.6640625" style="2" hidden="1"/>
    <col min="7686" max="7686" width="11.1640625" style="2" hidden="1"/>
    <col min="7687" max="7687" width="10.33203125" style="2" hidden="1"/>
    <col min="7688" max="7688" width="10.5" style="2" hidden="1"/>
    <col min="7689" max="7937" width="8" style="2" hidden="1"/>
    <col min="7938" max="7938" width="28.1640625" style="2" hidden="1"/>
    <col min="7939" max="7939" width="8.1640625" style="2" hidden="1"/>
    <col min="7940" max="7940" width="9.1640625" style="2" hidden="1"/>
    <col min="7941" max="7941" width="9.6640625" style="2" hidden="1"/>
    <col min="7942" max="7942" width="11.1640625" style="2" hidden="1"/>
    <col min="7943" max="7943" width="10.33203125" style="2" hidden="1"/>
    <col min="7944" max="7944" width="10.5" style="2" hidden="1"/>
    <col min="7945" max="8193" width="9" style="2" hidden="1"/>
    <col min="8194" max="8194" width="28.1640625" style="2" hidden="1"/>
    <col min="8195" max="8195" width="8.1640625" style="2" hidden="1"/>
    <col min="8196" max="8196" width="9.1640625" style="2" hidden="1"/>
    <col min="8197" max="8197" width="9.6640625" style="2" hidden="1"/>
    <col min="8198" max="8198" width="11.1640625" style="2" hidden="1"/>
    <col min="8199" max="8199" width="10.33203125" style="2" hidden="1"/>
    <col min="8200" max="8200" width="10.5" style="2" hidden="1"/>
    <col min="8201" max="8449" width="8" style="2" hidden="1"/>
    <col min="8450" max="8450" width="28.1640625" style="2" hidden="1"/>
    <col min="8451" max="8451" width="8.1640625" style="2" hidden="1"/>
    <col min="8452" max="8452" width="9.1640625" style="2" hidden="1"/>
    <col min="8453" max="8453" width="9.6640625" style="2" hidden="1"/>
    <col min="8454" max="8454" width="11.1640625" style="2" hidden="1"/>
    <col min="8455" max="8455" width="10.33203125" style="2" hidden="1"/>
    <col min="8456" max="8456" width="10.5" style="2" hidden="1"/>
    <col min="8457" max="8705" width="8" style="2" hidden="1"/>
    <col min="8706" max="8706" width="28.1640625" style="2" hidden="1"/>
    <col min="8707" max="8707" width="8.1640625" style="2" hidden="1"/>
    <col min="8708" max="8708" width="9.1640625" style="2" hidden="1"/>
    <col min="8709" max="8709" width="9.6640625" style="2" hidden="1"/>
    <col min="8710" max="8710" width="11.1640625" style="2" hidden="1"/>
    <col min="8711" max="8711" width="10.33203125" style="2" hidden="1"/>
    <col min="8712" max="8712" width="10.5" style="2" hidden="1"/>
    <col min="8713" max="8961" width="8" style="2" hidden="1"/>
    <col min="8962" max="8962" width="28.1640625" style="2" hidden="1"/>
    <col min="8963" max="8963" width="8.1640625" style="2" hidden="1"/>
    <col min="8964" max="8964" width="9.1640625" style="2" hidden="1"/>
    <col min="8965" max="8965" width="9.6640625" style="2" hidden="1"/>
    <col min="8966" max="8966" width="11.1640625" style="2" hidden="1"/>
    <col min="8967" max="8967" width="10.33203125" style="2" hidden="1"/>
    <col min="8968" max="8968" width="10.5" style="2" hidden="1"/>
    <col min="8969" max="9217" width="9" style="2" hidden="1"/>
    <col min="9218" max="9218" width="28.1640625" style="2" hidden="1"/>
    <col min="9219" max="9219" width="8.1640625" style="2" hidden="1"/>
    <col min="9220" max="9220" width="9.1640625" style="2" hidden="1"/>
    <col min="9221" max="9221" width="9.6640625" style="2" hidden="1"/>
    <col min="9222" max="9222" width="11.1640625" style="2" hidden="1"/>
    <col min="9223" max="9223" width="10.33203125" style="2" hidden="1"/>
    <col min="9224" max="9224" width="10.5" style="2" hidden="1"/>
    <col min="9225" max="9473" width="8" style="2" hidden="1"/>
    <col min="9474" max="9474" width="28.1640625" style="2" hidden="1"/>
    <col min="9475" max="9475" width="8.1640625" style="2" hidden="1"/>
    <col min="9476" max="9476" width="9.1640625" style="2" hidden="1"/>
    <col min="9477" max="9477" width="9.6640625" style="2" hidden="1"/>
    <col min="9478" max="9478" width="11.1640625" style="2" hidden="1"/>
    <col min="9479" max="9479" width="10.33203125" style="2" hidden="1"/>
    <col min="9480" max="9480" width="10.5" style="2" hidden="1"/>
    <col min="9481" max="9729" width="8" style="2" hidden="1"/>
    <col min="9730" max="9730" width="28.1640625" style="2" hidden="1"/>
    <col min="9731" max="9731" width="8.1640625" style="2" hidden="1"/>
    <col min="9732" max="9732" width="9.1640625" style="2" hidden="1"/>
    <col min="9733" max="9733" width="9.6640625" style="2" hidden="1"/>
    <col min="9734" max="9734" width="11.1640625" style="2" hidden="1"/>
    <col min="9735" max="9735" width="10.33203125" style="2" hidden="1"/>
    <col min="9736" max="9736" width="10.5" style="2" hidden="1"/>
    <col min="9737" max="9985" width="8" style="2" hidden="1"/>
    <col min="9986" max="9986" width="28.1640625" style="2" hidden="1"/>
    <col min="9987" max="9987" width="8.1640625" style="2" hidden="1"/>
    <col min="9988" max="9988" width="9.1640625" style="2" hidden="1"/>
    <col min="9989" max="9989" width="9.6640625" style="2" hidden="1"/>
    <col min="9990" max="9990" width="11.1640625" style="2" hidden="1"/>
    <col min="9991" max="9991" width="10.33203125" style="2" hidden="1"/>
    <col min="9992" max="9992" width="10.5" style="2" hidden="1"/>
    <col min="9993" max="10241" width="9" style="2" hidden="1"/>
    <col min="10242" max="10242" width="28.1640625" style="2" hidden="1"/>
    <col min="10243" max="10243" width="8.1640625" style="2" hidden="1"/>
    <col min="10244" max="10244" width="9.1640625" style="2" hidden="1"/>
    <col min="10245" max="10245" width="9.6640625" style="2" hidden="1"/>
    <col min="10246" max="10246" width="11.1640625" style="2" hidden="1"/>
    <col min="10247" max="10247" width="10.33203125" style="2" hidden="1"/>
    <col min="10248" max="10248" width="10.5" style="2" hidden="1"/>
    <col min="10249" max="10497" width="8" style="2" hidden="1"/>
    <col min="10498" max="10498" width="28.1640625" style="2" hidden="1"/>
    <col min="10499" max="10499" width="8.1640625" style="2" hidden="1"/>
    <col min="10500" max="10500" width="9.1640625" style="2" hidden="1"/>
    <col min="10501" max="10501" width="9.6640625" style="2" hidden="1"/>
    <col min="10502" max="10502" width="11.1640625" style="2" hidden="1"/>
    <col min="10503" max="10503" width="10.33203125" style="2" hidden="1"/>
    <col min="10504" max="10504" width="10.5" style="2" hidden="1"/>
    <col min="10505" max="10753" width="8" style="2" hidden="1"/>
    <col min="10754" max="10754" width="28.1640625" style="2" hidden="1"/>
    <col min="10755" max="10755" width="8.1640625" style="2" hidden="1"/>
    <col min="10756" max="10756" width="9.1640625" style="2" hidden="1"/>
    <col min="10757" max="10757" width="9.6640625" style="2" hidden="1"/>
    <col min="10758" max="10758" width="11.1640625" style="2" hidden="1"/>
    <col min="10759" max="10759" width="10.33203125" style="2" hidden="1"/>
    <col min="10760" max="10760" width="10.5" style="2" hidden="1"/>
    <col min="10761" max="11009" width="8" style="2" hidden="1"/>
    <col min="11010" max="11010" width="28.1640625" style="2" hidden="1"/>
    <col min="11011" max="11011" width="8.1640625" style="2" hidden="1"/>
    <col min="11012" max="11012" width="9.1640625" style="2" hidden="1"/>
    <col min="11013" max="11013" width="9.6640625" style="2" hidden="1"/>
    <col min="11014" max="11014" width="11.1640625" style="2" hidden="1"/>
    <col min="11015" max="11015" width="10.33203125" style="2" hidden="1"/>
    <col min="11016" max="11016" width="10.5" style="2" hidden="1"/>
    <col min="11017" max="11265" width="9" style="2" hidden="1"/>
    <col min="11266" max="11266" width="28.1640625" style="2" hidden="1"/>
    <col min="11267" max="11267" width="8.1640625" style="2" hidden="1"/>
    <col min="11268" max="11268" width="9.1640625" style="2" hidden="1"/>
    <col min="11269" max="11269" width="9.6640625" style="2" hidden="1"/>
    <col min="11270" max="11270" width="11.1640625" style="2" hidden="1"/>
    <col min="11271" max="11271" width="10.33203125" style="2" hidden="1"/>
    <col min="11272" max="11272" width="10.5" style="2" hidden="1"/>
    <col min="11273" max="11521" width="8" style="2" hidden="1"/>
    <col min="11522" max="11522" width="28.1640625" style="2" hidden="1"/>
    <col min="11523" max="11523" width="8.1640625" style="2" hidden="1"/>
    <col min="11524" max="11524" width="9.1640625" style="2" hidden="1"/>
    <col min="11525" max="11525" width="9.6640625" style="2" hidden="1"/>
    <col min="11526" max="11526" width="11.1640625" style="2" hidden="1"/>
    <col min="11527" max="11527" width="10.33203125" style="2" hidden="1"/>
    <col min="11528" max="11528" width="10.5" style="2" hidden="1"/>
    <col min="11529" max="11777" width="8" style="2" hidden="1"/>
    <col min="11778" max="11778" width="28.1640625" style="2" hidden="1"/>
    <col min="11779" max="11779" width="8.1640625" style="2" hidden="1"/>
    <col min="11780" max="11780" width="9.1640625" style="2" hidden="1"/>
    <col min="11781" max="11781" width="9.6640625" style="2" hidden="1"/>
    <col min="11782" max="11782" width="11.1640625" style="2" hidden="1"/>
    <col min="11783" max="11783" width="10.33203125" style="2" hidden="1"/>
    <col min="11784" max="11784" width="10.5" style="2" hidden="1"/>
    <col min="11785" max="12033" width="8" style="2" hidden="1"/>
    <col min="12034" max="12034" width="28.1640625" style="2" hidden="1"/>
    <col min="12035" max="12035" width="8.1640625" style="2" hidden="1"/>
    <col min="12036" max="12036" width="9.1640625" style="2" hidden="1"/>
    <col min="12037" max="12037" width="9.6640625" style="2" hidden="1"/>
    <col min="12038" max="12038" width="11.1640625" style="2" hidden="1"/>
    <col min="12039" max="12039" width="10.33203125" style="2" hidden="1"/>
    <col min="12040" max="12040" width="10.5" style="2" hidden="1"/>
    <col min="12041" max="12289" width="9" style="2" hidden="1"/>
    <col min="12290" max="12290" width="28.1640625" style="2" hidden="1"/>
    <col min="12291" max="12291" width="8.1640625" style="2" hidden="1"/>
    <col min="12292" max="12292" width="9.1640625" style="2" hidden="1"/>
    <col min="12293" max="12293" width="9.6640625" style="2" hidden="1"/>
    <col min="12294" max="12294" width="11.1640625" style="2" hidden="1"/>
    <col min="12295" max="12295" width="10.33203125" style="2" hidden="1"/>
    <col min="12296" max="12296" width="10.5" style="2" hidden="1"/>
    <col min="12297" max="12545" width="8" style="2" hidden="1"/>
    <col min="12546" max="12546" width="28.1640625" style="2" hidden="1"/>
    <col min="12547" max="12547" width="8.1640625" style="2" hidden="1"/>
    <col min="12548" max="12548" width="9.1640625" style="2" hidden="1"/>
    <col min="12549" max="12549" width="9.6640625" style="2" hidden="1"/>
    <col min="12550" max="12550" width="11.1640625" style="2" hidden="1"/>
    <col min="12551" max="12551" width="10.33203125" style="2" hidden="1"/>
    <col min="12552" max="12552" width="10.5" style="2" hidden="1"/>
    <col min="12553" max="12801" width="8" style="2" hidden="1"/>
    <col min="12802" max="12802" width="28.1640625" style="2" hidden="1"/>
    <col min="12803" max="12803" width="8.1640625" style="2" hidden="1"/>
    <col min="12804" max="12804" width="9.1640625" style="2" hidden="1"/>
    <col min="12805" max="12805" width="9.6640625" style="2" hidden="1"/>
    <col min="12806" max="12806" width="11.1640625" style="2" hidden="1"/>
    <col min="12807" max="12807" width="10.33203125" style="2" hidden="1"/>
    <col min="12808" max="12808" width="10.5" style="2" hidden="1"/>
    <col min="12809" max="13057" width="8" style="2" hidden="1"/>
    <col min="13058" max="13058" width="28.1640625" style="2" hidden="1"/>
    <col min="13059" max="13059" width="8.1640625" style="2" hidden="1"/>
    <col min="13060" max="13060" width="9.1640625" style="2" hidden="1"/>
    <col min="13061" max="13061" width="9.6640625" style="2" hidden="1"/>
    <col min="13062" max="13062" width="11.1640625" style="2" hidden="1"/>
    <col min="13063" max="13063" width="10.33203125" style="2" hidden="1"/>
    <col min="13064" max="13064" width="10.5" style="2" hidden="1"/>
    <col min="13065" max="13313" width="9" style="2" hidden="1"/>
    <col min="13314" max="13314" width="28.1640625" style="2" hidden="1"/>
    <col min="13315" max="13315" width="8.1640625" style="2" hidden="1"/>
    <col min="13316" max="13316" width="9.1640625" style="2" hidden="1"/>
    <col min="13317" max="13317" width="9.6640625" style="2" hidden="1"/>
    <col min="13318" max="13318" width="11.1640625" style="2" hidden="1"/>
    <col min="13319" max="13319" width="10.33203125" style="2" hidden="1"/>
    <col min="13320" max="13320" width="10.5" style="2" hidden="1"/>
    <col min="13321" max="13569" width="8" style="2" hidden="1"/>
    <col min="13570" max="13570" width="28.1640625" style="2" hidden="1"/>
    <col min="13571" max="13571" width="8.1640625" style="2" hidden="1"/>
    <col min="13572" max="13572" width="9.1640625" style="2" hidden="1"/>
    <col min="13573" max="13573" width="9.6640625" style="2" hidden="1"/>
    <col min="13574" max="13574" width="11.1640625" style="2" hidden="1"/>
    <col min="13575" max="13575" width="10.33203125" style="2" hidden="1"/>
    <col min="13576" max="13576" width="10.5" style="2" hidden="1"/>
    <col min="13577" max="13825" width="8" style="2" hidden="1"/>
    <col min="13826" max="13826" width="28.1640625" style="2" hidden="1"/>
    <col min="13827" max="13827" width="8.1640625" style="2" hidden="1"/>
    <col min="13828" max="13828" width="9.1640625" style="2" hidden="1"/>
    <col min="13829" max="13829" width="9.6640625" style="2" hidden="1"/>
    <col min="13830" max="13830" width="11.1640625" style="2" hidden="1"/>
    <col min="13831" max="13831" width="10.33203125" style="2" hidden="1"/>
    <col min="13832" max="13832" width="10.5" style="2" hidden="1"/>
    <col min="13833" max="14081" width="8" style="2" hidden="1"/>
    <col min="14082" max="14082" width="28.1640625" style="2" hidden="1"/>
    <col min="14083" max="14083" width="8.1640625" style="2" hidden="1"/>
    <col min="14084" max="14084" width="9.1640625" style="2" hidden="1"/>
    <col min="14085" max="14085" width="9.6640625" style="2" hidden="1"/>
    <col min="14086" max="14086" width="11.1640625" style="2" hidden="1"/>
    <col min="14087" max="14087" width="10.33203125" style="2" hidden="1"/>
    <col min="14088" max="14088" width="10.5" style="2" hidden="1"/>
    <col min="14089" max="14337" width="9" style="2" hidden="1"/>
    <col min="14338" max="14338" width="28.1640625" style="2" hidden="1"/>
    <col min="14339" max="14339" width="8.1640625" style="2" hidden="1"/>
    <col min="14340" max="14340" width="9.1640625" style="2" hidden="1"/>
    <col min="14341" max="14341" width="9.6640625" style="2" hidden="1"/>
    <col min="14342" max="14342" width="11.1640625" style="2" hidden="1"/>
    <col min="14343" max="14343" width="10.33203125" style="2" hidden="1"/>
    <col min="14344" max="14344" width="10.5" style="2" hidden="1"/>
    <col min="14345" max="14593" width="8" style="2" hidden="1"/>
    <col min="14594" max="14594" width="28.1640625" style="2" hidden="1"/>
    <col min="14595" max="14595" width="8.1640625" style="2" hidden="1"/>
    <col min="14596" max="14596" width="9.1640625" style="2" hidden="1"/>
    <col min="14597" max="14597" width="9.6640625" style="2" hidden="1"/>
    <col min="14598" max="14598" width="11.1640625" style="2" hidden="1"/>
    <col min="14599" max="14599" width="10.33203125" style="2" hidden="1"/>
    <col min="14600" max="14600" width="10.5" style="2" hidden="1"/>
    <col min="14601" max="14849" width="8" style="2" hidden="1"/>
    <col min="14850" max="14850" width="28.1640625" style="2" hidden="1"/>
    <col min="14851" max="14851" width="8.1640625" style="2" hidden="1"/>
    <col min="14852" max="14852" width="9.1640625" style="2" hidden="1"/>
    <col min="14853" max="14853" width="9.6640625" style="2" hidden="1"/>
    <col min="14854" max="14854" width="11.1640625" style="2" hidden="1"/>
    <col min="14855" max="14855" width="10.33203125" style="2" hidden="1"/>
    <col min="14856" max="14856" width="10.5" style="2" hidden="1"/>
    <col min="14857" max="15105" width="8" style="2" hidden="1"/>
    <col min="15106" max="15106" width="28.1640625" style="2" hidden="1"/>
    <col min="15107" max="15107" width="8.1640625" style="2" hidden="1"/>
    <col min="15108" max="15108" width="9.1640625" style="2" hidden="1"/>
    <col min="15109" max="15109" width="9.6640625" style="2" hidden="1"/>
    <col min="15110" max="15110" width="11.1640625" style="2" hidden="1"/>
    <col min="15111" max="15111" width="10.33203125" style="2" hidden="1"/>
    <col min="15112" max="15112" width="10.5" style="2" hidden="1"/>
    <col min="15113" max="15361" width="9" style="2" hidden="1"/>
    <col min="15362" max="15362" width="28.1640625" style="2" hidden="1"/>
    <col min="15363" max="15363" width="8.1640625" style="2" hidden="1"/>
    <col min="15364" max="15364" width="9.1640625" style="2" hidden="1"/>
    <col min="15365" max="15365" width="9.6640625" style="2" hidden="1"/>
    <col min="15366" max="15366" width="11.1640625" style="2" hidden="1"/>
    <col min="15367" max="15367" width="10.33203125" style="2" hidden="1"/>
    <col min="15368" max="15368" width="10.5" style="2" hidden="1"/>
    <col min="15369" max="15617" width="8" style="2" hidden="1"/>
    <col min="15618" max="15618" width="28.1640625" style="2" hidden="1"/>
    <col min="15619" max="15619" width="8.1640625" style="2" hidden="1"/>
    <col min="15620" max="15620" width="9.1640625" style="2" hidden="1"/>
    <col min="15621" max="15621" width="9.6640625" style="2" hidden="1"/>
    <col min="15622" max="15622" width="11.1640625" style="2" hidden="1"/>
    <col min="15623" max="15623" width="10.33203125" style="2" hidden="1"/>
    <col min="15624" max="15624" width="10.5" style="2" hidden="1"/>
    <col min="15625" max="15873" width="8" style="2" hidden="1"/>
    <col min="15874" max="15874" width="28.1640625" style="2" hidden="1"/>
    <col min="15875" max="15875" width="8.1640625" style="2" hidden="1"/>
    <col min="15876" max="15876" width="9.1640625" style="2" hidden="1"/>
    <col min="15877" max="15877" width="9.6640625" style="2" hidden="1"/>
    <col min="15878" max="15878" width="11.1640625" style="2" hidden="1"/>
    <col min="15879" max="15879" width="10.33203125" style="2" hidden="1"/>
    <col min="15880" max="15880" width="10.5" style="2" hidden="1"/>
    <col min="15881" max="16129" width="8" style="2" hidden="1"/>
    <col min="16130" max="16130" width="28.1640625" style="2" hidden="1"/>
    <col min="16131" max="16131" width="8.1640625" style="2" hidden="1"/>
    <col min="16132" max="16132" width="9.1640625" style="2" hidden="1"/>
    <col min="16133" max="16133" width="9.6640625" style="2" hidden="1"/>
    <col min="16134" max="16134" width="11.1640625" style="2" hidden="1"/>
    <col min="16135" max="16135" width="10.33203125" style="2" hidden="1"/>
    <col min="16136" max="16136" width="10.5" style="2" hidden="1"/>
    <col min="16137" max="16384" width="9" style="2" hidden="1"/>
  </cols>
  <sheetData>
    <row r="1" spans="2:8">
      <c r="B1" s="2" t="s">
        <v>28</v>
      </c>
      <c r="F1" s="3" t="s">
        <v>29</v>
      </c>
    </row>
    <row r="2" spans="2:8" ht="4.5" customHeight="1" thickBot="1"/>
    <row r="3" spans="2:8" ht="20.25" customHeight="1">
      <c r="B3" s="341" t="s">
        <v>873</v>
      </c>
      <c r="C3" s="342"/>
      <c r="D3" s="342"/>
      <c r="E3" s="342"/>
      <c r="F3" s="343"/>
      <c r="G3" s="18"/>
      <c r="H3" s="34"/>
    </row>
    <row r="4" spans="2:8" ht="6" customHeight="1">
      <c r="B4" s="4"/>
      <c r="C4" s="10"/>
      <c r="E4" s="10"/>
      <c r="F4" s="15"/>
      <c r="G4" s="18"/>
      <c r="H4" s="18"/>
    </row>
    <row r="5" spans="2:8">
      <c r="B5" s="77" t="s">
        <v>399</v>
      </c>
      <c r="C5" s="78" t="s">
        <v>4</v>
      </c>
      <c r="D5" s="78" t="s">
        <v>9</v>
      </c>
      <c r="E5" s="79" t="s">
        <v>30</v>
      </c>
      <c r="F5" s="36" t="s">
        <v>31</v>
      </c>
      <c r="G5" s="18"/>
      <c r="H5" s="18"/>
    </row>
    <row r="6" spans="2:8">
      <c r="B6" s="7" t="s">
        <v>32</v>
      </c>
      <c r="C6" s="8" t="s">
        <v>33</v>
      </c>
      <c r="D6" s="71">
        <f>'Input quantities'!D5</f>
        <v>45</v>
      </c>
      <c r="E6" s="10">
        <v>22</v>
      </c>
      <c r="F6" s="12">
        <f>D6*E6</f>
        <v>990</v>
      </c>
      <c r="G6" s="99" t="s">
        <v>66</v>
      </c>
      <c r="H6" s="99"/>
    </row>
    <row r="7" spans="2:8">
      <c r="B7" s="7" t="s">
        <v>34</v>
      </c>
      <c r="C7" s="72"/>
      <c r="D7" s="72">
        <v>0</v>
      </c>
      <c r="E7" s="73">
        <v>0</v>
      </c>
      <c r="F7" s="12">
        <f>D7*E7</f>
        <v>0</v>
      </c>
      <c r="G7" s="35"/>
      <c r="H7" s="35"/>
    </row>
    <row r="8" spans="2:8">
      <c r="B8" s="13" t="s">
        <v>35</v>
      </c>
      <c r="C8" s="10"/>
      <c r="D8" s="86"/>
      <c r="E8" s="10"/>
      <c r="F8" s="16">
        <v>15</v>
      </c>
      <c r="G8" s="35"/>
      <c r="H8" s="35"/>
    </row>
    <row r="9" spans="2:8">
      <c r="B9" s="13" t="s">
        <v>36</v>
      </c>
      <c r="C9" s="10"/>
      <c r="D9" s="86"/>
      <c r="E9" s="10"/>
      <c r="F9" s="89">
        <v>0</v>
      </c>
      <c r="G9" s="35"/>
      <c r="H9" s="35"/>
    </row>
    <row r="10" spans="2:8">
      <c r="B10" s="83" t="s">
        <v>404</v>
      </c>
      <c r="C10" s="5"/>
      <c r="D10" s="19"/>
      <c r="E10" s="19"/>
      <c r="F10" s="84">
        <f>SUM(F6:F9)</f>
        <v>1005</v>
      </c>
      <c r="G10" s="10"/>
      <c r="H10" s="10"/>
    </row>
    <row r="11" spans="2:8">
      <c r="B11" s="9"/>
      <c r="C11" s="10"/>
      <c r="D11" s="11"/>
      <c r="E11" s="10"/>
      <c r="F11" s="12"/>
      <c r="G11" s="10"/>
      <c r="H11" s="10"/>
    </row>
    <row r="12" spans="2:8">
      <c r="B12" s="80" t="s">
        <v>400</v>
      </c>
      <c r="C12" s="90" t="s">
        <v>37</v>
      </c>
      <c r="D12" s="90" t="s">
        <v>30</v>
      </c>
      <c r="E12" s="10"/>
      <c r="F12" s="12"/>
      <c r="G12" s="37"/>
      <c r="H12" s="37"/>
    </row>
    <row r="13" spans="2:8">
      <c r="B13" s="13" t="s">
        <v>20</v>
      </c>
      <c r="C13" s="91">
        <v>200000</v>
      </c>
      <c r="D13" s="75">
        <f>'Input prices'!G15</f>
        <v>75</v>
      </c>
      <c r="F13" s="12">
        <f>D13*C13/'Input quantities'!D10</f>
        <v>107.14285714285714</v>
      </c>
      <c r="G13" s="10"/>
      <c r="H13" s="10"/>
    </row>
    <row r="14" spans="2:8">
      <c r="B14" s="13" t="s">
        <v>859</v>
      </c>
      <c r="C14" s="74"/>
      <c r="D14" s="75"/>
      <c r="E14" s="98"/>
      <c r="F14" s="12">
        <f>SUM(E15:E19)</f>
        <v>107</v>
      </c>
      <c r="G14" s="10"/>
      <c r="H14" s="10"/>
    </row>
    <row r="15" spans="2:8">
      <c r="B15" s="14" t="s">
        <v>860</v>
      </c>
      <c r="C15" s="74"/>
      <c r="D15" s="75"/>
      <c r="E15" s="97">
        <f>C15*D15</f>
        <v>0</v>
      </c>
      <c r="F15" s="12"/>
      <c r="G15" s="10"/>
      <c r="H15" s="10"/>
    </row>
    <row r="16" spans="2:8">
      <c r="B16" s="14" t="s">
        <v>861</v>
      </c>
      <c r="C16" s="74">
        <v>1</v>
      </c>
      <c r="D16" s="75">
        <v>55</v>
      </c>
      <c r="E16" s="97">
        <f>C16*D16</f>
        <v>55</v>
      </c>
      <c r="F16" s="12"/>
      <c r="G16" s="10"/>
      <c r="H16" s="10"/>
    </row>
    <row r="17" spans="2:8">
      <c r="B17" s="14" t="s">
        <v>862</v>
      </c>
      <c r="C17" s="74">
        <v>1</v>
      </c>
      <c r="D17" s="75">
        <v>52</v>
      </c>
      <c r="E17" s="97">
        <f>C17*D17</f>
        <v>52</v>
      </c>
      <c r="F17" s="12"/>
      <c r="G17" s="10"/>
      <c r="H17" s="10"/>
    </row>
    <row r="18" spans="2:8">
      <c r="B18" s="14" t="s">
        <v>759</v>
      </c>
      <c r="C18" s="74"/>
      <c r="D18" s="75"/>
      <c r="E18" s="97">
        <f>D18*C18</f>
        <v>0</v>
      </c>
      <c r="F18" s="12"/>
      <c r="G18" s="10"/>
      <c r="H18" s="10"/>
    </row>
    <row r="19" spans="2:8">
      <c r="B19" s="14" t="s">
        <v>13</v>
      </c>
      <c r="C19" s="74">
        <v>0</v>
      </c>
      <c r="D19" s="75">
        <f>IF('Input prices'!$G14&gt;0,'Input prices'!$G14,'Input prices'!$D14)</f>
        <v>30</v>
      </c>
      <c r="E19" s="97">
        <f>C19*D19</f>
        <v>0</v>
      </c>
      <c r="F19" s="15"/>
      <c r="G19" s="10"/>
      <c r="H19" s="10"/>
    </row>
    <row r="20" spans="2:8">
      <c r="B20" s="13" t="s">
        <v>39</v>
      </c>
      <c r="C20" s="74"/>
      <c r="D20" s="75"/>
      <c r="E20" s="97"/>
      <c r="F20" s="12">
        <f>E21+E22+E23</f>
        <v>100</v>
      </c>
      <c r="G20" s="10"/>
      <c r="H20" s="10"/>
    </row>
    <row r="21" spans="2:8">
      <c r="B21" s="14" t="s">
        <v>863</v>
      </c>
      <c r="C21" s="74"/>
      <c r="D21" s="75"/>
      <c r="E21" s="97">
        <f>C21*D21</f>
        <v>0</v>
      </c>
      <c r="F21" s="12"/>
      <c r="G21" s="18"/>
      <c r="H21" s="18"/>
    </row>
    <row r="22" spans="2:8">
      <c r="B22" s="14" t="s">
        <v>874</v>
      </c>
      <c r="C22" s="74">
        <v>4</v>
      </c>
      <c r="D22" s="75">
        <v>25</v>
      </c>
      <c r="E22" s="97">
        <f>C22*D22</f>
        <v>100</v>
      </c>
      <c r="F22" s="12"/>
      <c r="G22" s="18"/>
      <c r="H22" s="18"/>
    </row>
    <row r="23" spans="2:8">
      <c r="B23" s="14" t="s">
        <v>865</v>
      </c>
      <c r="C23" s="74"/>
      <c r="D23" s="75"/>
      <c r="E23" s="97">
        <f t="shared" ref="E23" si="0">C23*D23</f>
        <v>0</v>
      </c>
      <c r="F23" s="12"/>
      <c r="G23" s="18"/>
      <c r="H23" s="18"/>
    </row>
    <row r="24" spans="2:8">
      <c r="B24" s="13" t="s">
        <v>788</v>
      </c>
      <c r="C24" s="243" t="str">
        <f>IF('Input quantities'!D6&gt;'Input quantities'!E25,'Input quantities'!D6-'Input quantities'!E25,"-")</f>
        <v>-</v>
      </c>
      <c r="D24" s="75">
        <f>'Input prices'!D19</f>
        <v>0.05</v>
      </c>
      <c r="E24" s="97"/>
      <c r="F24" s="12">
        <f>IFERROR(C24*100*D24*D6,0)</f>
        <v>0</v>
      </c>
      <c r="G24" s="10"/>
      <c r="H24" s="10"/>
    </row>
    <row r="25" spans="2:8">
      <c r="B25" s="13" t="s">
        <v>40</v>
      </c>
      <c r="C25" s="74"/>
      <c r="D25" s="75"/>
      <c r="E25" s="10"/>
      <c r="F25" s="16">
        <v>8.5</v>
      </c>
      <c r="G25" s="10"/>
      <c r="H25" s="10"/>
    </row>
    <row r="26" spans="2:8">
      <c r="B26" s="13" t="s">
        <v>41</v>
      </c>
      <c r="C26" s="74"/>
      <c r="D26" s="75"/>
      <c r="E26" s="10"/>
      <c r="F26" s="16">
        <v>26</v>
      </c>
      <c r="G26" s="10"/>
      <c r="H26" s="10"/>
    </row>
    <row r="27" spans="2:8">
      <c r="B27" s="13" t="s">
        <v>42</v>
      </c>
      <c r="C27" s="74"/>
      <c r="D27" s="75"/>
      <c r="E27" s="10"/>
      <c r="F27" s="237">
        <f>G69</f>
        <v>0</v>
      </c>
      <c r="G27" s="10"/>
      <c r="H27" s="10"/>
    </row>
    <row r="28" spans="2:8">
      <c r="B28" s="13" t="s">
        <v>835</v>
      </c>
      <c r="C28" s="74">
        <f>D83</f>
        <v>0.78329731892757115</v>
      </c>
      <c r="D28" s="75">
        <f>'Input prices'!D20</f>
        <v>26</v>
      </c>
      <c r="E28" s="10"/>
      <c r="F28" s="237">
        <f>D28*C28</f>
        <v>20.365730292116851</v>
      </c>
      <c r="G28" s="10"/>
      <c r="H28" s="10"/>
    </row>
    <row r="29" spans="2:8">
      <c r="B29" s="13" t="s">
        <v>774</v>
      </c>
      <c r="C29" s="74">
        <f>E83</f>
        <v>5.1790512204881951</v>
      </c>
      <c r="D29" s="75">
        <f>'Input prices'!D21</f>
        <v>3.25</v>
      </c>
      <c r="E29" s="10"/>
      <c r="F29" s="237">
        <f>C29*D29</f>
        <v>16.831916466586634</v>
      </c>
      <c r="G29" s="10"/>
      <c r="H29" s="10"/>
    </row>
    <row r="30" spans="2:8">
      <c r="B30" s="13" t="s">
        <v>43</v>
      </c>
      <c r="C30" s="74"/>
      <c r="D30" s="75"/>
      <c r="E30" s="10"/>
      <c r="F30" s="237">
        <f>F83-F29-F28</f>
        <v>28.581316183223436</v>
      </c>
      <c r="G30" s="10"/>
      <c r="H30" s="10"/>
    </row>
    <row r="31" spans="2:8">
      <c r="B31" s="13" t="s">
        <v>395</v>
      </c>
      <c r="C31" s="74"/>
      <c r="D31" s="75"/>
      <c r="E31" s="10"/>
      <c r="F31" s="237">
        <f>F10*0.03</f>
        <v>30.15</v>
      </c>
      <c r="G31" s="10"/>
      <c r="H31" s="10"/>
    </row>
    <row r="32" spans="2:8">
      <c r="B32" s="13" t="s">
        <v>44</v>
      </c>
      <c r="C32" s="74"/>
      <c r="D32" s="75"/>
      <c r="E32" s="10"/>
      <c r="F32" s="16">
        <v>0</v>
      </c>
      <c r="G32" s="10"/>
      <c r="H32" s="10"/>
    </row>
    <row r="33" spans="2:8">
      <c r="B33" s="13" t="s">
        <v>16</v>
      </c>
      <c r="C33" s="85">
        <f>SUM(F13:F32)/2</f>
        <v>222.285910042392</v>
      </c>
      <c r="D33" s="76">
        <f>'Input prices'!D22</f>
        <v>0.09</v>
      </c>
      <c r="E33" s="74"/>
      <c r="F33" s="17">
        <f>D33*C33</f>
        <v>20.005731903815281</v>
      </c>
      <c r="G33" s="10"/>
      <c r="H33" s="10"/>
    </row>
    <row r="34" spans="2:8">
      <c r="B34" s="82" t="s">
        <v>402</v>
      </c>
      <c r="C34" s="10"/>
      <c r="D34" s="11"/>
      <c r="E34" s="10"/>
      <c r="F34" s="81">
        <f>SUM(F13:F33)</f>
        <v>464.57755198859928</v>
      </c>
      <c r="G34" s="10"/>
      <c r="H34" s="10"/>
    </row>
    <row r="35" spans="2:8">
      <c r="B35" s="9"/>
      <c r="C35" s="10"/>
      <c r="D35" s="11"/>
      <c r="E35" s="10"/>
      <c r="F35" s="15"/>
      <c r="G35" s="37"/>
      <c r="H35" s="37"/>
    </row>
    <row r="36" spans="2:8">
      <c r="B36" s="80" t="s">
        <v>401</v>
      </c>
      <c r="C36" s="10"/>
      <c r="D36" s="11"/>
      <c r="E36" s="10"/>
      <c r="F36" s="12"/>
      <c r="G36" s="10"/>
      <c r="H36" s="10"/>
    </row>
    <row r="37" spans="2:8">
      <c r="B37" s="13" t="s">
        <v>26</v>
      </c>
      <c r="C37" s="18"/>
      <c r="D37" s="11"/>
      <c r="E37" s="10"/>
      <c r="F37" s="12">
        <f>F10*'Input prices'!D25</f>
        <v>10.050000000000001</v>
      </c>
      <c r="G37" s="10"/>
      <c r="H37" s="10"/>
    </row>
    <row r="38" spans="2:8">
      <c r="B38" s="13" t="s">
        <v>412</v>
      </c>
      <c r="C38" s="10"/>
      <c r="D38" s="11"/>
      <c r="E38" s="10"/>
      <c r="F38" s="12">
        <f>G83</f>
        <v>80.082641980829493</v>
      </c>
      <c r="G38" s="10"/>
      <c r="H38" s="10"/>
    </row>
    <row r="39" spans="2:8">
      <c r="B39" s="13" t="s">
        <v>45</v>
      </c>
      <c r="C39" s="10"/>
      <c r="D39" s="11"/>
      <c r="E39" s="10"/>
      <c r="F39" s="17">
        <f>IF('Input prices'!D26&gt;0,'Input prices'!D26,'Input prices'!G26)</f>
        <v>185</v>
      </c>
      <c r="G39" s="10"/>
      <c r="H39" s="10"/>
    </row>
    <row r="40" spans="2:8">
      <c r="B40" s="82" t="s">
        <v>403</v>
      </c>
      <c r="C40" s="10"/>
      <c r="D40" s="11"/>
      <c r="E40" s="10"/>
      <c r="F40" s="81">
        <f>SUM(F37:F39)</f>
        <v>275.13264198082948</v>
      </c>
      <c r="G40" s="10"/>
      <c r="H40" s="10"/>
    </row>
    <row r="41" spans="2:8">
      <c r="B41" s="9"/>
      <c r="C41" s="10"/>
      <c r="D41" s="11"/>
      <c r="E41" s="10"/>
      <c r="F41" s="70"/>
      <c r="G41" s="37"/>
      <c r="H41" s="37"/>
    </row>
    <row r="42" spans="2:8" ht="15" customHeight="1">
      <c r="B42" s="82" t="s">
        <v>405</v>
      </c>
      <c r="C42" s="10"/>
      <c r="D42" s="11"/>
      <c r="E42" s="11"/>
      <c r="F42" s="81">
        <f>F34+F40</f>
        <v>739.7101939694287</v>
      </c>
      <c r="G42" s="10"/>
      <c r="H42" s="10"/>
    </row>
    <row r="43" spans="2:8">
      <c r="B43" s="94"/>
      <c r="C43" s="92"/>
      <c r="D43" s="93"/>
      <c r="E43" s="92"/>
      <c r="F43" s="95"/>
      <c r="G43" s="37"/>
      <c r="H43" s="37"/>
    </row>
    <row r="44" spans="2:8">
      <c r="B44" s="87" t="s">
        <v>396</v>
      </c>
      <c r="C44" s="10"/>
      <c r="D44" s="11"/>
      <c r="E44" s="10"/>
      <c r="F44" s="6">
        <f>F10-F34</f>
        <v>540.42244801140077</v>
      </c>
      <c r="G44" s="18"/>
      <c r="H44" s="10"/>
    </row>
    <row r="45" spans="2:8">
      <c r="B45" s="87" t="s">
        <v>397</v>
      </c>
      <c r="C45" s="10"/>
      <c r="D45" s="11"/>
      <c r="E45" s="10"/>
      <c r="F45" s="6">
        <f>F10-F42</f>
        <v>265.2898060305713</v>
      </c>
      <c r="G45" s="10"/>
      <c r="H45" s="10"/>
    </row>
    <row r="46" spans="2:8">
      <c r="B46" s="96" t="s">
        <v>398</v>
      </c>
      <c r="C46" s="5"/>
      <c r="D46" s="19"/>
      <c r="E46" s="5"/>
      <c r="F46" s="36">
        <f>F10-F42+F39+F31</f>
        <v>480.43980603057128</v>
      </c>
      <c r="G46" s="10"/>
      <c r="H46" s="10"/>
    </row>
    <row r="47" spans="2:8">
      <c r="B47" s="9"/>
      <c r="C47" s="10"/>
      <c r="D47" s="10" t="s">
        <v>46</v>
      </c>
      <c r="E47" s="10"/>
      <c r="F47" s="12">
        <f>F34/D6</f>
        <v>10.323945599746651</v>
      </c>
      <c r="G47" s="18"/>
      <c r="H47" s="18"/>
    </row>
    <row r="48" spans="2:8">
      <c r="B48" s="9"/>
      <c r="C48" s="10"/>
      <c r="D48" s="10" t="s">
        <v>47</v>
      </c>
      <c r="E48" s="10"/>
      <c r="F48" s="12">
        <f>F40/D6</f>
        <v>6.1140587106850992</v>
      </c>
      <c r="G48" s="10"/>
      <c r="H48" s="10"/>
    </row>
    <row r="49" spans="2:8" ht="17" thickBot="1">
      <c r="B49" s="20"/>
      <c r="C49" s="21"/>
      <c r="D49" s="21" t="s">
        <v>48</v>
      </c>
      <c r="E49" s="21"/>
      <c r="F49" s="38">
        <f>F42/D6</f>
        <v>16.438004310431747</v>
      </c>
      <c r="G49" s="10"/>
      <c r="H49" s="10"/>
    </row>
    <row r="50" spans="2:8">
      <c r="B50" s="18"/>
      <c r="C50" s="10"/>
      <c r="D50" s="11"/>
      <c r="E50" s="10"/>
      <c r="F50" s="18"/>
      <c r="G50" s="10"/>
      <c r="H50" s="10"/>
    </row>
    <row r="51" spans="2:8">
      <c r="B51" s="18"/>
      <c r="C51" s="10"/>
      <c r="D51" s="11"/>
      <c r="E51" s="10"/>
      <c r="F51" s="18"/>
      <c r="G51" s="10"/>
      <c r="H51" s="10"/>
    </row>
    <row r="52" spans="2:8">
      <c r="B52" s="18"/>
      <c r="C52" s="10"/>
      <c r="D52" s="10"/>
      <c r="E52" s="10"/>
      <c r="F52" s="10"/>
      <c r="G52" s="10"/>
      <c r="H52" s="10"/>
    </row>
    <row r="53" spans="2:8">
      <c r="G53" s="18"/>
      <c r="H53" s="18"/>
    </row>
    <row r="54" spans="2:8">
      <c r="B54" s="22" t="str">
        <f>"Detailed Report: "&amp;B3</f>
        <v>Detailed Report: Organic Soybean Enterprise Budget</v>
      </c>
      <c r="C54" s="23"/>
      <c r="D54" s="24"/>
      <c r="E54" s="23"/>
      <c r="F54" s="25"/>
      <c r="G54" s="26"/>
    </row>
    <row r="55" spans="2:8">
      <c r="C55" s="27"/>
      <c r="D55" s="24"/>
      <c r="E55" s="25"/>
      <c r="F55" s="25"/>
      <c r="G55" s="25"/>
    </row>
    <row r="56" spans="2:8">
      <c r="B56" s="28" t="s">
        <v>49</v>
      </c>
      <c r="C56" s="29" t="s">
        <v>50</v>
      </c>
      <c r="D56" s="30"/>
      <c r="E56" s="28" t="s">
        <v>51</v>
      </c>
      <c r="F56" s="28"/>
      <c r="G56" s="31"/>
      <c r="H56" s="29" t="s">
        <v>52</v>
      </c>
    </row>
    <row r="57" spans="2:8">
      <c r="B57" s="267" t="s">
        <v>53</v>
      </c>
      <c r="C57" s="268">
        <f>D6</f>
        <v>45</v>
      </c>
      <c r="D57" s="269"/>
      <c r="E57" s="267" t="s">
        <v>384</v>
      </c>
      <c r="F57" s="59"/>
      <c r="G57" s="59"/>
      <c r="H57" s="269">
        <f>E6</f>
        <v>22</v>
      </c>
    </row>
    <row r="58" spans="2:8">
      <c r="B58" s="267" t="s">
        <v>54</v>
      </c>
      <c r="C58" s="270">
        <f>C13</f>
        <v>200000</v>
      </c>
      <c r="D58" s="269"/>
      <c r="E58" s="267" t="str">
        <f>"Seed, per "&amp;'Input quantities'!D10&amp;" seed bag"</f>
        <v>Seed, per 140000 seed bag</v>
      </c>
      <c r="F58" s="59"/>
      <c r="G58" s="59"/>
      <c r="H58" s="269">
        <f>D13</f>
        <v>75</v>
      </c>
    </row>
    <row r="59" spans="2:8">
      <c r="B59" s="267" t="s">
        <v>836</v>
      </c>
      <c r="C59" s="304">
        <f>C19</f>
        <v>0</v>
      </c>
      <c r="D59" s="269"/>
      <c r="E59" s="267" t="s">
        <v>837</v>
      </c>
      <c r="F59" s="267"/>
      <c r="G59" s="59"/>
      <c r="H59" s="269">
        <f>D19</f>
        <v>30</v>
      </c>
    </row>
    <row r="60" spans="2:8">
      <c r="B60" s="267" t="s">
        <v>55</v>
      </c>
      <c r="C60" s="271">
        <f>D83</f>
        <v>0.78329731892757115</v>
      </c>
      <c r="D60" s="269"/>
      <c r="E60" s="267" t="s">
        <v>56</v>
      </c>
      <c r="F60" s="267"/>
      <c r="G60" s="59"/>
      <c r="H60" s="269">
        <f>'Input prices'!D20</f>
        <v>26</v>
      </c>
    </row>
    <row r="61" spans="2:8">
      <c r="B61" s="59" t="s">
        <v>838</v>
      </c>
      <c r="C61" s="305">
        <f>D33</f>
        <v>0.09</v>
      </c>
      <c r="D61" s="59"/>
      <c r="E61" s="267" t="s">
        <v>57</v>
      </c>
      <c r="F61" s="267"/>
      <c r="G61" s="59"/>
      <c r="H61" s="269">
        <f>'Input prices'!D21</f>
        <v>3.25</v>
      </c>
    </row>
    <row r="62" spans="2:8">
      <c r="E62" s="25"/>
      <c r="F62" s="25"/>
      <c r="H62" s="24"/>
    </row>
    <row r="63" spans="2:8">
      <c r="B63" s="28" t="s">
        <v>766</v>
      </c>
      <c r="C63" s="266" t="s">
        <v>767</v>
      </c>
      <c r="D63" s="220"/>
      <c r="E63" s="220"/>
      <c r="F63" s="220"/>
      <c r="G63" s="220"/>
      <c r="H63" s="59"/>
    </row>
    <row r="64" spans="2:8">
      <c r="B64" s="280" t="s">
        <v>594</v>
      </c>
      <c r="C64" s="280" t="s">
        <v>596</v>
      </c>
      <c r="D64" s="281" t="s">
        <v>15</v>
      </c>
      <c r="E64" s="282" t="s">
        <v>601</v>
      </c>
      <c r="F64" s="282" t="s">
        <v>787</v>
      </c>
      <c r="G64" s="280" t="s">
        <v>768</v>
      </c>
    </row>
    <row r="65" spans="2:8">
      <c r="B65" s="228" t="str">
        <f>'Custom hire'!B13</f>
        <v>Haul grain or seed from bin to market</v>
      </c>
      <c r="C65" s="222" t="str">
        <f>'Custom hire'!D13</f>
        <v>per bushel</v>
      </c>
      <c r="D65" s="221">
        <f>'Custom hire'!F13</f>
        <v>1</v>
      </c>
      <c r="E65" s="222">
        <f>'Custom hire'!C13</f>
        <v>0.28999999999999998</v>
      </c>
      <c r="F65" s="223" t="str">
        <f>IF(ISBLANK('Custom hire'!E13),"-",'Custom hire'!E13)</f>
        <v>-</v>
      </c>
      <c r="G65" s="223" t="str">
        <f>IFERROR(D65*E65*IF(C65="per acre",1,F65),"-")</f>
        <v>-</v>
      </c>
    </row>
    <row r="66" spans="2:8">
      <c r="B66" s="59">
        <f>'Custom hire'!B14</f>
        <v>0</v>
      </c>
      <c r="C66" s="59" t="str">
        <f>'Custom hire'!D14</f>
        <v/>
      </c>
      <c r="D66" s="221">
        <f>'Custom hire'!F14</f>
        <v>2</v>
      </c>
      <c r="E66" s="223" t="str">
        <f>'Custom hire'!C14</f>
        <v/>
      </c>
      <c r="F66" s="223" t="str">
        <f>IF(ISBLANK('Custom hire'!E14),"-",'Custom hire'!E14)</f>
        <v>-</v>
      </c>
      <c r="G66" s="223" t="str">
        <f>IFERROR(D66*E66*IF(C66="per acre",1,F66),"-")</f>
        <v>-</v>
      </c>
    </row>
    <row r="67" spans="2:8">
      <c r="B67" s="59">
        <f>'Custom hire'!B15</f>
        <v>0</v>
      </c>
      <c r="C67" s="59">
        <f>'Custom hire'!D15</f>
        <v>0</v>
      </c>
      <c r="D67" s="221">
        <f>'Custom hire'!F15</f>
        <v>0</v>
      </c>
      <c r="E67" s="223">
        <f>'Custom hire'!C15</f>
        <v>0</v>
      </c>
      <c r="F67" s="223" t="str">
        <f>IF(ISBLANK('Custom hire'!E15),"-",'Custom hire'!E15)</f>
        <v>-</v>
      </c>
      <c r="G67" s="223" t="str">
        <f>IFERROR(D67*E67*IF(C67="per acre",1,F67),"-")</f>
        <v>-</v>
      </c>
    </row>
    <row r="68" spans="2:8">
      <c r="B68" s="220">
        <f>'Custom hire'!B16</f>
        <v>0</v>
      </c>
      <c r="C68" s="220" t="str">
        <f>'Custom hire'!D16</f>
        <v/>
      </c>
      <c r="D68" s="224">
        <f>'Custom hire'!F16</f>
        <v>0</v>
      </c>
      <c r="E68" s="225" t="str">
        <f>'Custom hire'!C16</f>
        <v/>
      </c>
      <c r="F68" s="225" t="str">
        <f>IF(ISBLANK('Custom hire'!E16),"-",'Custom hire'!E16)</f>
        <v>-</v>
      </c>
      <c r="G68" s="225" t="str">
        <f>IFERROR(D68*E68*IF(C68="per acre",1,F68),"-")</f>
        <v>-</v>
      </c>
    </row>
    <row r="69" spans="2:8">
      <c r="B69" s="227" t="s">
        <v>769</v>
      </c>
      <c r="C69" s="226"/>
      <c r="D69" s="227"/>
      <c r="E69" s="226"/>
      <c r="F69" s="226"/>
      <c r="G69" s="229">
        <f>SUM(G65:G68)</f>
        <v>0</v>
      </c>
    </row>
    <row r="70" spans="2:8">
      <c r="B70" s="25"/>
      <c r="C70" s="27"/>
      <c r="D70" s="27"/>
      <c r="E70" s="27"/>
      <c r="F70" s="27"/>
      <c r="G70" s="27"/>
      <c r="H70" s="25"/>
    </row>
    <row r="71" spans="2:8" ht="34.5">
      <c r="B71" s="22"/>
      <c r="C71" s="32" t="s">
        <v>60</v>
      </c>
      <c r="D71" s="32" t="s">
        <v>58</v>
      </c>
      <c r="E71" s="32" t="s">
        <v>59</v>
      </c>
      <c r="F71" s="33" t="s">
        <v>410</v>
      </c>
      <c r="G71" s="33" t="s">
        <v>411</v>
      </c>
      <c r="H71" s="33" t="s">
        <v>409</v>
      </c>
    </row>
    <row r="72" spans="2:8">
      <c r="B72" s="28" t="s">
        <v>61</v>
      </c>
      <c r="C72" s="29" t="s">
        <v>65</v>
      </c>
      <c r="D72" s="29" t="s">
        <v>62</v>
      </c>
      <c r="E72" s="29" t="s">
        <v>63</v>
      </c>
      <c r="F72" s="29" t="s">
        <v>64</v>
      </c>
      <c r="G72" s="29" t="s">
        <v>64</v>
      </c>
      <c r="H72" s="29" t="s">
        <v>64</v>
      </c>
    </row>
    <row r="73" spans="2:8">
      <c r="B73" s="59" t="str">
        <f>CONCATENATE(Equipment!B43,"; ",Equipment!C43)</f>
        <v>Chisel plow, 22 Ft Folding, per acre; 160 HP MFWD</v>
      </c>
      <c r="C73" s="272">
        <f>IFERROR(Equipment!D43,"-")</f>
        <v>1</v>
      </c>
      <c r="D73" s="271">
        <f>IFERROR(Equipment!F43,"-")</f>
        <v>8.8235294117647065E-2</v>
      </c>
      <c r="E73" s="271">
        <f>IFERROR(Equipment!E43,"-")</f>
        <v>0.62117647058823522</v>
      </c>
      <c r="F73" s="271">
        <f>IFERROR(Equipment!G43,"-")</f>
        <v>7.4153017022983923</v>
      </c>
      <c r="G73" s="271">
        <f>IFERROR(Equipment!H43,"-")</f>
        <v>11.553870004976101</v>
      </c>
      <c r="H73" s="273">
        <f>SUM(F73:G73)</f>
        <v>18.969171707274494</v>
      </c>
    </row>
    <row r="74" spans="2:8">
      <c r="B74" s="59" t="str">
        <f>CONCATENATE(Equipment!B45,"; ",Equipment!C45)</f>
        <v>Field cultivator, 28 Ft Folding, per acre; 160 HP MFWD</v>
      </c>
      <c r="C74" s="272">
        <f>IFERROR(Equipment!D45,"-")</f>
        <v>2</v>
      </c>
      <c r="D74" s="271">
        <f>IFERROR(Equipment!F45,"-")</f>
        <v>9.9039615846338538E-2</v>
      </c>
      <c r="E74" s="271">
        <f>IFERROR(Equipment!E45,"-")</f>
        <v>0.69723889555822327</v>
      </c>
      <c r="F74" s="271">
        <f>IFERROR(Equipment!G45,"-")</f>
        <v>8.0829852889381666</v>
      </c>
      <c r="G74" s="271">
        <f>IFERROR(Equipment!H45,"-")</f>
        <v>10.432093520387751</v>
      </c>
      <c r="H74" s="273">
        <f t="shared" ref="H74:H82" si="1">SUM(F74:G74)</f>
        <v>18.515078809325917</v>
      </c>
    </row>
    <row r="75" spans="2:8">
      <c r="B75" s="59" t="str">
        <f>CONCATENATE(Equipment!B46,"; ",Equipment!C46)</f>
        <v>Row cultivator, 30 Ft Folding, per acre; 160 HP MFWD</v>
      </c>
      <c r="C75" s="272">
        <f>IFERROR(Equipment!D46,"-")</f>
        <v>3</v>
      </c>
      <c r="D75" s="271">
        <f>IFERROR(Equipment!F46,"-")</f>
        <v>0.19411764705882356</v>
      </c>
      <c r="E75" s="271">
        <f>IFERROR(Equipment!E46,"-")</f>
        <v>1.3665882352941177</v>
      </c>
      <c r="F75" s="271">
        <f>IFERROR(Equipment!G46,"-")</f>
        <v>15.775026052726819</v>
      </c>
      <c r="G75" s="271">
        <f>IFERROR(Equipment!H46,"-")</f>
        <v>19.342122066594751</v>
      </c>
      <c r="H75" s="273">
        <f t="shared" ref="H75:H76" si="2">SUM(F75:G75)</f>
        <v>35.11714811932157</v>
      </c>
    </row>
    <row r="76" spans="2:8">
      <c r="B76" s="59" t="str">
        <f>CONCATENATE(Equipment!B47,"; ",Equipment!C47)</f>
        <v>Row crop planter, 20 Ft Folding, per acre; 160 HP MFWD</v>
      </c>
      <c r="C76" s="272">
        <f>IFERROR(Equipment!D47,"-")</f>
        <v>1</v>
      </c>
      <c r="D76" s="271">
        <f>IFERROR(Equipment!F47,"-")</f>
        <v>0.10714285714285714</v>
      </c>
      <c r="E76" s="271">
        <f>IFERROR(Equipment!E47,"-")</f>
        <v>0.75428571428571412</v>
      </c>
      <c r="F76" s="271">
        <f>IFERROR(Equipment!G47,"-")</f>
        <v>9.9861755178410796</v>
      </c>
      <c r="G76" s="271">
        <f>IFERROR(Equipment!H47,"-")</f>
        <v>14.199056463772342</v>
      </c>
      <c r="H76" s="273">
        <f t="shared" si="2"/>
        <v>24.18523198161342</v>
      </c>
    </row>
    <row r="77" spans="2:8">
      <c r="B77" s="59" t="str">
        <f>CONCATENATE(Equipment!B48,"; ",Equipment!C48)</f>
        <v>Combine platform, 25 Ft, per acre; 275 HP Combine</v>
      </c>
      <c r="C77" s="272">
        <f>IFERROR(Equipment!D48,"-")</f>
        <v>1</v>
      </c>
      <c r="D77" s="271">
        <f>IFERROR(Equipment!F48,"-")</f>
        <v>0.10476190476190476</v>
      </c>
      <c r="E77" s="271">
        <f>IFERROR(Equipment!E48,"-")</f>
        <v>1.0947619047619046</v>
      </c>
      <c r="F77" s="271">
        <f>IFERROR(Equipment!G48,"-")</f>
        <v>14.647926134508426</v>
      </c>
      <c r="G77" s="271">
        <f>IFERROR(Equipment!H48,"-")</f>
        <v>19.918449503641831</v>
      </c>
      <c r="H77" s="273">
        <f t="shared" si="1"/>
        <v>34.566375638150255</v>
      </c>
    </row>
    <row r="78" spans="2:8">
      <c r="B78" s="59" t="str">
        <f>CONCATENATE(Equipment!B49,"; ",Equipment!C49)</f>
        <v>; 325 HP Tandem grain truck</v>
      </c>
      <c r="C78" s="272">
        <f>IFERROR(Equipment!D49,"-")</f>
        <v>0.04</v>
      </c>
      <c r="D78" s="271">
        <f>IFERROR(Equipment!F49,"-")</f>
        <v>0.04</v>
      </c>
      <c r="E78" s="271">
        <f>IFERROR(Equipment!E49,"-")</f>
        <v>0.19500000000000001</v>
      </c>
      <c r="F78" s="271">
        <f>IFERROR(Equipment!G49,"-")</f>
        <v>1.8564166666666668</v>
      </c>
      <c r="G78" s="271">
        <f>IFERROR(Equipment!H49,"-")</f>
        <v>0.57884752741873391</v>
      </c>
      <c r="H78" s="273">
        <f t="shared" si="1"/>
        <v>2.4352641940854007</v>
      </c>
    </row>
    <row r="79" spans="2:8">
      <c r="B79" s="59" t="str">
        <f>CONCATENATE(Equipment!B50,"; ",Equipment!C50)</f>
        <v>Grain auger, 13 In, per hour; 130 HP MFWD</v>
      </c>
      <c r="C79" s="272">
        <f>IFERROR(Equipment!D50,"-")</f>
        <v>0.02</v>
      </c>
      <c r="D79" s="271" t="str">
        <f>IFERROR(Equipment!F50,"-")</f>
        <v>-</v>
      </c>
      <c r="E79" s="271" t="str">
        <f>IFERROR(Equipment!E50,"-")</f>
        <v>-</v>
      </c>
      <c r="F79" s="271" t="str">
        <f>IFERROR(Equipment!G50,"-")</f>
        <v>-</v>
      </c>
      <c r="G79" s="271">
        <f>IFERROR(Equipment!H50,"-")</f>
        <v>0.81187231521216274</v>
      </c>
      <c r="H79" s="273">
        <f t="shared" si="1"/>
        <v>0.81187231521216274</v>
      </c>
    </row>
    <row r="80" spans="2:8">
      <c r="B80" s="59" t="str">
        <f>CONCATENATE(Equipment!B51,"; ",Equipment!C51)</f>
        <v>; 1 Ton 4x4 Pickup</v>
      </c>
      <c r="C80" s="272">
        <f>IFERROR(Equipment!D51,"-")</f>
        <v>0.15</v>
      </c>
      <c r="D80" s="271">
        <f>IFERROR(Equipment!F51,"-")</f>
        <v>0.15</v>
      </c>
      <c r="E80" s="271">
        <f>IFERROR(Equipment!E51,"-")</f>
        <v>0.44999999999999996</v>
      </c>
      <c r="F80" s="271">
        <f>IFERROR(Equipment!G51,"-")</f>
        <v>8.0151315789473685</v>
      </c>
      <c r="G80" s="271">
        <f>IFERROR(Equipment!H51,"-")</f>
        <v>3.2463305788258356</v>
      </c>
      <c r="H80" s="273">
        <f t="shared" si="1"/>
        <v>11.261462157773204</v>
      </c>
    </row>
    <row r="81" spans="1:9">
      <c r="B81" s="59" t="str">
        <f>CONCATENATE(Equipment!B52,"; ",Equipment!C52)</f>
        <v xml:space="preserve">; </v>
      </c>
      <c r="C81" s="272">
        <f>IFERROR(Equipment!D52,"-")</f>
        <v>0</v>
      </c>
      <c r="D81" s="271" t="str">
        <f>IFERROR(Equipment!F52,"-")</f>
        <v>-</v>
      </c>
      <c r="E81" s="271" t="str">
        <f>IFERROR(Equipment!E52,"-")</f>
        <v>-</v>
      </c>
      <c r="F81" s="271" t="str">
        <f>IFERROR(Equipment!G52,"-")</f>
        <v/>
      </c>
      <c r="G81" s="271" t="str">
        <f>IFERROR(Equipment!H52,"-")</f>
        <v>-</v>
      </c>
      <c r="H81" s="273">
        <f t="shared" si="1"/>
        <v>0</v>
      </c>
    </row>
    <row r="82" spans="1:9" ht="16.5" customHeight="1">
      <c r="B82" s="220" t="str">
        <f>CONCATENATE(Equipment!B53,"; ",Equipment!C53)</f>
        <v xml:space="preserve">; </v>
      </c>
      <c r="C82" s="274">
        <f>IFERROR(Equipment!D53,"-")</f>
        <v>0</v>
      </c>
      <c r="D82" s="275" t="str">
        <f>IFERROR(Equipment!F53,"-")</f>
        <v>-</v>
      </c>
      <c r="E82" s="275" t="str">
        <f>IFERROR(Equipment!E53,"-")</f>
        <v>-</v>
      </c>
      <c r="F82" s="275" t="str">
        <f>IFERROR(Equipment!G53,"-")</f>
        <v/>
      </c>
      <c r="G82" s="275" t="str">
        <f>IFERROR(Equipment!H53,"-")</f>
        <v>-</v>
      </c>
      <c r="H82" s="276">
        <f t="shared" si="1"/>
        <v>0</v>
      </c>
    </row>
    <row r="83" spans="1:9">
      <c r="B83" s="277" t="s">
        <v>829</v>
      </c>
      <c r="C83" s="278"/>
      <c r="D83" s="279">
        <f>SUM(D73:D82)</f>
        <v>0.78329731892757115</v>
      </c>
      <c r="E83" s="279">
        <f>SUM(E73:E82)</f>
        <v>5.1790512204881951</v>
      </c>
      <c r="F83" s="279">
        <f>SUM(F73:F82)</f>
        <v>65.77896294192692</v>
      </c>
      <c r="G83" s="279">
        <f>SUM(G73:G82)</f>
        <v>80.082641980829493</v>
      </c>
      <c r="H83" s="279">
        <f>SUM(H73:H82)</f>
        <v>145.86160492275638</v>
      </c>
    </row>
    <row r="84" spans="1:9"/>
    <row r="85" spans="1:9">
      <c r="B85" s="59" t="s">
        <v>406</v>
      </c>
    </row>
    <row r="86" spans="1:9">
      <c r="B86" s="59" t="s">
        <v>407</v>
      </c>
    </row>
    <row r="87" spans="1:9">
      <c r="B87" s="59" t="s">
        <v>408</v>
      </c>
    </row>
    <row r="88" spans="1:9"/>
    <row r="89" spans="1:9"/>
    <row r="90" spans="1:9"/>
    <row r="91" spans="1:9">
      <c r="B91" s="249" t="s">
        <v>816</v>
      </c>
    </row>
    <row r="92" spans="1:9" ht="16.5" customHeight="1">
      <c r="B92" s="339" t="s">
        <v>9</v>
      </c>
      <c r="C92" s="339"/>
      <c r="D92" s="339"/>
      <c r="E92" s="339"/>
      <c r="F92" s="339"/>
      <c r="G92" s="339"/>
      <c r="H92" s="339"/>
      <c r="I92" s="339"/>
    </row>
    <row r="93" spans="1:9">
      <c r="A93" s="340" t="s">
        <v>817</v>
      </c>
      <c r="B93" s="250"/>
      <c r="C93" s="298">
        <f>0.7*$D$6</f>
        <v>31.499999999999996</v>
      </c>
      <c r="D93" s="298">
        <f>0.8*$D$6</f>
        <v>36</v>
      </c>
      <c r="E93" s="298">
        <f>0.9*$D$6</f>
        <v>40.5</v>
      </c>
      <c r="F93" s="298">
        <f>1*$D$6</f>
        <v>45</v>
      </c>
      <c r="G93" s="298">
        <f>1.1*$D$6</f>
        <v>49.500000000000007</v>
      </c>
      <c r="H93" s="298">
        <f>1.2*$D$6</f>
        <v>54</v>
      </c>
      <c r="I93" s="298">
        <f>1.3*$D$6</f>
        <v>58.5</v>
      </c>
    </row>
    <row r="94" spans="1:9" s="299" customFormat="1">
      <c r="A94" s="340"/>
      <c r="B94" s="252">
        <f>0.7*$E$6</f>
        <v>15.399999999999999</v>
      </c>
      <c r="C94" s="284">
        <f>(C$93*$B94+SUM($F$7:$F$9)-((C$93*$B94+SUM($F$7:$F$9))/$F$10*$F$37)-($F$24*C$93/$D$6)-SUM($F$13:$F$23,$F$25:$F$30,$F$32:$F$33,$F$38))</f>
        <v>-19.411193969428837</v>
      </c>
      <c r="D94" s="285">
        <f>(D$93*$B94+SUM($F$7:$F$9)-((D$93*$B94+SUM($F$7:$F$9))/$F$10*$F$37)-($F$24*D$93/$D$6)-SUM($F$13:$F$23,$F$25:$F$30,$F$32:$F$33,$F$38))</f>
        <v>49.195806030571248</v>
      </c>
      <c r="E94" s="285">
        <f>(E$93*$B94+SUM($F$7:$F$9)-((E$93*$B94+SUM($F$7:$F$9))/$F$10*$F$37)-($F$24*E$93/$D$6)-SUM($F$13:$F$23,$F$25:$F$30,$F$32:$F$33,$F$38))</f>
        <v>117.80280603057122</v>
      </c>
      <c r="F94" s="286">
        <f>(F$93*$B94+SUM($F$7:$F$9)-((F$93*$B94+SUM($F$7:$F$9))/$F$10*$F$37)-($F$24*F$93/$D$6)-SUM($F$13:$F$23,$F$25:$F$30,$F$32:$F$33,$F$38))</f>
        <v>186.40980603057108</v>
      </c>
      <c r="G94" s="285">
        <f>(G$93*$B94+SUM($F$7:$F$9)-((G$93*$B94+SUM($F$7:$F$9))/$F$10*$F$37)-($F$24*G$93/$D$6)-SUM($F$13:$F$23,$F$25:$F$30,$F$32:$F$33,$F$38))</f>
        <v>255.01680603057127</v>
      </c>
      <c r="H94" s="285">
        <f>(H$93*$B94+SUM($F$7:$F$9)-((H$93*$B94+SUM($F$7:$F$9))/$F$10*$F$37)-($F$24*H$93/$D$6)-SUM($F$13:$F$23,$F$25:$F$30,$F$32:$F$33,$F$38))</f>
        <v>323.62380603057113</v>
      </c>
      <c r="I94" s="285">
        <f>(I$93*$B94+SUM($F$7:$F$9)-((I$93*$B94+SUM($F$7:$F$9))/$F$10*$F$37)-($F$24*I$93/$D$6)-SUM($F$13:$F$23,$F$25:$F$30,$F$32:$F$33,$F$38))</f>
        <v>392.2308060305711</v>
      </c>
    </row>
    <row r="95" spans="1:9" ht="18" customHeight="1">
      <c r="A95" s="340"/>
      <c r="B95" s="252">
        <f>0.8*$E$6</f>
        <v>17.600000000000001</v>
      </c>
      <c r="C95" s="288">
        <f>(C$93*$B95+SUM($F$7:$F$9)-((C$93*$B95+SUM($F$7:$F$9))/$F$10*$F$37)-($F$24*C$93/$D$6)-SUM($F$13:$F$23,$F$25:$F$30,$F$32:$F$33,$F$38))</f>
        <v>49.195806030571248</v>
      </c>
      <c r="D95" s="289">
        <f>(D$93*$B95+SUM($F$7:$F$9)-((D$93*$B95+SUM($F$7:$F$9))/$F$10*$F$37)-($F$24*D$93/$D$6)-SUM($F$13:$F$23,$F$25:$F$30,$F$32:$F$33,$F$38))</f>
        <v>127.60380603057126</v>
      </c>
      <c r="E95" s="289">
        <f>(E$93*$B95+SUM($F$7:$F$9)-((E$93*$B95+SUM($F$7:$F$9))/$F$10*$F$37)-($F$24*E$93/$D$6)-SUM($F$13:$F$23,$F$25:$F$30,$F$32:$F$33,$F$38))</f>
        <v>206.01180603057128</v>
      </c>
      <c r="F95" s="290">
        <f>(F$93*$B95+SUM($F$7:$F$9)-((F$93*$B95+SUM($F$7:$F$9))/$F$10*$F$37)-($F$24*F$93/$D$6)-SUM($F$13:$F$23,$F$25:$F$30,$F$32:$F$33,$F$38))</f>
        <v>284.41980603057129</v>
      </c>
      <c r="G95" s="289">
        <f>(G$93*$B95+SUM($F$7:$F$9)-((G$93*$B95+SUM($F$7:$F$9))/$F$10*$F$37)-($F$24*G$93/$D$6)-SUM($F$13:$F$23,$F$25:$F$30,$F$32:$F$33,$F$38))</f>
        <v>362.82780603057142</v>
      </c>
      <c r="H95" s="289">
        <f>(H$93*$B95+SUM($F$7:$F$9)-((H$93*$B95+SUM($F$7:$F$9))/$F$10*$F$37)-($F$24*H$93/$D$6)-SUM($F$13:$F$23,$F$25:$F$30,$F$32:$F$33,$F$38))</f>
        <v>441.23580603057133</v>
      </c>
      <c r="I95" s="289">
        <f>(I$93*$B95+SUM($F$7:$F$9)-((I$93*$B95+SUM($F$7:$F$9))/$F$10*$F$37)-($F$24*I$93/$D$6)-SUM($F$13:$F$23,$F$25:$F$30,$F$32:$F$33,$F$38))</f>
        <v>519.64380603057145</v>
      </c>
    </row>
    <row r="96" spans="1:9">
      <c r="A96" s="340"/>
      <c r="B96" s="252">
        <f>0.9*$E$6</f>
        <v>19.8</v>
      </c>
      <c r="C96" s="288">
        <f>(C$93*$B96+SUM($F$7:$F$9)-((C$93*$B96+SUM($F$7:$F$9))/$F$10*$F$37)-($F$24*C$93/$D$6)-SUM($F$13:$F$23,$F$25:$F$30,$F$32:$F$33,$F$38))</f>
        <v>117.80280603057122</v>
      </c>
      <c r="D96" s="289">
        <f>(D$93*$B96+SUM($F$7:$F$9)-((D$93*$B96+SUM($F$7:$F$9))/$F$10*$F$37)-($F$24*D$93/$D$6)-SUM($F$13:$F$23,$F$25:$F$30,$F$32:$F$33,$F$38))</f>
        <v>206.01180603057128</v>
      </c>
      <c r="E96" s="289">
        <f>(E$93*$B96+SUM($F$7:$F$9)-((E$93*$B96+SUM($F$7:$F$9))/$F$10*$F$37)-($F$24*E$93/$D$6)-SUM($F$13:$F$23,$F$25:$F$30,$F$32:$F$33,$F$38))</f>
        <v>294.22080603057123</v>
      </c>
      <c r="F96" s="290">
        <f>(F$93*$B96+SUM($F$7:$F$9)-((F$93*$B96+SUM($F$7:$F$9))/$F$10*$F$37)-($F$24*F$93/$D$6)-SUM($F$13:$F$23,$F$25:$F$30,$F$32:$F$33,$F$38))</f>
        <v>382.42980603057129</v>
      </c>
      <c r="G96" s="289">
        <f>(G$93*$B96+SUM($F$7:$F$9)-((G$93*$B96+SUM($F$7:$F$9))/$F$10*$F$37)-($F$24*G$93/$D$6)-SUM($F$13:$F$23,$F$25:$F$30,$F$32:$F$33,$F$38))</f>
        <v>470.63880603057135</v>
      </c>
      <c r="H96" s="289">
        <f>(H$93*$B96+SUM($F$7:$F$9)-((H$93*$B96+SUM($F$7:$F$9))/$F$10*$F$37)-($F$24*H$93/$D$6)-SUM($F$13:$F$23,$F$25:$F$30,$F$32:$F$33,$F$38))</f>
        <v>558.84780603057118</v>
      </c>
      <c r="I96" s="289">
        <f>(I$93*$B96+SUM($F$7:$F$9)-((I$93*$B96+SUM($F$7:$F$9))/$F$10*$F$37)-($F$24*I$93/$D$6)-SUM($F$13:$F$23,$F$25:$F$30,$F$32:$F$33,$F$38))</f>
        <v>647.05680603057124</v>
      </c>
    </row>
    <row r="97" spans="1:9">
      <c r="A97" s="340"/>
      <c r="B97" s="252">
        <f>1*$E$6</f>
        <v>22</v>
      </c>
      <c r="C97" s="292">
        <f>(C$93*$B97+SUM($F$7:$F$9)-((C$93*$B97+SUM($F$7:$F$9))/$F$10*$F$37)-($F$24*C$93/$D$6)-SUM($F$13:$F$23,$F$25:$F$30,$F$32:$F$33,$F$38))</f>
        <v>186.40980603057108</v>
      </c>
      <c r="D97" s="290">
        <f>(D$93*$B97+SUM($F$7:$F$9)-((D$93*$B97+SUM($F$7:$F$9))/$F$10*$F$37)-($F$24*D$93/$D$6)-SUM($F$13:$F$23,$F$25:$F$30,$F$32:$F$33,$F$38))</f>
        <v>284.41980603057118</v>
      </c>
      <c r="E97" s="290">
        <f>(E$93*$B97+SUM($F$7:$F$9)-((E$93*$B97+SUM($F$7:$F$9))/$F$10*$F$37)-($F$24*E$93/$D$6)-SUM($F$13:$F$23,$F$25:$F$30,$F$32:$F$33,$F$38))</f>
        <v>382.42980603057129</v>
      </c>
      <c r="F97" s="290">
        <f>(F$93*$B97+SUM($F$7:$F$9)-((F$93*$B97+SUM($F$7:$F$9))/$F$10*$F$37)-($F$24*F$93/$D$6)-SUM($F$13:$F$23,$F$25:$F$30,$F$32:$F$33,$F$38))</f>
        <v>480.43980603057128</v>
      </c>
      <c r="G97" s="290">
        <f>(G$93*$B97+SUM($F$7:$F$9)-((G$93*$B97+SUM($F$7:$F$9))/$F$10*$F$37)-($F$24*G$93/$D$6)-SUM($F$13:$F$23,$F$25:$F$30,$F$32:$F$33,$F$38))</f>
        <v>578.44980603057149</v>
      </c>
      <c r="H97" s="290">
        <f>(H$93*$B97+SUM($F$7:$F$9)-((H$93*$B97+SUM($F$7:$F$9))/$F$10*$F$37)-($F$24*H$93/$D$6)-SUM($F$13:$F$23,$F$25:$F$30,$F$32:$F$33,$F$38))</f>
        <v>676.45980603057126</v>
      </c>
      <c r="I97" s="290">
        <f>(I$93*$B97+SUM($F$7:$F$9)-((I$93*$B97+SUM($F$7:$F$9))/$F$10*$F$37)-($F$24*I$93/$D$6)-SUM($F$13:$F$23,$F$25:$F$30,$F$32:$F$33,$F$38))</f>
        <v>774.46980603057125</v>
      </c>
    </row>
    <row r="98" spans="1:9">
      <c r="A98" s="340"/>
      <c r="B98" s="252">
        <f>1.1*$E$6</f>
        <v>24.200000000000003</v>
      </c>
      <c r="C98" s="288">
        <f>(C$93*$B98+SUM($F$7:$F$9)-((C$93*$B98+SUM($F$7:$F$9))/$F$10*$F$37)-($F$24*C$93/$D$6)-SUM($F$13:$F$23,$F$25:$F$30,$F$32:$F$33,$F$38))</f>
        <v>255.01680603057116</v>
      </c>
      <c r="D98" s="289">
        <f>(D$93*$B98+SUM($F$7:$F$9)-((D$93*$B98+SUM($F$7:$F$9))/$F$10*$F$37)-($F$24*D$93/$D$6)-SUM($F$13:$F$23,$F$25:$F$30,$F$32:$F$33,$F$38))</f>
        <v>362.82780603057131</v>
      </c>
      <c r="E98" s="289">
        <f>(E$93*$B98+SUM($F$7:$F$9)-((E$93*$B98+SUM($F$7:$F$9))/$F$10*$F$37)-($F$24*E$93/$D$6)-SUM($F$13:$F$23,$F$25:$F$30,$F$32:$F$33,$F$38))</f>
        <v>470.63880603057135</v>
      </c>
      <c r="F98" s="290">
        <f>(F$93*$B98+SUM($F$7:$F$9)-((F$93*$B98+SUM($F$7:$F$9))/$F$10*$F$37)-($F$24*F$93/$D$6)-SUM($F$13:$F$23,$F$25:$F$30,$F$32:$F$33,$F$38))</f>
        <v>578.44980603057149</v>
      </c>
      <c r="G98" s="289">
        <f>(G$93*$B98+SUM($F$7:$F$9)-((G$93*$B98+SUM($F$7:$F$9))/$F$10*$F$37)-($F$24*G$93/$D$6)-SUM($F$13:$F$23,$F$25:$F$30,$F$32:$F$33,$F$38))</f>
        <v>686.26080603057164</v>
      </c>
      <c r="H98" s="289">
        <f>(H$93*$B98+SUM($F$7:$F$9)-((H$93*$B98+SUM($F$7:$F$9))/$F$10*$F$37)-($F$24*H$93/$D$6)-SUM($F$13:$F$23,$F$25:$F$30,$F$32:$F$33,$F$38))</f>
        <v>794.07180603057134</v>
      </c>
      <c r="I98" s="289">
        <f>(I$93*$B98+SUM($F$7:$F$9)-((I$93*$B98+SUM($F$7:$F$9))/$F$10*$F$37)-($F$24*I$93/$D$6)-SUM($F$13:$F$23,$F$25:$F$30,$F$32:$F$33,$F$38))</f>
        <v>901.88280603057149</v>
      </c>
    </row>
    <row r="99" spans="1:9">
      <c r="A99" s="340"/>
      <c r="B99" s="252">
        <f>1.2*$E$6</f>
        <v>26.4</v>
      </c>
      <c r="C99" s="288">
        <f>(C$93*$B99+SUM($F$7:$F$9)-((C$93*$B99+SUM($F$7:$F$9))/$F$10*$F$37)-($F$24*C$93/$D$6)-SUM($F$13:$F$23,$F$25:$F$30,$F$32:$F$33,$F$38))</f>
        <v>323.62380603057113</v>
      </c>
      <c r="D99" s="289">
        <f>(D$93*$B99+SUM($F$7:$F$9)-((D$93*$B99+SUM($F$7:$F$9))/$F$10*$F$37)-($F$24*D$93/$D$6)-SUM($F$13:$F$23,$F$25:$F$30,$F$32:$F$33,$F$38))</f>
        <v>441.23580603057121</v>
      </c>
      <c r="E99" s="289">
        <f>(E$93*$B99+SUM($F$7:$F$9)-((E$93*$B99+SUM($F$7:$F$9))/$F$10*$F$37)-($F$24*E$93/$D$6)-SUM($F$13:$F$23,$F$25:$F$30,$F$32:$F$33,$F$38))</f>
        <v>558.84780603057118</v>
      </c>
      <c r="F99" s="290">
        <f>(F$93*$B99+SUM($F$7:$F$9)-((F$93*$B99+SUM($F$7:$F$9))/$F$10*$F$37)-($F$24*F$93/$D$6)-SUM($F$13:$F$23,$F$25:$F$30,$F$32:$F$33,$F$38))</f>
        <v>676.45980603057126</v>
      </c>
      <c r="G99" s="289">
        <f>(G$93*$B99+SUM($F$7:$F$9)-((G$93*$B99+SUM($F$7:$F$9))/$F$10*$F$37)-($F$24*G$93/$D$6)-SUM($F$13:$F$23,$F$25:$F$30,$F$32:$F$33,$F$38))</f>
        <v>794.07180603057134</v>
      </c>
      <c r="H99" s="289">
        <f>(H$93*$B99+SUM($F$7:$F$9)-((H$93*$B99+SUM($F$7:$F$9))/$F$10*$F$37)-($F$24*H$93/$D$6)-SUM($F$13:$F$23,$F$25:$F$30,$F$32:$F$33,$F$38))</f>
        <v>911.68380603057119</v>
      </c>
      <c r="I99" s="289">
        <f>(I$93*$B99+SUM($F$7:$F$9)-((I$93*$B99+SUM($F$7:$F$9))/$F$10*$F$37)-($F$24*I$93/$D$6)-SUM($F$13:$F$23,$F$25:$F$30,$F$32:$F$33,$F$38))</f>
        <v>1029.2958060305709</v>
      </c>
    </row>
    <row r="100" spans="1:9" s="88" customFormat="1">
      <c r="A100" s="340"/>
      <c r="B100" s="253">
        <f>1.3*$E$6</f>
        <v>28.6</v>
      </c>
      <c r="C100" s="294">
        <f>(C$93*$B100+SUM($F$7:$F$9)-((C$93*$B100+SUM($F$7:$F$9))/$F$10*$F$37)-($F$24*C$93/$D$6)-SUM($F$13:$F$23,$F$25:$F$30,$F$32:$F$33,$F$38))</f>
        <v>392.23080603057122</v>
      </c>
      <c r="D100" s="295">
        <f>(D$93*$B100+SUM($F$7:$F$9)-((D$93*$B100+SUM($F$7:$F$9))/$F$10*$F$37)-($F$24*D$93/$D$6)-SUM($F$13:$F$23,$F$25:$F$30,$F$32:$F$33,$F$38))</f>
        <v>519.64380603057145</v>
      </c>
      <c r="E100" s="295">
        <f>(E$93*$B100+SUM($F$7:$F$9)-((E$93*$B100+SUM($F$7:$F$9))/$F$10*$F$37)-($F$24*E$93/$D$6)-SUM($F$13:$F$23,$F$25:$F$30,$F$32:$F$33,$F$38))</f>
        <v>647.05680603057124</v>
      </c>
      <c r="F100" s="296">
        <f>(F$93*$B100+SUM($F$7:$F$9)-((F$93*$B100+SUM($F$7:$F$9))/$F$10*$F$37)-($F$24*F$93/$D$6)-SUM($F$13:$F$23,$F$25:$F$30,$F$32:$F$33,$F$38))</f>
        <v>774.46980603057125</v>
      </c>
      <c r="G100" s="295">
        <f>(G$93*$B100+SUM($F$7:$F$9)-((G$93*$B100+SUM($F$7:$F$9))/$F$10*$F$37)-($F$24*G$93/$D$6)-SUM($F$13:$F$23,$F$25:$F$30,$F$32:$F$33,$F$38))</f>
        <v>901.88280603057149</v>
      </c>
      <c r="H100" s="295">
        <f>(H$93*$B100+SUM($F$7:$F$9)-((H$93*$B100+SUM($F$7:$F$9))/$F$10*$F$37)-($F$24*H$93/$D$6)-SUM($F$13:$F$23,$F$25:$F$30,$F$32:$F$33,$F$38))</f>
        <v>1029.2958060305714</v>
      </c>
      <c r="I100" s="295">
        <f>(I$93*$B100+SUM($F$7:$F$9)-((I$93*$B100+SUM($F$7:$F$9))/$F$10*$F$37)-($F$24*I$93/$D$6)-SUM($F$13:$F$23,$F$25:$F$30,$F$32:$F$33,$F$38))</f>
        <v>1156.7088060305714</v>
      </c>
    </row>
    <row r="101" spans="1:9">
      <c r="E101" s="283" t="s">
        <v>818</v>
      </c>
      <c r="F101" s="75">
        <f>F46</f>
        <v>480.43980603057128</v>
      </c>
    </row>
    <row r="948" spans="2:3" hidden="1">
      <c r="B948" s="2" t="s">
        <v>67</v>
      </c>
    </row>
    <row r="949" spans="2:3" hidden="1">
      <c r="B949" s="2" t="s">
        <v>68</v>
      </c>
      <c r="C949" s="2">
        <v>5</v>
      </c>
    </row>
    <row r="950" spans="2:3" hidden="1">
      <c r="B950" s="2" t="s">
        <v>69</v>
      </c>
      <c r="C950" s="2">
        <v>1</v>
      </c>
    </row>
    <row r="951" spans="2:3" hidden="1">
      <c r="B951" s="2" t="s">
        <v>70</v>
      </c>
      <c r="C951" s="2">
        <v>1</v>
      </c>
    </row>
    <row r="952" spans="2:3" hidden="1">
      <c r="B952" s="2" t="s">
        <v>71</v>
      </c>
      <c r="C952" s="2">
        <v>2</v>
      </c>
    </row>
    <row r="953" spans="2:3" hidden="1">
      <c r="B953" s="2" t="s">
        <v>72</v>
      </c>
      <c r="C953" s="2">
        <v>1</v>
      </c>
    </row>
    <row r="954" spans="2:3" hidden="1">
      <c r="B954" s="2" t="s">
        <v>73</v>
      </c>
      <c r="C954" s="2">
        <v>0</v>
      </c>
    </row>
    <row r="955" spans="2:3" hidden="1">
      <c r="B955" s="2" t="s">
        <v>74</v>
      </c>
      <c r="C955" s="2">
        <v>0</v>
      </c>
    </row>
    <row r="956" spans="2:3" hidden="1">
      <c r="B956" s="2" t="s">
        <v>75</v>
      </c>
      <c r="C956" s="2">
        <v>0</v>
      </c>
    </row>
    <row r="957" spans="2:3" hidden="1">
      <c r="B957" s="2" t="s">
        <v>76</v>
      </c>
      <c r="C957" s="2">
        <v>0</v>
      </c>
    </row>
    <row r="958" spans="2:3" hidden="1">
      <c r="B958" s="2" t="s">
        <v>77</v>
      </c>
      <c r="C958" s="2">
        <v>0</v>
      </c>
    </row>
    <row r="959" spans="2:3" hidden="1">
      <c r="B959" s="2" t="s">
        <v>78</v>
      </c>
      <c r="C959" s="2">
        <v>0</v>
      </c>
    </row>
    <row r="960" spans="2:3" hidden="1">
      <c r="B960" s="2" t="s">
        <v>79</v>
      </c>
      <c r="C960" s="2" t="b">
        <v>1</v>
      </c>
    </row>
    <row r="961" spans="2:3" hidden="1">
      <c r="B961" s="2" t="s">
        <v>80</v>
      </c>
      <c r="C961" s="2">
        <v>0</v>
      </c>
    </row>
    <row r="962" spans="2:3" hidden="1">
      <c r="B962" s="2" t="s">
        <v>81</v>
      </c>
      <c r="C962" s="2" t="b">
        <v>1</v>
      </c>
    </row>
    <row r="963" spans="2:3" hidden="1">
      <c r="B963" s="2" t="s">
        <v>82</v>
      </c>
      <c r="C963" s="2">
        <v>0</v>
      </c>
    </row>
    <row r="964" spans="2:3" hidden="1">
      <c r="B964" s="2" t="s">
        <v>83</v>
      </c>
      <c r="C964" s="2">
        <v>0</v>
      </c>
    </row>
    <row r="965" spans="2:3" hidden="1">
      <c r="B965" s="2" t="s">
        <v>84</v>
      </c>
      <c r="C965" s="2" t="b">
        <v>1</v>
      </c>
    </row>
    <row r="966" spans="2:3" hidden="1">
      <c r="B966" s="2" t="s">
        <v>85</v>
      </c>
      <c r="C966" s="2">
        <v>0</v>
      </c>
    </row>
    <row r="967" spans="2:3" hidden="1">
      <c r="B967" s="2" t="s">
        <v>86</v>
      </c>
      <c r="C967" s="2">
        <v>0</v>
      </c>
    </row>
    <row r="968" spans="2:3" hidden="1">
      <c r="B968" s="2" t="s">
        <v>87</v>
      </c>
      <c r="C968" s="2">
        <v>0</v>
      </c>
    </row>
    <row r="969" spans="2:3" hidden="1">
      <c r="B969" s="2" t="s">
        <v>88</v>
      </c>
      <c r="C969" s="2">
        <v>0</v>
      </c>
    </row>
    <row r="970" spans="2:3" hidden="1">
      <c r="B970" s="2" t="s">
        <v>89</v>
      </c>
      <c r="C970" s="2" t="s">
        <v>385</v>
      </c>
    </row>
    <row r="971" spans="2:3" hidden="1">
      <c r="B971" s="2" t="s">
        <v>90</v>
      </c>
      <c r="C971" s="2">
        <v>100</v>
      </c>
    </row>
    <row r="972" spans="2:3" hidden="1">
      <c r="B972" s="2" t="s">
        <v>91</v>
      </c>
      <c r="C972" s="2">
        <v>25</v>
      </c>
    </row>
    <row r="973" spans="2:3" hidden="1">
      <c r="B973" s="2" t="s">
        <v>92</v>
      </c>
      <c r="C973" s="2">
        <v>9</v>
      </c>
    </row>
    <row r="974" spans="2:3" hidden="1">
      <c r="B974" s="2" t="s">
        <v>93</v>
      </c>
      <c r="C974" s="2">
        <v>0</v>
      </c>
    </row>
    <row r="975" spans="2:3" hidden="1">
      <c r="B975" s="2" t="s">
        <v>94</v>
      </c>
      <c r="C975" s="2">
        <v>0</v>
      </c>
    </row>
    <row r="976" spans="2:3" hidden="1">
      <c r="B976" s="2" t="s">
        <v>95</v>
      </c>
      <c r="C976" s="2">
        <v>0</v>
      </c>
    </row>
    <row r="977" spans="2:3" hidden="1">
      <c r="B977" s="2" t="s">
        <v>96</v>
      </c>
      <c r="C977" s="2">
        <v>0</v>
      </c>
    </row>
    <row r="978" spans="2:3" hidden="1">
      <c r="B978" s="2" t="s">
        <v>97</v>
      </c>
      <c r="C978" s="2">
        <v>0</v>
      </c>
    </row>
    <row r="979" spans="2:3" hidden="1">
      <c r="B979" s="2" t="s">
        <v>98</v>
      </c>
      <c r="C979" s="2">
        <v>60</v>
      </c>
    </row>
    <row r="980" spans="2:3" hidden="1">
      <c r="B980" s="2" t="s">
        <v>99</v>
      </c>
      <c r="C980" s="2">
        <v>0</v>
      </c>
    </row>
    <row r="981" spans="2:3" hidden="1">
      <c r="B981" s="2" t="s">
        <v>100</v>
      </c>
      <c r="C981" s="2">
        <v>0</v>
      </c>
    </row>
    <row r="982" spans="2:3" hidden="1">
      <c r="B982" s="2" t="s">
        <v>101</v>
      </c>
      <c r="C982" s="2">
        <v>0</v>
      </c>
    </row>
    <row r="983" spans="2:3" hidden="1">
      <c r="B983" s="2" t="s">
        <v>102</v>
      </c>
      <c r="C983" s="2">
        <v>0</v>
      </c>
    </row>
    <row r="984" spans="2:3" hidden="1">
      <c r="B984" s="2" t="s">
        <v>103</v>
      </c>
      <c r="C984" s="2">
        <v>0</v>
      </c>
    </row>
    <row r="985" spans="2:3" hidden="1">
      <c r="B985" s="2" t="s">
        <v>104</v>
      </c>
      <c r="C985" s="2">
        <v>200000</v>
      </c>
    </row>
    <row r="986" spans="2:3" hidden="1">
      <c r="B986" s="2" t="s">
        <v>105</v>
      </c>
      <c r="C986" s="2">
        <v>0</v>
      </c>
    </row>
    <row r="987" spans="2:3" hidden="1">
      <c r="B987" s="2" t="s">
        <v>106</v>
      </c>
      <c r="C987" s="2">
        <v>0</v>
      </c>
    </row>
    <row r="988" spans="2:3" hidden="1">
      <c r="B988" s="2" t="s">
        <v>107</v>
      </c>
      <c r="C988" s="2">
        <v>0</v>
      </c>
    </row>
    <row r="989" spans="2:3" hidden="1">
      <c r="B989" s="2" t="s">
        <v>108</v>
      </c>
      <c r="C989" s="2">
        <v>0</v>
      </c>
    </row>
    <row r="990" spans="2:3" hidden="1">
      <c r="B990" s="2" t="s">
        <v>109</v>
      </c>
      <c r="C990" s="2">
        <v>0</v>
      </c>
    </row>
    <row r="991" spans="2:3" hidden="1">
      <c r="B991" s="2" t="s">
        <v>110</v>
      </c>
      <c r="C991" s="2">
        <v>0</v>
      </c>
    </row>
    <row r="992" spans="2:3" hidden="1">
      <c r="B992" s="2" t="s">
        <v>111</v>
      </c>
      <c r="C992" s="2">
        <v>0</v>
      </c>
    </row>
    <row r="993" spans="2:3" hidden="1">
      <c r="B993" s="2" t="s">
        <v>112</v>
      </c>
      <c r="C993" s="2">
        <v>20</v>
      </c>
    </row>
    <row r="994" spans="2:3" hidden="1">
      <c r="B994" s="2" t="s">
        <v>113</v>
      </c>
      <c r="C994" s="2">
        <v>35</v>
      </c>
    </row>
    <row r="995" spans="2:3" hidden="1">
      <c r="B995" s="2" t="s">
        <v>114</v>
      </c>
      <c r="C995" s="2">
        <v>0</v>
      </c>
    </row>
    <row r="996" spans="2:3" hidden="1">
      <c r="B996" s="2" t="s">
        <v>115</v>
      </c>
      <c r="C996" s="2">
        <v>0</v>
      </c>
    </row>
    <row r="997" spans="2:3" hidden="1">
      <c r="B997" s="2" t="s">
        <v>116</v>
      </c>
      <c r="C997" s="2">
        <v>0</v>
      </c>
    </row>
    <row r="998" spans="2:3" hidden="1">
      <c r="B998" s="2" t="s">
        <v>117</v>
      </c>
      <c r="C998" s="2">
        <v>0</v>
      </c>
    </row>
    <row r="999" spans="2:3" hidden="1">
      <c r="B999" s="2" t="s">
        <v>118</v>
      </c>
      <c r="C999" s="2">
        <v>0</v>
      </c>
    </row>
    <row r="1000" spans="2:3" hidden="1">
      <c r="B1000" s="2" t="s">
        <v>119</v>
      </c>
      <c r="C1000" s="2">
        <v>0</v>
      </c>
    </row>
    <row r="1001" spans="2:3" hidden="1">
      <c r="B1001" s="2" t="s">
        <v>120</v>
      </c>
      <c r="C1001" s="2">
        <v>0.49</v>
      </c>
    </row>
    <row r="1002" spans="2:3" hidden="1">
      <c r="B1002" s="2" t="s">
        <v>121</v>
      </c>
      <c r="C1002" s="2">
        <v>0.4</v>
      </c>
    </row>
    <row r="1003" spans="2:3" hidden="1">
      <c r="B1003" s="2" t="s">
        <v>122</v>
      </c>
      <c r="C1003" s="2">
        <v>0</v>
      </c>
    </row>
    <row r="1004" spans="2:3" hidden="1">
      <c r="B1004" s="2" t="s">
        <v>123</v>
      </c>
      <c r="C1004" s="2">
        <v>0</v>
      </c>
    </row>
    <row r="1005" spans="2:3" hidden="1">
      <c r="B1005" s="2" t="s">
        <v>124</v>
      </c>
      <c r="C1005" s="2">
        <v>0</v>
      </c>
    </row>
    <row r="1006" spans="2:3" hidden="1">
      <c r="B1006" s="2" t="s">
        <v>125</v>
      </c>
      <c r="C1006" s="2">
        <v>0</v>
      </c>
    </row>
    <row r="1007" spans="2:3" hidden="1">
      <c r="B1007" s="2" t="s">
        <v>126</v>
      </c>
      <c r="C1007" s="2">
        <v>0</v>
      </c>
    </row>
    <row r="1008" spans="2:3" hidden="1">
      <c r="B1008" s="2" t="s">
        <v>127</v>
      </c>
      <c r="C1008" s="2">
        <v>0</v>
      </c>
    </row>
    <row r="1009" spans="2:3" hidden="1">
      <c r="B1009" s="2" t="s">
        <v>128</v>
      </c>
      <c r="C1009" s="2">
        <v>1</v>
      </c>
    </row>
    <row r="1010" spans="2:3" hidden="1">
      <c r="B1010" s="2" t="s">
        <v>129</v>
      </c>
      <c r="C1010" s="2">
        <v>0</v>
      </c>
    </row>
    <row r="1011" spans="2:3" hidden="1">
      <c r="B1011" s="2" t="s">
        <v>130</v>
      </c>
      <c r="C1011" s="2">
        <v>0</v>
      </c>
    </row>
    <row r="1012" spans="2:3" hidden="1">
      <c r="B1012" s="2" t="s">
        <v>131</v>
      </c>
      <c r="C1012" s="2">
        <v>1</v>
      </c>
    </row>
    <row r="1013" spans="2:3" hidden="1">
      <c r="B1013" s="2" t="s">
        <v>132</v>
      </c>
      <c r="C1013" s="2">
        <v>0</v>
      </c>
    </row>
    <row r="1014" spans="2:3" hidden="1">
      <c r="B1014" s="2" t="s">
        <v>133</v>
      </c>
      <c r="C1014" s="2">
        <v>0</v>
      </c>
    </row>
    <row r="1015" spans="2:3" hidden="1">
      <c r="B1015" s="2" t="s">
        <v>134</v>
      </c>
      <c r="C1015" s="2">
        <v>0</v>
      </c>
    </row>
    <row r="1016" spans="2:3" hidden="1">
      <c r="B1016" s="2" t="s">
        <v>135</v>
      </c>
      <c r="C1016" s="2">
        <v>0</v>
      </c>
    </row>
    <row r="1017" spans="2:3" hidden="1">
      <c r="B1017" s="2" t="s">
        <v>136</v>
      </c>
      <c r="C1017" s="2">
        <v>8.75</v>
      </c>
    </row>
    <row r="1018" spans="2:3" hidden="1">
      <c r="B1018" s="2" t="s">
        <v>137</v>
      </c>
      <c r="C1018" s="2">
        <v>0</v>
      </c>
    </row>
    <row r="1019" spans="2:3" hidden="1">
      <c r="B1019" s="2" t="s">
        <v>138</v>
      </c>
      <c r="C1019" s="2">
        <v>0</v>
      </c>
    </row>
    <row r="1020" spans="2:3" hidden="1">
      <c r="B1020" s="2" t="s">
        <v>139</v>
      </c>
      <c r="C1020" s="2">
        <v>0</v>
      </c>
    </row>
    <row r="1021" spans="2:3" hidden="1">
      <c r="B1021" s="2" t="s">
        <v>140</v>
      </c>
      <c r="C1021" s="2">
        <v>0</v>
      </c>
    </row>
    <row r="1022" spans="2:3" hidden="1">
      <c r="B1022" s="2" t="s">
        <v>141</v>
      </c>
      <c r="C1022" s="2">
        <v>0</v>
      </c>
    </row>
    <row r="1023" spans="2:3" hidden="1">
      <c r="B1023" s="2" t="s">
        <v>142</v>
      </c>
      <c r="C1023" s="2">
        <v>0</v>
      </c>
    </row>
    <row r="1024" spans="2:3" hidden="1">
      <c r="B1024" s="2" t="s">
        <v>143</v>
      </c>
      <c r="C1024" s="2">
        <v>0</v>
      </c>
    </row>
    <row r="1025" spans="2:3" hidden="1">
      <c r="B1025" s="2" t="s">
        <v>144</v>
      </c>
      <c r="C1025" s="2">
        <v>0</v>
      </c>
    </row>
    <row r="1026" spans="2:3" hidden="1">
      <c r="B1026" s="2" t="s">
        <v>145</v>
      </c>
      <c r="C1026" s="2">
        <v>0</v>
      </c>
    </row>
    <row r="1027" spans="2:3" hidden="1">
      <c r="B1027" s="2" t="s">
        <v>146</v>
      </c>
      <c r="C1027" s="2">
        <v>0</v>
      </c>
    </row>
    <row r="1028" spans="2:3" hidden="1">
      <c r="B1028" s="2" t="s">
        <v>147</v>
      </c>
      <c r="C1028" s="2">
        <v>0</v>
      </c>
    </row>
    <row r="1029" spans="2:3" hidden="1">
      <c r="B1029" s="2" t="s">
        <v>148</v>
      </c>
      <c r="C1029" s="2">
        <v>0</v>
      </c>
    </row>
    <row r="1030" spans="2:3" hidden="1">
      <c r="B1030" s="2" t="s">
        <v>149</v>
      </c>
      <c r="C1030" s="2">
        <v>0</v>
      </c>
    </row>
    <row r="1031" spans="2:3" hidden="1">
      <c r="B1031" s="2" t="s">
        <v>150</v>
      </c>
      <c r="C1031" s="2">
        <v>0</v>
      </c>
    </row>
    <row r="1032" spans="2:3" hidden="1">
      <c r="B1032" s="2" t="s">
        <v>151</v>
      </c>
      <c r="C1032" s="2">
        <v>0.5</v>
      </c>
    </row>
    <row r="1033" spans="2:3" hidden="1">
      <c r="B1033" s="2" t="s">
        <v>152</v>
      </c>
      <c r="C1033" s="2">
        <v>13.5</v>
      </c>
    </row>
    <row r="1034" spans="2:3" hidden="1">
      <c r="B1034" s="2" t="s">
        <v>153</v>
      </c>
      <c r="C1034" s="2">
        <v>18</v>
      </c>
    </row>
    <row r="1035" spans="2:3" hidden="1">
      <c r="B1035" s="2" t="s">
        <v>154</v>
      </c>
      <c r="C1035" s="2">
        <v>0</v>
      </c>
    </row>
    <row r="1036" spans="2:3" hidden="1">
      <c r="B1036" s="2" t="s">
        <v>155</v>
      </c>
      <c r="C1036" s="2">
        <v>0</v>
      </c>
    </row>
    <row r="1037" spans="2:3" hidden="1">
      <c r="B1037" s="2" t="s">
        <v>156</v>
      </c>
      <c r="C1037" s="2">
        <v>0</v>
      </c>
    </row>
    <row r="1038" spans="2:3" hidden="1">
      <c r="B1038" s="2" t="s">
        <v>157</v>
      </c>
      <c r="C1038" s="2">
        <v>3600</v>
      </c>
    </row>
    <row r="1039" spans="2:3" hidden="1">
      <c r="B1039" s="2" t="s">
        <v>158</v>
      </c>
      <c r="C1039" s="2">
        <v>0</v>
      </c>
    </row>
    <row r="1040" spans="2:3" hidden="1">
      <c r="B1040" s="2" t="s">
        <v>159</v>
      </c>
      <c r="C1040" s="2">
        <v>0</v>
      </c>
    </row>
    <row r="1041" spans="2:3" hidden="1">
      <c r="B1041" s="2" t="s">
        <v>160</v>
      </c>
      <c r="C1041" s="2">
        <v>0</v>
      </c>
    </row>
    <row r="1042" spans="2:3" hidden="1">
      <c r="B1042" s="2" t="s">
        <v>161</v>
      </c>
      <c r="C1042" s="2">
        <v>0</v>
      </c>
    </row>
    <row r="1043" spans="2:3" hidden="1">
      <c r="B1043" s="2" t="s">
        <v>162</v>
      </c>
      <c r="C1043" s="2">
        <v>6</v>
      </c>
    </row>
    <row r="1044" spans="2:3" hidden="1">
      <c r="B1044" s="2" t="s">
        <v>163</v>
      </c>
      <c r="C1044" s="2">
        <v>3.65</v>
      </c>
    </row>
    <row r="1045" spans="2:3" hidden="1">
      <c r="B1045" s="2" t="s">
        <v>164</v>
      </c>
      <c r="C1045" s="2">
        <v>3.38</v>
      </c>
    </row>
    <row r="1046" spans="2:3" hidden="1">
      <c r="B1046" s="2" t="s">
        <v>165</v>
      </c>
      <c r="C1046" s="2">
        <v>0</v>
      </c>
    </row>
    <row r="1047" spans="2:3" hidden="1">
      <c r="B1047" s="2" t="s">
        <v>166</v>
      </c>
      <c r="C1047" s="2">
        <v>0</v>
      </c>
    </row>
    <row r="1048" spans="2:3" hidden="1">
      <c r="B1048" s="2" t="s">
        <v>167</v>
      </c>
      <c r="C1048" s="2">
        <v>0</v>
      </c>
    </row>
    <row r="1049" spans="2:3" hidden="1">
      <c r="B1049" s="2" t="s">
        <v>168</v>
      </c>
      <c r="C1049" s="2">
        <v>0</v>
      </c>
    </row>
    <row r="1050" spans="2:3" hidden="1">
      <c r="B1050" s="2" t="s">
        <v>169</v>
      </c>
      <c r="C1050" s="2">
        <v>0</v>
      </c>
    </row>
    <row r="1051" spans="2:3" hidden="1">
      <c r="B1051" s="2" t="s">
        <v>170</v>
      </c>
      <c r="C1051" s="2">
        <v>0</v>
      </c>
    </row>
    <row r="1052" spans="2:3" hidden="1">
      <c r="B1052" s="2" t="s">
        <v>171</v>
      </c>
      <c r="C1052" s="2">
        <v>0</v>
      </c>
    </row>
    <row r="1053" spans="2:3" hidden="1">
      <c r="B1053" s="2" t="s">
        <v>172</v>
      </c>
      <c r="C1053" s="2">
        <v>0</v>
      </c>
    </row>
    <row r="1054" spans="2:3" hidden="1">
      <c r="B1054" s="2" t="s">
        <v>173</v>
      </c>
      <c r="C1054" s="2">
        <v>0</v>
      </c>
    </row>
    <row r="1055" spans="2:3" hidden="1">
      <c r="B1055" s="2" t="s">
        <v>174</v>
      </c>
      <c r="C1055" s="2">
        <v>5</v>
      </c>
    </row>
    <row r="1056" spans="2:3" hidden="1">
      <c r="B1056" s="2" t="s">
        <v>175</v>
      </c>
      <c r="C1056" s="2">
        <v>0</v>
      </c>
    </row>
    <row r="1057" spans="2:3" hidden="1">
      <c r="B1057" s="2" t="s">
        <v>176</v>
      </c>
      <c r="C1057" s="2">
        <v>0</v>
      </c>
    </row>
    <row r="1058" spans="2:3" hidden="1">
      <c r="B1058" s="2" t="s">
        <v>177</v>
      </c>
      <c r="C1058" s="2">
        <v>0</v>
      </c>
    </row>
    <row r="1059" spans="2:3" hidden="1">
      <c r="B1059" s="2" t="s">
        <v>178</v>
      </c>
      <c r="C1059" s="2">
        <v>6800</v>
      </c>
    </row>
    <row r="1060" spans="2:3" hidden="1">
      <c r="B1060" s="2" t="s">
        <v>179</v>
      </c>
      <c r="C1060" s="2">
        <v>0</v>
      </c>
    </row>
    <row r="1061" spans="2:3" hidden="1">
      <c r="B1061" s="2" t="s">
        <v>180</v>
      </c>
      <c r="C1061" s="2">
        <v>0</v>
      </c>
    </row>
    <row r="1062" spans="2:3" hidden="1">
      <c r="B1062" s="2" t="s">
        <v>181</v>
      </c>
      <c r="C1062" s="2">
        <v>8500</v>
      </c>
    </row>
    <row r="1063" spans="2:3" hidden="1">
      <c r="B1063" s="2" t="s">
        <v>182</v>
      </c>
      <c r="C1063" s="2">
        <v>0</v>
      </c>
    </row>
    <row r="1064" spans="2:3" hidden="1">
      <c r="B1064" s="2" t="s">
        <v>183</v>
      </c>
      <c r="C1064" s="2">
        <v>15000</v>
      </c>
    </row>
    <row r="1065" spans="2:3" hidden="1">
      <c r="B1065" s="2" t="s">
        <v>184</v>
      </c>
      <c r="C1065" s="2">
        <v>3</v>
      </c>
    </row>
    <row r="1066" spans="2:3" hidden="1">
      <c r="B1066" s="2" t="s">
        <v>185</v>
      </c>
      <c r="C1066" s="2">
        <v>0</v>
      </c>
    </row>
    <row r="1067" spans="2:3" hidden="1">
      <c r="B1067" s="2" t="s">
        <v>186</v>
      </c>
      <c r="C1067" s="2">
        <v>0</v>
      </c>
    </row>
    <row r="1068" spans="2:3" hidden="1">
      <c r="B1068" s="2" t="s">
        <v>187</v>
      </c>
      <c r="C1068" s="2">
        <v>0</v>
      </c>
    </row>
    <row r="1069" spans="2:3" hidden="1">
      <c r="B1069" s="2" t="s">
        <v>188</v>
      </c>
      <c r="C1069" s="2">
        <v>0</v>
      </c>
    </row>
    <row r="1070" spans="2:3" hidden="1">
      <c r="B1070" s="2" t="s">
        <v>189</v>
      </c>
      <c r="C1070" s="2">
        <v>0</v>
      </c>
    </row>
    <row r="1071" spans="2:3" hidden="1">
      <c r="B1071" s="2" t="s">
        <v>190</v>
      </c>
      <c r="C1071" s="2">
        <v>0</v>
      </c>
    </row>
    <row r="1072" spans="2:3" hidden="1">
      <c r="B1072" s="2" t="s">
        <v>191</v>
      </c>
      <c r="C1072" s="2">
        <v>0</v>
      </c>
    </row>
    <row r="1073" spans="2:3" hidden="1">
      <c r="B1073" s="2" t="s">
        <v>192</v>
      </c>
      <c r="C1073" s="2">
        <v>0</v>
      </c>
    </row>
    <row r="1074" spans="2:3" hidden="1">
      <c r="B1074" s="2" t="s">
        <v>193</v>
      </c>
      <c r="C1074" s="2">
        <v>0</v>
      </c>
    </row>
    <row r="1075" spans="2:3" hidden="1">
      <c r="B1075" s="2" t="s">
        <v>194</v>
      </c>
      <c r="C1075" s="2">
        <v>0</v>
      </c>
    </row>
    <row r="1076" spans="2:3" hidden="1">
      <c r="B1076" s="2" t="s">
        <v>195</v>
      </c>
      <c r="C1076" s="2">
        <v>0</v>
      </c>
    </row>
    <row r="1077" spans="2:3" hidden="1">
      <c r="B1077" s="2" t="s">
        <v>196</v>
      </c>
      <c r="C1077" s="2">
        <v>0</v>
      </c>
    </row>
    <row r="1078" spans="2:3" hidden="1">
      <c r="B1078" s="2" t="s">
        <v>197</v>
      </c>
      <c r="C1078" s="2">
        <v>0</v>
      </c>
    </row>
    <row r="1079" spans="2:3" hidden="1">
      <c r="B1079" s="2" t="s">
        <v>198</v>
      </c>
      <c r="C1079" s="2">
        <v>0</v>
      </c>
    </row>
    <row r="1080" spans="2:3" hidden="1">
      <c r="B1080" s="2" t="s">
        <v>199</v>
      </c>
      <c r="C1080" s="2">
        <v>0</v>
      </c>
    </row>
    <row r="1081" spans="2:3" hidden="1">
      <c r="B1081" s="2" t="s">
        <v>200</v>
      </c>
      <c r="C1081" s="2">
        <v>0</v>
      </c>
    </row>
    <row r="1082" spans="2:3" hidden="1">
      <c r="B1082" s="2" t="s">
        <v>201</v>
      </c>
      <c r="C1082" s="2">
        <v>0</v>
      </c>
    </row>
    <row r="1083" spans="2:3" hidden="1">
      <c r="B1083" s="2" t="s">
        <v>202</v>
      </c>
      <c r="C1083" s="2">
        <v>0</v>
      </c>
    </row>
    <row r="1084" spans="2:3" hidden="1">
      <c r="B1084" s="2" t="s">
        <v>203</v>
      </c>
      <c r="C1084" s="2">
        <v>0</v>
      </c>
    </row>
    <row r="1085" spans="2:3" hidden="1">
      <c r="B1085" s="2" t="s">
        <v>204</v>
      </c>
      <c r="C1085" s="2">
        <v>0</v>
      </c>
    </row>
    <row r="1086" spans="2:3" hidden="1">
      <c r="B1086" s="2" t="s">
        <v>205</v>
      </c>
      <c r="C1086" s="2">
        <v>0</v>
      </c>
    </row>
    <row r="1087" spans="2:3" hidden="1">
      <c r="B1087" s="2" t="s">
        <v>206</v>
      </c>
      <c r="C1087" s="2">
        <v>0</v>
      </c>
    </row>
    <row r="1088" spans="2:3" hidden="1">
      <c r="B1088" s="2" t="s">
        <v>207</v>
      </c>
      <c r="C1088" s="2">
        <v>0</v>
      </c>
    </row>
    <row r="1089" spans="2:3" hidden="1">
      <c r="B1089" s="2" t="s">
        <v>208</v>
      </c>
      <c r="C1089" s="2">
        <v>0</v>
      </c>
    </row>
    <row r="1090" spans="2:3" hidden="1">
      <c r="B1090" s="2" t="s">
        <v>209</v>
      </c>
      <c r="C1090" s="2">
        <v>0</v>
      </c>
    </row>
    <row r="1091" spans="2:3" hidden="1">
      <c r="B1091" s="2" t="s">
        <v>210</v>
      </c>
      <c r="C1091" s="2">
        <v>0</v>
      </c>
    </row>
    <row r="1092" spans="2:3" hidden="1">
      <c r="B1092" s="2" t="s">
        <v>211</v>
      </c>
      <c r="C1092" s="2">
        <v>0</v>
      </c>
    </row>
    <row r="1093" spans="2:3" hidden="1">
      <c r="B1093" s="2" t="s">
        <v>212</v>
      </c>
      <c r="C1093" s="2">
        <v>0</v>
      </c>
    </row>
    <row r="1094" spans="2:3" hidden="1">
      <c r="B1094" s="2" t="s">
        <v>213</v>
      </c>
      <c r="C1094" s="2">
        <v>0</v>
      </c>
    </row>
    <row r="1095" spans="2:3" hidden="1">
      <c r="B1095" s="2" t="s">
        <v>214</v>
      </c>
      <c r="C1095" s="2">
        <v>0</v>
      </c>
    </row>
    <row r="1096" spans="2:3" hidden="1">
      <c r="B1096" s="2" t="s">
        <v>215</v>
      </c>
      <c r="C1096" s="2">
        <v>0</v>
      </c>
    </row>
    <row r="1097" spans="2:3" hidden="1">
      <c r="B1097" s="2" t="s">
        <v>216</v>
      </c>
      <c r="C1097" s="2">
        <v>0</v>
      </c>
    </row>
    <row r="1098" spans="2:3" hidden="1">
      <c r="B1098" s="2" t="s">
        <v>217</v>
      </c>
      <c r="C1098" s="2" t="s">
        <v>218</v>
      </c>
    </row>
    <row r="1099" spans="2:3" hidden="1">
      <c r="B1099" s="2" t="s">
        <v>219</v>
      </c>
      <c r="C1099" s="2" t="s">
        <v>220</v>
      </c>
    </row>
    <row r="1100" spans="2:3" hidden="1">
      <c r="B1100" s="2" t="s">
        <v>221</v>
      </c>
      <c r="C1100" s="2" t="s">
        <v>222</v>
      </c>
    </row>
    <row r="1101" spans="2:3" hidden="1">
      <c r="B1101" s="2" t="s">
        <v>223</v>
      </c>
      <c r="C1101" s="2" t="s">
        <v>224</v>
      </c>
    </row>
    <row r="1102" spans="2:3" hidden="1">
      <c r="B1102" s="2" t="s">
        <v>225</v>
      </c>
      <c r="C1102" s="2" t="s">
        <v>226</v>
      </c>
    </row>
    <row r="1103" spans="2:3" hidden="1">
      <c r="B1103" s="2" t="s">
        <v>227</v>
      </c>
      <c r="C1103" s="2" t="s">
        <v>228</v>
      </c>
    </row>
    <row r="1104" spans="2:3" hidden="1">
      <c r="B1104" s="2" t="s">
        <v>229</v>
      </c>
      <c r="C1104" s="2" t="s">
        <v>230</v>
      </c>
    </row>
    <row r="1105" spans="2:3" hidden="1">
      <c r="B1105" s="2" t="s">
        <v>231</v>
      </c>
      <c r="C1105" s="2" t="s">
        <v>232</v>
      </c>
    </row>
    <row r="1106" spans="2:3" hidden="1">
      <c r="B1106" s="2" t="s">
        <v>233</v>
      </c>
      <c r="C1106" s="2" t="s">
        <v>234</v>
      </c>
    </row>
    <row r="1107" spans="2:3" hidden="1">
      <c r="B1107" s="2" t="s">
        <v>235</v>
      </c>
      <c r="C1107" s="2" t="s">
        <v>236</v>
      </c>
    </row>
    <row r="1108" spans="2:3" hidden="1">
      <c r="B1108" s="2" t="s">
        <v>237</v>
      </c>
      <c r="C1108" s="2" t="s">
        <v>238</v>
      </c>
    </row>
    <row r="1109" spans="2:3" hidden="1">
      <c r="B1109" s="2" t="s">
        <v>239</v>
      </c>
      <c r="C1109" s="2" t="s">
        <v>240</v>
      </c>
    </row>
    <row r="1110" spans="2:3" hidden="1">
      <c r="B1110" s="2" t="s">
        <v>241</v>
      </c>
      <c r="C1110" s="2" t="s">
        <v>238</v>
      </c>
    </row>
    <row r="1111" spans="2:3" hidden="1">
      <c r="B1111" s="2" t="s">
        <v>242</v>
      </c>
      <c r="C1111" s="2" t="s">
        <v>230</v>
      </c>
    </row>
    <row r="1112" spans="2:3" hidden="1">
      <c r="B1112" s="2" t="s">
        <v>243</v>
      </c>
      <c r="C1112" s="2" t="s">
        <v>218</v>
      </c>
    </row>
    <row r="1113" spans="2:3" hidden="1">
      <c r="B1113" s="2" t="s">
        <v>244</v>
      </c>
      <c r="C1113" s="2" t="s">
        <v>238</v>
      </c>
    </row>
    <row r="1114" spans="2:3" hidden="1">
      <c r="B1114" s="2" t="s">
        <v>245</v>
      </c>
      <c r="C1114" s="2" t="s">
        <v>238</v>
      </c>
    </row>
    <row r="1115" spans="2:3" hidden="1">
      <c r="B1115" s="2" t="s">
        <v>246</v>
      </c>
      <c r="C1115" s="2" t="s">
        <v>226</v>
      </c>
    </row>
    <row r="1116" spans="2:3" hidden="1">
      <c r="B1116" s="2" t="s">
        <v>247</v>
      </c>
      <c r="C1116" s="2" t="s">
        <v>248</v>
      </c>
    </row>
    <row r="1117" spans="2:3" hidden="1">
      <c r="B1117" s="2" t="s">
        <v>249</v>
      </c>
      <c r="C1117" s="2" t="s">
        <v>222</v>
      </c>
    </row>
    <row r="1118" spans="2:3" hidden="1">
      <c r="B1118" s="2" t="s">
        <v>250</v>
      </c>
      <c r="C1118" s="2" t="s">
        <v>248</v>
      </c>
    </row>
    <row r="1119" spans="2:3" hidden="1">
      <c r="B1119" s="2" t="s">
        <v>251</v>
      </c>
      <c r="C1119" s="2" t="s">
        <v>252</v>
      </c>
    </row>
    <row r="1120" spans="2:3" hidden="1">
      <c r="B1120" s="2" t="s">
        <v>253</v>
      </c>
      <c r="C1120" s="2" t="s">
        <v>254</v>
      </c>
    </row>
    <row r="1121" spans="2:3" hidden="1">
      <c r="B1121" s="2" t="s">
        <v>255</v>
      </c>
      <c r="C1121" s="2" t="s">
        <v>256</v>
      </c>
    </row>
    <row r="1122" spans="2:3" hidden="1">
      <c r="B1122" s="2" t="s">
        <v>257</v>
      </c>
      <c r="C1122" s="2" t="s">
        <v>218</v>
      </c>
    </row>
    <row r="1123" spans="2:3" hidden="1">
      <c r="B1123" s="2" t="s">
        <v>258</v>
      </c>
      <c r="C1123" s="2" t="s">
        <v>226</v>
      </c>
    </row>
    <row r="1124" spans="2:3" hidden="1">
      <c r="B1124" s="2" t="s">
        <v>259</v>
      </c>
      <c r="C1124" s="2" t="s">
        <v>260</v>
      </c>
    </row>
    <row r="1125" spans="2:3" hidden="1">
      <c r="B1125" s="2" t="s">
        <v>261</v>
      </c>
      <c r="C1125" s="2" t="s">
        <v>262</v>
      </c>
    </row>
    <row r="1126" spans="2:3" hidden="1">
      <c r="B1126" s="2" t="s">
        <v>263</v>
      </c>
      <c r="C1126" s="2">
        <v>0</v>
      </c>
    </row>
    <row r="1127" spans="2:3" hidden="1">
      <c r="B1127" s="2" t="s">
        <v>264</v>
      </c>
      <c r="C1127" s="2">
        <v>0</v>
      </c>
    </row>
    <row r="1128" spans="2:3" hidden="1">
      <c r="B1128" s="2" t="s">
        <v>265</v>
      </c>
      <c r="C1128" s="2">
        <v>0</v>
      </c>
    </row>
    <row r="1129" spans="2:3" hidden="1">
      <c r="B1129" s="2" t="s">
        <v>266</v>
      </c>
      <c r="C1129" s="2">
        <v>0</v>
      </c>
    </row>
    <row r="1130" spans="2:3" hidden="1">
      <c r="B1130" s="2" t="s">
        <v>268</v>
      </c>
      <c r="C1130" s="2">
        <v>0</v>
      </c>
    </row>
    <row r="1131" spans="2:3" hidden="1">
      <c r="B1131" s="2" t="s">
        <v>269</v>
      </c>
      <c r="C1131" s="2">
        <v>0</v>
      </c>
    </row>
    <row r="1132" spans="2:3" hidden="1">
      <c r="B1132" s="2" t="s">
        <v>270</v>
      </c>
      <c r="C1132" s="2">
        <v>0</v>
      </c>
    </row>
    <row r="1133" spans="2:3" hidden="1">
      <c r="B1133" s="2" t="s">
        <v>271</v>
      </c>
      <c r="C1133" s="2">
        <v>0</v>
      </c>
    </row>
    <row r="1134" spans="2:3" hidden="1">
      <c r="B1134" s="2" t="s">
        <v>272</v>
      </c>
      <c r="C1134" s="2">
        <v>0</v>
      </c>
    </row>
    <row r="1135" spans="2:3" hidden="1">
      <c r="B1135" s="2" t="s">
        <v>273</v>
      </c>
      <c r="C1135" s="2">
        <v>0</v>
      </c>
    </row>
    <row r="1136" spans="2:3" hidden="1">
      <c r="B1136" s="2" t="s">
        <v>274</v>
      </c>
      <c r="C1136" s="2">
        <v>0</v>
      </c>
    </row>
    <row r="1137" spans="2:3" hidden="1">
      <c r="B1137" s="2" t="s">
        <v>275</v>
      </c>
      <c r="C1137" s="2" t="s">
        <v>276</v>
      </c>
    </row>
    <row r="1138" spans="2:3" hidden="1">
      <c r="B1138" s="2" t="s">
        <v>277</v>
      </c>
      <c r="C1138" s="2">
        <v>0</v>
      </c>
    </row>
    <row r="1139" spans="2:3" hidden="1">
      <c r="B1139" s="2" t="s">
        <v>278</v>
      </c>
      <c r="C1139" s="2">
        <v>0</v>
      </c>
    </row>
    <row r="1140" spans="2:3" hidden="1">
      <c r="B1140" s="2" t="s">
        <v>279</v>
      </c>
      <c r="C1140" s="2">
        <v>0</v>
      </c>
    </row>
    <row r="1141" spans="2:3" hidden="1">
      <c r="B1141" s="2" t="s">
        <v>280</v>
      </c>
      <c r="C1141" s="2">
        <v>0</v>
      </c>
    </row>
    <row r="1142" spans="2:3" hidden="1">
      <c r="B1142" s="2" t="s">
        <v>281</v>
      </c>
      <c r="C1142" s="2">
        <v>0</v>
      </c>
    </row>
    <row r="1143" spans="2:3" hidden="1">
      <c r="B1143" s="2" t="s">
        <v>282</v>
      </c>
      <c r="C1143" s="2">
        <v>0</v>
      </c>
    </row>
    <row r="1144" spans="2:3" hidden="1">
      <c r="B1144" s="2" t="s">
        <v>283</v>
      </c>
      <c r="C1144" s="2">
        <v>0</v>
      </c>
    </row>
    <row r="1145" spans="2:3" hidden="1">
      <c r="B1145" s="2" t="s">
        <v>284</v>
      </c>
      <c r="C1145" s="2" t="s">
        <v>285</v>
      </c>
    </row>
    <row r="1146" spans="2:3" hidden="1">
      <c r="B1146" s="2" t="s">
        <v>286</v>
      </c>
      <c r="C1146" s="2">
        <v>0</v>
      </c>
    </row>
    <row r="1147" spans="2:3" hidden="1">
      <c r="B1147" s="2" t="s">
        <v>287</v>
      </c>
      <c r="C1147" s="2">
        <v>0</v>
      </c>
    </row>
    <row r="1148" spans="2:3" hidden="1">
      <c r="B1148" s="2" t="s">
        <v>288</v>
      </c>
      <c r="C1148" s="2">
        <v>0</v>
      </c>
    </row>
    <row r="1149" spans="2:3" hidden="1">
      <c r="B1149" s="2" t="s">
        <v>289</v>
      </c>
      <c r="C1149" s="2">
        <v>0</v>
      </c>
    </row>
    <row r="1150" spans="2:3" hidden="1">
      <c r="B1150" s="2" t="s">
        <v>290</v>
      </c>
      <c r="C1150" s="2">
        <v>0</v>
      </c>
    </row>
    <row r="1151" spans="2:3" hidden="1">
      <c r="B1151" s="2" t="s">
        <v>291</v>
      </c>
      <c r="C1151" s="2">
        <v>0</v>
      </c>
    </row>
    <row r="1152" spans="2:3" hidden="1">
      <c r="B1152" s="2" t="s">
        <v>292</v>
      </c>
      <c r="C1152" s="2">
        <v>0</v>
      </c>
    </row>
    <row r="1153" spans="2:3" hidden="1">
      <c r="B1153" s="2" t="s">
        <v>293</v>
      </c>
      <c r="C1153" s="2">
        <v>0</v>
      </c>
    </row>
    <row r="1154" spans="2:3" hidden="1">
      <c r="B1154" s="2" t="s">
        <v>294</v>
      </c>
      <c r="C1154" s="2">
        <v>0</v>
      </c>
    </row>
    <row r="1155" spans="2:3" hidden="1">
      <c r="B1155" s="2" t="s">
        <v>295</v>
      </c>
      <c r="C1155" s="2">
        <v>0</v>
      </c>
    </row>
    <row r="1156" spans="2:3" hidden="1">
      <c r="B1156" s="2" t="s">
        <v>296</v>
      </c>
      <c r="C1156" s="2">
        <v>0</v>
      </c>
    </row>
    <row r="1157" spans="2:3" hidden="1">
      <c r="B1157" s="2" t="s">
        <v>297</v>
      </c>
      <c r="C1157" s="2">
        <v>0</v>
      </c>
    </row>
    <row r="1158" spans="2:3" hidden="1">
      <c r="B1158" s="2" t="s">
        <v>298</v>
      </c>
      <c r="C1158" s="2">
        <v>0</v>
      </c>
    </row>
    <row r="1159" spans="2:3" hidden="1">
      <c r="B1159" s="2" t="s">
        <v>299</v>
      </c>
      <c r="C1159" s="2">
        <v>0</v>
      </c>
    </row>
    <row r="1160" spans="2:3" hidden="1">
      <c r="B1160" s="2" t="s">
        <v>300</v>
      </c>
      <c r="C1160" s="2">
        <v>0</v>
      </c>
    </row>
    <row r="1161" spans="2:3" hidden="1">
      <c r="B1161" s="2" t="s">
        <v>301</v>
      </c>
      <c r="C1161" s="2">
        <v>0</v>
      </c>
    </row>
    <row r="1162" spans="2:3" hidden="1">
      <c r="B1162" s="2" t="s">
        <v>302</v>
      </c>
      <c r="C1162" s="2">
        <v>0</v>
      </c>
    </row>
    <row r="1163" spans="2:3" hidden="1">
      <c r="B1163" s="2" t="s">
        <v>303</v>
      </c>
      <c r="C1163" s="2" t="s">
        <v>267</v>
      </c>
    </row>
    <row r="1164" spans="2:3" hidden="1">
      <c r="B1164" s="2" t="s">
        <v>304</v>
      </c>
      <c r="C1164" s="2">
        <v>0</v>
      </c>
    </row>
    <row r="1165" spans="2:3" hidden="1">
      <c r="B1165" s="2" t="s">
        <v>305</v>
      </c>
      <c r="C1165" s="2">
        <v>0</v>
      </c>
    </row>
    <row r="1166" spans="2:3" hidden="1">
      <c r="B1166" s="2" t="s">
        <v>306</v>
      </c>
      <c r="C1166" s="2">
        <v>0</v>
      </c>
    </row>
    <row r="1167" spans="2:3" hidden="1">
      <c r="B1167" s="2" t="s">
        <v>307</v>
      </c>
      <c r="C1167" s="2">
        <v>0</v>
      </c>
    </row>
    <row r="1168" spans="2:3" hidden="1">
      <c r="B1168" s="2" t="s">
        <v>308</v>
      </c>
      <c r="C1168" s="2">
        <v>0</v>
      </c>
    </row>
    <row r="1169" spans="2:3" hidden="1">
      <c r="B1169" s="2" t="s">
        <v>309</v>
      </c>
      <c r="C1169" s="2">
        <v>0</v>
      </c>
    </row>
    <row r="1170" spans="2:3" hidden="1">
      <c r="B1170" s="2" t="s">
        <v>310</v>
      </c>
      <c r="C1170" s="2">
        <v>0</v>
      </c>
    </row>
    <row r="1171" spans="2:3" hidden="1">
      <c r="B1171" s="2" t="s">
        <v>311</v>
      </c>
      <c r="C1171" s="2">
        <v>0</v>
      </c>
    </row>
    <row r="1172" spans="2:3" hidden="1">
      <c r="B1172" s="2" t="s">
        <v>312</v>
      </c>
      <c r="C1172" s="2">
        <v>0</v>
      </c>
    </row>
    <row r="1173" spans="2:3" hidden="1">
      <c r="B1173" s="2" t="s">
        <v>313</v>
      </c>
      <c r="C1173" s="2">
        <v>0</v>
      </c>
    </row>
    <row r="1174" spans="2:3" hidden="1">
      <c r="B1174" s="2" t="s">
        <v>314</v>
      </c>
      <c r="C1174" s="2">
        <v>0</v>
      </c>
    </row>
    <row r="1175" spans="2:3" hidden="1">
      <c r="B1175" s="2" t="s">
        <v>315</v>
      </c>
      <c r="C1175" s="2">
        <v>1</v>
      </c>
    </row>
    <row r="1176" spans="2:3" hidden="1">
      <c r="B1176" s="2" t="s">
        <v>316</v>
      </c>
      <c r="C1176" s="2">
        <v>0</v>
      </c>
    </row>
    <row r="1177" spans="2:3" hidden="1">
      <c r="B1177" s="2" t="s">
        <v>317</v>
      </c>
      <c r="C1177" s="2">
        <v>0</v>
      </c>
    </row>
    <row r="1178" spans="2:3" hidden="1">
      <c r="B1178" s="2" t="s">
        <v>318</v>
      </c>
      <c r="C1178" s="2">
        <v>0</v>
      </c>
    </row>
    <row r="1179" spans="2:3" hidden="1">
      <c r="B1179" s="2" t="s">
        <v>319</v>
      </c>
      <c r="C1179" s="2">
        <v>0</v>
      </c>
    </row>
    <row r="1180" spans="2:3" hidden="1">
      <c r="B1180" s="2" t="s">
        <v>320</v>
      </c>
      <c r="C1180" s="2">
        <v>0</v>
      </c>
    </row>
    <row r="1181" spans="2:3" hidden="1">
      <c r="B1181" s="2" t="s">
        <v>321</v>
      </c>
      <c r="C1181" s="2">
        <v>0</v>
      </c>
    </row>
    <row r="1182" spans="2:3" hidden="1">
      <c r="B1182" s="2" t="s">
        <v>322</v>
      </c>
      <c r="C1182" s="2">
        <v>0</v>
      </c>
    </row>
    <row r="1183" spans="2:3" hidden="1">
      <c r="B1183" s="2" t="s">
        <v>323</v>
      </c>
      <c r="C1183" s="2">
        <v>1</v>
      </c>
    </row>
    <row r="1184" spans="2:3" hidden="1">
      <c r="B1184" s="2" t="s">
        <v>324</v>
      </c>
      <c r="C1184" s="2">
        <v>0</v>
      </c>
    </row>
    <row r="1185" spans="2:3" hidden="1">
      <c r="B1185" s="2" t="s">
        <v>325</v>
      </c>
      <c r="C1185" s="2">
        <v>0</v>
      </c>
    </row>
    <row r="1186" spans="2:3" hidden="1">
      <c r="B1186" s="2" t="s">
        <v>326</v>
      </c>
      <c r="C1186" s="2">
        <v>0</v>
      </c>
    </row>
    <row r="1187" spans="2:3" hidden="1">
      <c r="B1187" s="2" t="s">
        <v>327</v>
      </c>
      <c r="C1187" s="2">
        <v>0</v>
      </c>
    </row>
    <row r="1188" spans="2:3" hidden="1">
      <c r="B1188" s="2" t="s">
        <v>328</v>
      </c>
      <c r="C1188" s="2">
        <v>0</v>
      </c>
    </row>
    <row r="1189" spans="2:3" hidden="1">
      <c r="B1189" s="2" t="s">
        <v>329</v>
      </c>
      <c r="C1189" s="2">
        <v>0</v>
      </c>
    </row>
    <row r="1190" spans="2:3" hidden="1">
      <c r="B1190" s="2" t="s">
        <v>330</v>
      </c>
      <c r="C1190" s="2">
        <v>0</v>
      </c>
    </row>
    <row r="1191" spans="2:3" hidden="1">
      <c r="B1191" s="2" t="s">
        <v>331</v>
      </c>
      <c r="C1191" s="2">
        <v>0</v>
      </c>
    </row>
    <row r="1192" spans="2:3" hidden="1">
      <c r="B1192" s="2" t="s">
        <v>332</v>
      </c>
      <c r="C1192" s="2">
        <v>0</v>
      </c>
    </row>
    <row r="1193" spans="2:3" hidden="1">
      <c r="B1193" s="2" t="s">
        <v>333</v>
      </c>
      <c r="C1193" s="2">
        <v>0</v>
      </c>
    </row>
    <row r="1194" spans="2:3" hidden="1">
      <c r="B1194" s="2" t="s">
        <v>334</v>
      </c>
      <c r="C1194" s="2">
        <v>0</v>
      </c>
    </row>
    <row r="1195" spans="2:3" hidden="1">
      <c r="B1195" s="2" t="s">
        <v>335</v>
      </c>
      <c r="C1195" s="2">
        <v>0</v>
      </c>
    </row>
    <row r="1196" spans="2:3" hidden="1">
      <c r="B1196" s="2" t="s">
        <v>336</v>
      </c>
      <c r="C1196" s="2">
        <v>0</v>
      </c>
    </row>
    <row r="1197" spans="2:3" hidden="1">
      <c r="B1197" s="2" t="s">
        <v>337</v>
      </c>
      <c r="C1197" s="2">
        <v>0</v>
      </c>
    </row>
    <row r="1198" spans="2:3" hidden="1">
      <c r="B1198" s="2" t="s">
        <v>338</v>
      </c>
      <c r="C1198" s="2">
        <v>0</v>
      </c>
    </row>
    <row r="1199" spans="2:3" hidden="1">
      <c r="B1199" s="2" t="s">
        <v>339</v>
      </c>
      <c r="C1199" s="2">
        <v>0</v>
      </c>
    </row>
    <row r="1200" spans="2:3" hidden="1">
      <c r="B1200" s="2" t="s">
        <v>340</v>
      </c>
      <c r="C1200" s="2">
        <v>0</v>
      </c>
    </row>
    <row r="1201" spans="2:3" hidden="1">
      <c r="B1201" s="2" t="s">
        <v>341</v>
      </c>
      <c r="C1201" s="2">
        <v>0</v>
      </c>
    </row>
    <row r="1202" spans="2:3" hidden="1">
      <c r="B1202" s="2" t="s">
        <v>342</v>
      </c>
      <c r="C1202" s="2">
        <v>1</v>
      </c>
    </row>
    <row r="1203" spans="2:3" hidden="1">
      <c r="B1203" s="2" t="s">
        <v>343</v>
      </c>
      <c r="C1203" s="2">
        <v>0</v>
      </c>
    </row>
    <row r="1204" spans="2:3" hidden="1">
      <c r="B1204" s="2" t="s">
        <v>344</v>
      </c>
      <c r="C1204" s="2">
        <v>0</v>
      </c>
    </row>
    <row r="1205" spans="2:3" hidden="1">
      <c r="B1205" s="2" t="s">
        <v>345</v>
      </c>
      <c r="C1205" s="2">
        <v>0</v>
      </c>
    </row>
    <row r="1206" spans="2:3" hidden="1">
      <c r="B1206" s="2" t="s">
        <v>346</v>
      </c>
      <c r="C1206" s="2">
        <v>0</v>
      </c>
    </row>
    <row r="1207" spans="2:3" hidden="1">
      <c r="B1207" s="2" t="s">
        <v>347</v>
      </c>
      <c r="C1207" s="2">
        <v>0</v>
      </c>
    </row>
    <row r="1208" spans="2:3" hidden="1">
      <c r="B1208" s="2" t="s">
        <v>348</v>
      </c>
      <c r="C1208" s="2">
        <v>0</v>
      </c>
    </row>
    <row r="1209" spans="2:3" hidden="1">
      <c r="B1209" s="2" t="s">
        <v>349</v>
      </c>
      <c r="C1209" s="2">
        <v>0</v>
      </c>
    </row>
    <row r="1210" spans="2:3" hidden="1">
      <c r="B1210" s="2" t="s">
        <v>350</v>
      </c>
      <c r="C1210" s="2">
        <v>0</v>
      </c>
    </row>
    <row r="1211" spans="2:3" hidden="1">
      <c r="B1211" s="2" t="s">
        <v>351</v>
      </c>
      <c r="C1211" s="2">
        <v>0</v>
      </c>
    </row>
    <row r="1212" spans="2:3" hidden="1">
      <c r="B1212" s="2" t="s">
        <v>352</v>
      </c>
      <c r="C1212" s="2">
        <v>0</v>
      </c>
    </row>
    <row r="1213" spans="2:3" hidden="1">
      <c r="B1213" s="2" t="s">
        <v>353</v>
      </c>
      <c r="C1213" s="2">
        <v>0</v>
      </c>
    </row>
    <row r="1214" spans="2:3" hidden="1">
      <c r="B1214" s="2" t="s">
        <v>354</v>
      </c>
      <c r="C1214" s="2">
        <v>0</v>
      </c>
    </row>
    <row r="1215" spans="2:3" hidden="1">
      <c r="B1215" s="2" t="s">
        <v>355</v>
      </c>
      <c r="C1215" s="2">
        <v>0</v>
      </c>
    </row>
    <row r="1216" spans="2:3" hidden="1">
      <c r="B1216" s="2" t="s">
        <v>356</v>
      </c>
      <c r="C1216" s="2">
        <v>0</v>
      </c>
    </row>
    <row r="1217" spans="2:3" hidden="1">
      <c r="B1217" s="2" t="s">
        <v>357</v>
      </c>
      <c r="C1217" s="2">
        <v>0</v>
      </c>
    </row>
    <row r="1218" spans="2:3" hidden="1">
      <c r="B1218" s="2" t="s">
        <v>358</v>
      </c>
      <c r="C1218" s="2">
        <v>0</v>
      </c>
    </row>
    <row r="1219" spans="2:3" hidden="1">
      <c r="B1219" s="2" t="s">
        <v>359</v>
      </c>
      <c r="C1219" s="2">
        <v>0</v>
      </c>
    </row>
    <row r="1220" spans="2:3" hidden="1">
      <c r="B1220" s="2" t="s">
        <v>360</v>
      </c>
      <c r="C1220" s="2">
        <v>0</v>
      </c>
    </row>
    <row r="1221" spans="2:3" hidden="1">
      <c r="B1221" s="2" t="s">
        <v>361</v>
      </c>
      <c r="C1221" s="2">
        <v>0</v>
      </c>
    </row>
    <row r="1222" spans="2:3" hidden="1">
      <c r="B1222" s="2" t="s">
        <v>362</v>
      </c>
      <c r="C1222" s="2">
        <v>0</v>
      </c>
    </row>
    <row r="1223" spans="2:3" hidden="1">
      <c r="B1223" s="2" t="s">
        <v>363</v>
      </c>
      <c r="C1223" s="2">
        <v>0</v>
      </c>
    </row>
    <row r="1224" spans="2:3" hidden="1">
      <c r="B1224" s="2" t="s">
        <v>364</v>
      </c>
      <c r="C1224" s="2">
        <v>0</v>
      </c>
    </row>
    <row r="1225" spans="2:3" hidden="1">
      <c r="B1225" s="2" t="s">
        <v>365</v>
      </c>
      <c r="C1225" s="2">
        <v>0</v>
      </c>
    </row>
    <row r="1226" spans="2:3" hidden="1">
      <c r="B1226" s="2" t="s">
        <v>366</v>
      </c>
      <c r="C1226" s="2">
        <v>0</v>
      </c>
    </row>
    <row r="1227" spans="2:3" hidden="1">
      <c r="B1227" s="2" t="s">
        <v>367</v>
      </c>
      <c r="C1227" s="2">
        <v>0</v>
      </c>
    </row>
    <row r="1228" spans="2:3" hidden="1">
      <c r="B1228" s="2" t="s">
        <v>368</v>
      </c>
      <c r="C1228" s="2">
        <v>0</v>
      </c>
    </row>
    <row r="1229" spans="2:3" hidden="1">
      <c r="B1229" s="2" t="s">
        <v>369</v>
      </c>
      <c r="C1229" s="2">
        <v>0</v>
      </c>
    </row>
    <row r="1230" spans="2:3" hidden="1">
      <c r="B1230" s="2" t="s">
        <v>370</v>
      </c>
      <c r="C1230" s="2">
        <v>0</v>
      </c>
    </row>
    <row r="1231" spans="2:3" hidden="1">
      <c r="B1231" s="2" t="s">
        <v>371</v>
      </c>
      <c r="C1231" s="2">
        <v>0</v>
      </c>
    </row>
    <row r="1232" spans="2:3" hidden="1">
      <c r="B1232" s="2" t="s">
        <v>372</v>
      </c>
      <c r="C1232" s="2">
        <v>0</v>
      </c>
    </row>
    <row r="1233" spans="2:3" hidden="1">
      <c r="B1233" s="2" t="s">
        <v>373</v>
      </c>
      <c r="C1233" s="2">
        <v>0</v>
      </c>
    </row>
    <row r="1234" spans="2:3" hidden="1">
      <c r="B1234" s="2" t="s">
        <v>374</v>
      </c>
      <c r="C1234" s="2">
        <v>0</v>
      </c>
    </row>
    <row r="1235" spans="2:3" hidden="1">
      <c r="B1235" s="2" t="s">
        <v>375</v>
      </c>
      <c r="C1235" s="2">
        <v>0</v>
      </c>
    </row>
    <row r="1236" spans="2:3" hidden="1">
      <c r="B1236" s="2" t="s">
        <v>376</v>
      </c>
      <c r="C1236" s="2">
        <v>0</v>
      </c>
    </row>
    <row r="1237" spans="2:3" hidden="1">
      <c r="B1237" s="2" t="s">
        <v>377</v>
      </c>
      <c r="C1237" s="2">
        <v>0</v>
      </c>
    </row>
    <row r="1238" spans="2:3" hidden="1">
      <c r="B1238" s="2" t="s">
        <v>378</v>
      </c>
      <c r="C1238" s="2">
        <v>0</v>
      </c>
    </row>
    <row r="1239" spans="2:3" hidden="1">
      <c r="B1239" s="2" t="s">
        <v>379</v>
      </c>
      <c r="C1239" s="2">
        <v>0</v>
      </c>
    </row>
    <row r="1240" spans="2:3" hidden="1">
      <c r="B1240" s="2" t="s">
        <v>380</v>
      </c>
      <c r="C1240" s="2">
        <v>0</v>
      </c>
    </row>
    <row r="1241" spans="2:3" hidden="1">
      <c r="B1241" s="2" t="s">
        <v>381</v>
      </c>
      <c r="C1241" s="2">
        <v>0</v>
      </c>
    </row>
    <row r="1242" spans="2:3" hidden="1">
      <c r="B1242" s="2" t="s">
        <v>382</v>
      </c>
      <c r="C1242" s="2">
        <v>0</v>
      </c>
    </row>
    <row r="1243" spans="2:3" hidden="1">
      <c r="B1243" s="2" t="s">
        <v>383</v>
      </c>
      <c r="C1243" s="2">
        <v>0</v>
      </c>
    </row>
  </sheetData>
  <protectedRanges>
    <protectedRange sqref="F1 C7:E7 F8:F9 F25:F26 F32" name="Grey cells"/>
  </protectedRanges>
  <mergeCells count="3">
    <mergeCell ref="B3:F3"/>
    <mergeCell ref="B92:I92"/>
    <mergeCell ref="A93:A100"/>
  </mergeCells>
  <conditionalFormatting sqref="B83:C83">
    <cfRule type="expression" dxfId="1" priority="3" stopIfTrue="1">
      <formula>MID($B83,1,4)="Rent"</formula>
    </cfRule>
  </conditionalFormatting>
  <conditionalFormatting sqref="C12:D33">
    <cfRule type="expression" dxfId="0" priority="1">
      <formula>$F$1="yes"</formula>
    </cfRule>
  </conditionalFormatting>
  <dataValidations disablePrompts="1" count="1">
    <dataValidation type="list" allowBlank="1" showInputMessage="1" showErrorMessage="1" sqref="F1" xr:uid="{711A83CC-E1A9-46BD-9897-6F428D44AC18}">
      <formula1>"Yes, No"</formula1>
    </dataValidation>
  </dataValidations>
  <pageMargins left="0.7" right="0.7" top="0.75" bottom="0.75" header="0.3" footer="0.3"/>
  <pageSetup scale="85" orientation="portrait" r:id="rId1"/>
  <headerFooter>
    <oddFooter>&amp;C&amp;"Verdana,Regular"&amp;8The Crop Budget Generator is a product of the Food and Agricultural Policy Research Institute at the University of Missouri
www.fapri.missouri.edu</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A5FE9-4A40-4526-B447-E3E53F3B5367}">
  <dimension ref="A1:CU210"/>
  <sheetViews>
    <sheetView topLeftCell="AH1" workbookViewId="0">
      <selection activeCell="AY26" sqref="AY26"/>
    </sheetView>
  </sheetViews>
  <sheetFormatPr defaultColWidth="9" defaultRowHeight="16"/>
  <cols>
    <col min="1" max="1" width="9.5" style="100" customWidth="1"/>
    <col min="2" max="2" width="45.6640625" style="100" customWidth="1"/>
    <col min="3" max="3" width="42.1640625" style="100" bestFit="1" customWidth="1"/>
    <col min="4" max="14" width="10.6640625" style="100" customWidth="1"/>
    <col min="15" max="15" width="26.6640625" style="100" customWidth="1"/>
    <col min="16" max="30" width="10.6640625" style="100" customWidth="1"/>
    <col min="31" max="31" width="8" style="100" customWidth="1"/>
    <col min="32" max="32" width="16.6640625" style="100" bestFit="1" customWidth="1"/>
    <col min="33" max="33" width="34.5" style="100" customWidth="1"/>
    <col min="34" max="34" width="29.1640625" style="100" bestFit="1" customWidth="1"/>
    <col min="35" max="35" width="5.1640625" style="100" bestFit="1" customWidth="1"/>
    <col min="36" max="36" width="18.1640625" style="100" customWidth="1"/>
    <col min="37" max="37" width="9" style="100"/>
    <col min="38" max="38" width="9.1640625" style="100" customWidth="1"/>
    <col min="39" max="39" width="7.83203125" style="100" customWidth="1"/>
    <col min="40" max="42" width="9" style="100"/>
    <col min="43" max="43" width="9.1640625" style="100" bestFit="1" customWidth="1"/>
    <col min="44" max="44" width="10.6640625" style="100" customWidth="1"/>
    <col min="45" max="45" width="27.83203125" style="100" bestFit="1" customWidth="1"/>
    <col min="46" max="46" width="11.5" style="100" customWidth="1"/>
    <col min="47" max="47" width="8.33203125" style="100" bestFit="1" customWidth="1"/>
    <col min="48" max="48" width="7.83203125" style="100" bestFit="1" customWidth="1"/>
    <col min="49" max="49" width="9.6640625" style="100" bestFit="1" customWidth="1"/>
    <col min="50" max="50" width="8.33203125" style="100" bestFit="1" customWidth="1"/>
    <col min="51" max="51" width="8.83203125" style="100" bestFit="1" customWidth="1"/>
    <col min="52" max="52" width="6.83203125" style="100" bestFit="1" customWidth="1"/>
    <col min="53" max="53" width="18.83203125" style="100" bestFit="1" customWidth="1"/>
    <col min="54" max="54" width="34.1640625" style="100" customWidth="1"/>
    <col min="55" max="55" width="19" style="100" customWidth="1"/>
    <col min="56" max="56" width="6.6640625" style="100" customWidth="1"/>
    <col min="57" max="58" width="9" style="100"/>
    <col min="59" max="59" width="9.6640625" style="100" customWidth="1"/>
    <col min="60" max="64" width="9" style="100"/>
    <col min="65" max="65" width="6.5" style="100" customWidth="1"/>
    <col min="66" max="66" width="3.6640625" style="100" customWidth="1"/>
    <col min="67" max="67" width="53.1640625" style="100" customWidth="1"/>
    <col min="68" max="68" width="9.5" style="100" customWidth="1"/>
    <col min="69" max="70" width="9" style="100"/>
    <col min="71" max="71" width="61.6640625" style="100" customWidth="1"/>
    <col min="72" max="72" width="9.1640625" style="100" customWidth="1"/>
    <col min="73" max="77" width="9" style="100"/>
    <col min="78" max="78" width="8.6640625" style="100" customWidth="1"/>
    <col min="79" max="79" width="12.33203125" style="100" customWidth="1"/>
    <col min="80" max="80" width="8.6640625" style="100" customWidth="1"/>
    <col min="81" max="81" width="10.5" style="100" customWidth="1"/>
    <col min="82" max="82" width="10" style="100" customWidth="1"/>
    <col min="83" max="87" width="8.6640625" style="100" customWidth="1"/>
    <col min="88" max="88" width="28.5" style="100" customWidth="1"/>
    <col min="89" max="90" width="10.5" style="100" customWidth="1"/>
    <col min="91" max="92" width="8.6640625" style="100" customWidth="1"/>
    <col min="93" max="93" width="10.5" style="100" customWidth="1"/>
    <col min="94" max="94" width="8.6640625" style="100" customWidth="1"/>
    <col min="95" max="95" width="9.33203125" style="100" customWidth="1"/>
    <col min="96" max="96" width="14.33203125" style="100" customWidth="1"/>
    <col min="97" max="97" width="8.6640625" style="100" customWidth="1"/>
    <col min="98" max="98" width="11" style="100" customWidth="1"/>
    <col min="99" max="99" width="11.83203125" style="100" customWidth="1"/>
    <col min="100" max="16384" width="9" style="100"/>
  </cols>
  <sheetData>
    <row r="1" spans="1:71">
      <c r="B1" s="100" t="s">
        <v>701</v>
      </c>
      <c r="F1" s="100" t="s">
        <v>702</v>
      </c>
    </row>
    <row r="2" spans="1:71">
      <c r="B2" s="101" t="s">
        <v>413</v>
      </c>
      <c r="C2" s="101"/>
      <c r="BC2" s="100">
        <v>1</v>
      </c>
      <c r="BD2" s="100">
        <v>2</v>
      </c>
      <c r="BE2" s="100">
        <v>3</v>
      </c>
      <c r="BF2" s="100">
        <v>4</v>
      </c>
      <c r="BG2" s="100">
        <v>5</v>
      </c>
      <c r="BH2" s="100">
        <v>6</v>
      </c>
      <c r="BI2" s="100">
        <v>7</v>
      </c>
      <c r="BJ2" s="100">
        <v>8</v>
      </c>
      <c r="BK2" s="100">
        <v>9</v>
      </c>
      <c r="BL2" s="100">
        <v>10</v>
      </c>
      <c r="BM2" s="100">
        <v>11</v>
      </c>
    </row>
    <row r="3" spans="1:71">
      <c r="B3" s="100">
        <v>1</v>
      </c>
      <c r="C3" s="100">
        <v>2</v>
      </c>
      <c r="D3" s="100">
        <v>3</v>
      </c>
      <c r="E3" s="100">
        <v>4</v>
      </c>
      <c r="F3" s="100">
        <v>5</v>
      </c>
      <c r="G3" s="100">
        <v>6</v>
      </c>
      <c r="H3" s="100">
        <v>7</v>
      </c>
      <c r="I3" s="100">
        <v>8</v>
      </c>
      <c r="J3" s="100">
        <v>9</v>
      </c>
      <c r="K3" s="100">
        <v>10</v>
      </c>
      <c r="L3" s="100">
        <v>11</v>
      </c>
      <c r="M3" s="100">
        <v>12</v>
      </c>
      <c r="N3" s="100">
        <v>13</v>
      </c>
      <c r="O3" s="100">
        <v>14</v>
      </c>
      <c r="P3" s="100">
        <v>15</v>
      </c>
      <c r="Q3" s="100">
        <v>16</v>
      </c>
      <c r="R3" s="100">
        <v>17</v>
      </c>
      <c r="S3" s="100">
        <v>18</v>
      </c>
      <c r="T3" s="100">
        <v>19</v>
      </c>
      <c r="U3" s="100">
        <v>20</v>
      </c>
      <c r="V3" s="100">
        <v>21</v>
      </c>
      <c r="W3" s="100">
        <v>22</v>
      </c>
      <c r="X3" s="100">
        <v>23</v>
      </c>
      <c r="Y3" s="100">
        <v>24</v>
      </c>
      <c r="Z3" s="100">
        <v>25</v>
      </c>
      <c r="AA3" s="100">
        <v>26</v>
      </c>
      <c r="AB3" s="100">
        <v>27</v>
      </c>
      <c r="AC3" s="100">
        <v>28</v>
      </c>
      <c r="AD3" s="100">
        <v>29</v>
      </c>
      <c r="AE3" s="100">
        <v>30</v>
      </c>
      <c r="AF3" s="100">
        <v>31</v>
      </c>
      <c r="AH3" s="100">
        <v>1</v>
      </c>
      <c r="AI3" s="100">
        <v>2</v>
      </c>
      <c r="AJ3" s="100">
        <v>3</v>
      </c>
      <c r="AK3" s="100">
        <v>4</v>
      </c>
      <c r="AL3" s="100">
        <v>5</v>
      </c>
      <c r="AM3" s="100">
        <v>6</v>
      </c>
      <c r="AN3" s="100">
        <v>7</v>
      </c>
      <c r="AO3" s="100">
        <v>8</v>
      </c>
      <c r="AP3" s="100">
        <v>9</v>
      </c>
      <c r="AQ3" s="100">
        <v>10</v>
      </c>
      <c r="AR3" s="100">
        <v>11</v>
      </c>
      <c r="AS3" s="100">
        <v>12</v>
      </c>
      <c r="AT3" s="100">
        <v>13</v>
      </c>
      <c r="AU3" s="100">
        <v>14</v>
      </c>
      <c r="AV3" s="100">
        <v>15</v>
      </c>
      <c r="AW3" s="100">
        <v>16</v>
      </c>
      <c r="AX3" s="100">
        <v>17</v>
      </c>
      <c r="AY3" s="100">
        <v>18</v>
      </c>
      <c r="AZ3" s="100">
        <v>19</v>
      </c>
      <c r="BA3" s="100">
        <v>20</v>
      </c>
      <c r="BC3" s="100" t="s">
        <v>532</v>
      </c>
      <c r="BO3" s="100" t="s">
        <v>533</v>
      </c>
    </row>
    <row r="4" spans="1:71">
      <c r="A4" s="143"/>
      <c r="B4" s="102" t="s">
        <v>414</v>
      </c>
      <c r="AH4" s="121" t="s">
        <v>511</v>
      </c>
      <c r="AJ4" s="122"/>
      <c r="AK4" s="123"/>
      <c r="AL4" s="122"/>
      <c r="AM4" s="124"/>
      <c r="AN4" s="124"/>
      <c r="AO4" s="124"/>
      <c r="AP4" s="122"/>
      <c r="AQ4" s="125"/>
      <c r="AR4" s="126"/>
      <c r="AS4" s="125"/>
      <c r="AT4" s="125"/>
      <c r="BC4" s="102" t="s">
        <v>534</v>
      </c>
      <c r="BO4" s="102" t="s">
        <v>534</v>
      </c>
    </row>
    <row r="5" spans="1:71" ht="28.5" customHeight="1">
      <c r="A5" s="145"/>
      <c r="B5" s="103" t="s">
        <v>415</v>
      </c>
      <c r="C5" s="103" t="s">
        <v>416</v>
      </c>
      <c r="D5" s="103" t="s">
        <v>417</v>
      </c>
      <c r="E5" s="103" t="s">
        <v>418</v>
      </c>
      <c r="F5" s="103" t="s">
        <v>419</v>
      </c>
      <c r="G5" s="103" t="s">
        <v>420</v>
      </c>
      <c r="H5" s="103" t="s">
        <v>421</v>
      </c>
      <c r="I5" s="103" t="s">
        <v>422</v>
      </c>
      <c r="J5" s="103" t="s">
        <v>423</v>
      </c>
      <c r="K5" s="103" t="s">
        <v>424</v>
      </c>
      <c r="L5" s="103" t="s">
        <v>425</v>
      </c>
      <c r="M5" s="103" t="s">
        <v>426</v>
      </c>
      <c r="N5" s="103" t="s">
        <v>703</v>
      </c>
      <c r="O5" s="103" t="s">
        <v>427</v>
      </c>
      <c r="P5" s="103" t="s">
        <v>428</v>
      </c>
      <c r="Q5" s="103" t="s">
        <v>429</v>
      </c>
      <c r="R5" s="103" t="s">
        <v>430</v>
      </c>
      <c r="S5" s="103" t="s">
        <v>431</v>
      </c>
      <c r="T5" s="103" t="s">
        <v>432</v>
      </c>
      <c r="U5" s="103" t="s">
        <v>433</v>
      </c>
      <c r="V5" s="103" t="s">
        <v>516</v>
      </c>
      <c r="W5" s="103" t="s">
        <v>517</v>
      </c>
      <c r="X5" s="103" t="s">
        <v>518</v>
      </c>
      <c r="Y5" s="103" t="s">
        <v>520</v>
      </c>
      <c r="Z5" s="103" t="s">
        <v>704</v>
      </c>
      <c r="AA5" s="103" t="s">
        <v>434</v>
      </c>
      <c r="AB5" s="103" t="s">
        <v>705</v>
      </c>
      <c r="AC5" s="103" t="s">
        <v>435</v>
      </c>
      <c r="AD5" s="103" t="s">
        <v>436</v>
      </c>
      <c r="AE5" s="103" t="s">
        <v>437</v>
      </c>
      <c r="AF5" s="104" t="s">
        <v>438</v>
      </c>
      <c r="AG5" s="194"/>
      <c r="AH5" s="127" t="s">
        <v>512</v>
      </c>
      <c r="AI5" s="128" t="s">
        <v>513</v>
      </c>
      <c r="AJ5" s="128" t="s">
        <v>514</v>
      </c>
      <c r="AK5" s="129" t="s">
        <v>421</v>
      </c>
      <c r="AL5" s="129" t="s">
        <v>422</v>
      </c>
      <c r="AM5" s="129" t="s">
        <v>423</v>
      </c>
      <c r="AN5" s="129" t="s">
        <v>661</v>
      </c>
      <c r="AO5" s="129" t="s">
        <v>840</v>
      </c>
      <c r="AP5" s="129" t="s">
        <v>424</v>
      </c>
      <c r="AQ5" s="129" t="s">
        <v>425</v>
      </c>
      <c r="AR5" s="130" t="s">
        <v>515</v>
      </c>
      <c r="AS5" s="127" t="s">
        <v>427</v>
      </c>
      <c r="AT5" s="129" t="s">
        <v>431</v>
      </c>
      <c r="AU5" s="129" t="s">
        <v>432</v>
      </c>
      <c r="AV5" s="129" t="s">
        <v>433</v>
      </c>
      <c r="AW5" s="129" t="s">
        <v>516</v>
      </c>
      <c r="AX5" s="129" t="s">
        <v>517</v>
      </c>
      <c r="AY5" s="129" t="s">
        <v>518</v>
      </c>
      <c r="AZ5" s="129" t="s">
        <v>519</v>
      </c>
      <c r="BA5" s="129" t="s">
        <v>520</v>
      </c>
      <c r="BB5" s="127"/>
      <c r="BC5" s="127" t="s">
        <v>542</v>
      </c>
      <c r="BD5" s="181" t="s">
        <v>543</v>
      </c>
      <c r="BE5" s="181" t="s">
        <v>544</v>
      </c>
      <c r="BF5" s="181" t="s">
        <v>545</v>
      </c>
      <c r="BG5" s="181" t="s">
        <v>546</v>
      </c>
      <c r="BH5" s="181" t="s">
        <v>547</v>
      </c>
      <c r="BI5" s="181" t="s">
        <v>548</v>
      </c>
      <c r="BJ5" s="181" t="s">
        <v>549</v>
      </c>
      <c r="BK5" s="181" t="s">
        <v>662</v>
      </c>
      <c r="BL5" s="181" t="s">
        <v>550</v>
      </c>
      <c r="BM5" s="181" t="s">
        <v>551</v>
      </c>
      <c r="BO5" s="127" t="s">
        <v>552</v>
      </c>
      <c r="BP5" s="129" t="s">
        <v>553</v>
      </c>
    </row>
    <row r="6" spans="1:71">
      <c r="A6" s="145"/>
      <c r="B6" s="100" t="str">
        <f>Implements7[[#This Row],[Implement type]]&amp;", "&amp;Implements7[[#This Row],[Width]]&amp;" "&amp;Implements7[[#This Row],[Width Unit]]&amp; ", per "&amp;Implements7[[#This Row],[Use basis]]</f>
        <v>Anhydrous applicator, 21 Ft Folding, per acre</v>
      </c>
      <c r="C6" s="105" t="s">
        <v>441</v>
      </c>
      <c r="D6" s="106">
        <v>21</v>
      </c>
      <c r="E6" s="107" t="str">
        <f t="shared" ref="E6:E13" si="0">IF(D6&gt;15,"Ft Folding","Ft")</f>
        <v>Ft Folding</v>
      </c>
      <c r="F6" s="106"/>
      <c r="G6" s="105"/>
      <c r="H6" s="108">
        <v>41000</v>
      </c>
      <c r="I6" s="109">
        <v>0.15</v>
      </c>
      <c r="J6" s="195">
        <f t="shared" ref="J6:J108" si="1">H6/(1-I6)</f>
        <v>48235.294117647063</v>
      </c>
      <c r="K6" s="306">
        <f>VLOOKUP(Implements7[[#This Row],[ASABEtype]],ASABECoefficients8[],4,FALSE)/Implements7[[#This Row],[Use (hr/yr)]]</f>
        <v>12</v>
      </c>
      <c r="L6" s="106">
        <v>100</v>
      </c>
      <c r="M6" s="111">
        <f t="shared" ref="M6:M60" si="2">IF(AND(P6&lt;&gt;0,Q6&lt;&gt;0),L6*(D6*P6*Q6)/8.25,L6*D6)</f>
        <v>979.99999999999989</v>
      </c>
      <c r="N6" s="111" t="s">
        <v>706</v>
      </c>
      <c r="O6" s="106" t="s">
        <v>442</v>
      </c>
      <c r="P6" s="106">
        <v>5.5</v>
      </c>
      <c r="Q6" s="109">
        <v>0.7</v>
      </c>
      <c r="R6" s="109">
        <v>1.1499999999999999</v>
      </c>
      <c r="S6" s="106">
        <v>180</v>
      </c>
      <c r="T6"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0.28244357578252999</v>
      </c>
      <c r="U6" s="113">
        <f>Implements7[[#This Row],[TradeIn%]]*Implements7[[#This Row],[PriceL]]</f>
        <v>13623.748949510271</v>
      </c>
      <c r="V6" s="114">
        <f>(Implements7[[#This Row],[PriceP]]-Implements7[[#This Row],[TradeIn$]])/Implements7[[#This Row],[Life (yr)]]/Implements7[[#This Row],[Use (hr/yr)]]</f>
        <v>22.813542542074774</v>
      </c>
      <c r="W6" s="114">
        <f>((Implements7[[#This Row],[PriceP]]+Implements7[[#This Row],[TradeIn$]])/2*($BP$7+$BP$8+$BP$9)+Implements7[[#This Row],[Shed (ft^2)]]*$BP$12)/Implements7[[#This Row],[Use (hr/yr)]]</f>
        <v>25.91560304385543</v>
      </c>
      <c r="X6" s="114">
        <f>Implements7[[#This Row],[PriceL]]*(VLOOKUP(Implements7[[#This Row],[ASABEtype]],$BC$6:$BM$52,2)*(Implements7[[#This Row],[Life (yr)]]*Implements7[[#This Row],[Use (hr/yr)]]/1000)^VLOOKUP(Implements7[[#This Row],[ASABEtype]],$BC$6:$BM$52,3))/Implements7[[#This Row],[Life (yr)]]/Implements7[[#This Row],[Use (hr/yr)]]</f>
        <v>32.096660923277689</v>
      </c>
      <c r="Y6" s="114">
        <f>Implements7[[#This Row],[Depr ($/hr)]]+Implements7[[#This Row],[OH ($/hr)]]</f>
        <v>48.729145585930205</v>
      </c>
      <c r="Z6" s="114">
        <f>(Implements7[[#This Row],[PriceP]]-Implements7[[#This Row],[TradeIn$]])/Implements7[[#This Row],[Life (yr)]]/Implements7[[#This Row],[Use (ac/yr)]]</f>
        <v>2.3279125042933444</v>
      </c>
      <c r="AA6" s="114">
        <f>((Implements7[[#This Row],[PriceP]]+Implements7[[#This Row],[TradeIn$]])/2*($BP$7+$BP$8+$BP$9)+Implements7[[#This Row],[Shed (ft^2)]]*$BP$12)/Implements7[[#This Row],[Use (ac/yr)]]</f>
        <v>2.6444492901893302</v>
      </c>
      <c r="AB6"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3.2751694819671116</v>
      </c>
      <c r="AC6" s="115">
        <f>$BP$18/(Implements7[[#This Row],[Width]]*Implements7[[#This Row],[Speed]]*Implements7[[#This Row],[Efficiency]])</f>
        <v>0.10204081632653061</v>
      </c>
      <c r="AD6" s="116">
        <f>IF(Implements7[[#This Row],[Use basis]]=$N$128,Implements7[[#This Row],[Ownership costs ($/hr)]],SUM(Implements7[[#This Row],[Depr ($/ac)2]:[OH ($/ac)]]))</f>
        <v>4.9723617944826746</v>
      </c>
      <c r="AE6" s="116"/>
      <c r="AF6" s="100" t="s">
        <v>443</v>
      </c>
      <c r="AG6" s="116"/>
      <c r="AH6" s="131" t="str">
        <f t="shared" ref="AH6:AH31" si="3">CONCATENATE(AI6&amp;" "&amp;AJ6)</f>
        <v>400 CC FWD ATV</v>
      </c>
      <c r="AI6" s="132">
        <v>400</v>
      </c>
      <c r="AJ6" s="197" t="s">
        <v>707</v>
      </c>
      <c r="AK6" s="198">
        <v>6900</v>
      </c>
      <c r="AL6" s="199">
        <v>0.05</v>
      </c>
      <c r="AM6" s="200">
        <f t="shared" ref="AM6:AM30" si="4">AK6/(1-AL6)</f>
        <v>7263.1578947368425</v>
      </c>
      <c r="AN6" s="215">
        <f>VLOOKUP(Power20259[[#This Row],[ASABEtype]],$BC$6:$BM$52,4,FALSE)</f>
        <v>2000</v>
      </c>
      <c r="AO6" s="199"/>
      <c r="AP6" s="307">
        <f>VLOOKUP(Power20259[[#This Row],[ASABEtype]],ASABECoefficients8[],4,FALSE)/Power20259[[#This Row],[Use (hr/yr)]]*(1-Power20259[[#This Row],[Life used (%)]])</f>
        <v>10</v>
      </c>
      <c r="AQ6" s="201">
        <v>200</v>
      </c>
      <c r="AR6" s="202">
        <v>1E-3</v>
      </c>
      <c r="AS6" s="203" t="s">
        <v>708</v>
      </c>
      <c r="AT6" s="201">
        <v>25</v>
      </c>
      <c r="AU6"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5.9133718417454545E-2</v>
      </c>
      <c r="AV6" s="205">
        <f>Power20259[[#This Row],[TradeIn%]]*Power20259[[#This Row],[PriceL]]</f>
        <v>429.49753376888043</v>
      </c>
      <c r="AW6" s="206">
        <f>(Power20259[[#This Row],[PriceP]]-Power20259[[#This Row],[TradeIn$]])/Power20259[[#This Row],[Life (yr)]]/Power20259[[#This Row],[Use (hr/yr)]]</f>
        <v>3.2352512331155601</v>
      </c>
      <c r="AX6" s="308">
        <f>((Power20259[[#This Row],[PriceP]]+Power20259[[#This Row],[TradeIn$]])/2*($BP$7+$BP$8+$BP$9)+Power20259[[#This Row],[Shed (ft^2)]]*$BP$12)/Power20259[[#This Row],[Use (hr/yr)]]</f>
        <v>1.7428036997419991</v>
      </c>
      <c r="AY6"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2.9201121340187783</v>
      </c>
      <c r="AZ6" s="208">
        <f>Power20259[[#This Row],[Fuel (gal/hph)]]*Power20259[[#This Row],[HP]]</f>
        <v>0.4</v>
      </c>
      <c r="BA6" s="206">
        <f t="shared" ref="BA6:BA30" si="5">SUM(AW6:AX6)</f>
        <v>4.9780549328575594</v>
      </c>
      <c r="BB6" s="209" t="s">
        <v>709</v>
      </c>
      <c r="BC6" s="125" t="s">
        <v>555</v>
      </c>
      <c r="BD6" s="146">
        <v>0.2</v>
      </c>
      <c r="BE6" s="146">
        <v>1.6</v>
      </c>
      <c r="BF6" s="146">
        <v>2000</v>
      </c>
      <c r="BG6" s="146">
        <v>0.85540000000000005</v>
      </c>
      <c r="BH6" s="146">
        <v>0.1177</v>
      </c>
      <c r="BI6" s="146">
        <v>0</v>
      </c>
      <c r="BJ6" s="146">
        <v>2.8999999999999998E-3</v>
      </c>
      <c r="BK6" s="122">
        <f t="shared" ref="BK6:BK44" si="6">BL6^2</f>
        <v>1.6230760000000004E-2</v>
      </c>
      <c r="BL6" s="146">
        <v>0.12740000000000001</v>
      </c>
      <c r="BM6" s="147"/>
      <c r="BO6" s="125" t="s">
        <v>556</v>
      </c>
      <c r="BP6" s="148">
        <f>'Input prices'!D20</f>
        <v>26</v>
      </c>
      <c r="BS6" s="100" t="s">
        <v>728</v>
      </c>
    </row>
    <row r="7" spans="1:71">
      <c r="A7" s="150"/>
      <c r="B7" s="100" t="str">
        <f>Implements7[[#This Row],[Implement type]]&amp;", "&amp;Implements7[[#This Row],[Width]]&amp;" "&amp;Implements7[[#This Row],[Width Unit]]&amp; ", per "&amp;Implements7[[#This Row],[Use basis]]</f>
        <v>Anhydrous applicator, 36 Ft Folding, per acre</v>
      </c>
      <c r="C7" s="105" t="s">
        <v>441</v>
      </c>
      <c r="D7" s="106">
        <v>36</v>
      </c>
      <c r="E7" s="107" t="str">
        <f t="shared" si="0"/>
        <v>Ft Folding</v>
      </c>
      <c r="F7" s="106"/>
      <c r="G7" s="105"/>
      <c r="H7" s="108">
        <v>54000</v>
      </c>
      <c r="I7" s="109">
        <v>0.15</v>
      </c>
      <c r="J7" s="195">
        <f t="shared" si="1"/>
        <v>63529.411764705881</v>
      </c>
      <c r="K7" s="306">
        <f>VLOOKUP(Implements7[[#This Row],[ASABEtype]],ASABECoefficients8[],4,FALSE)/Implements7[[#This Row],[Use (hr/yr)]]</f>
        <v>12</v>
      </c>
      <c r="L7" s="106">
        <v>100</v>
      </c>
      <c r="M7" s="111">
        <f t="shared" si="2"/>
        <v>1680</v>
      </c>
      <c r="N7" s="111" t="s">
        <v>706</v>
      </c>
      <c r="O7" s="106" t="s">
        <v>442</v>
      </c>
      <c r="P7" s="106">
        <v>5.5</v>
      </c>
      <c r="Q7" s="109">
        <v>0.7</v>
      </c>
      <c r="R7" s="109">
        <v>1.1499999999999999</v>
      </c>
      <c r="S7" s="106">
        <v>200</v>
      </c>
      <c r="T7"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0.28244357578252999</v>
      </c>
      <c r="U7" s="113">
        <f>Implements7[[#This Row],[TradeIn%]]*Implements7[[#This Row],[PriceL]]</f>
        <v>17943.474226184258</v>
      </c>
      <c r="V7" s="114">
        <f>(Implements7[[#This Row],[PriceP]]-Implements7[[#This Row],[TradeIn$]])/Implements7[[#This Row],[Life (yr)]]/Implements7[[#This Row],[Use (hr/yr)]]</f>
        <v>30.047104811513112</v>
      </c>
      <c r="W7" s="114">
        <f>((Implements7[[#This Row],[PriceP]]+Implements7[[#This Row],[TradeIn$]])/2*($BP$7+$BP$8+$BP$9)+Implements7[[#This Row],[Shed (ft^2)]]*$BP$12)/Implements7[[#This Row],[Use (hr/yr)]]</f>
        <v>33.773425271416684</v>
      </c>
      <c r="X7" s="114">
        <f>Implements7[[#This Row],[PriceL]]*(VLOOKUP(Implements7[[#This Row],[ASABEtype]],$BC$6:$BM$52,2)*(Implements7[[#This Row],[Life (yr)]]*Implements7[[#This Row],[Use (hr/yr)]]/1000)^VLOOKUP(Implements7[[#This Row],[ASABEtype]],$BC$6:$BM$52,3))/Implements7[[#This Row],[Life (yr)]]/Implements7[[#This Row],[Use (hr/yr)]]</f>
        <v>42.273650972121843</v>
      </c>
      <c r="Y7" s="114">
        <f>Implements7[[#This Row],[Depr ($/hr)]]+Implements7[[#This Row],[OH ($/hr)]]</f>
        <v>63.820530082929793</v>
      </c>
      <c r="Z7" s="114">
        <f>(Implements7[[#This Row],[PriceP]]-Implements7[[#This Row],[TradeIn$]])/Implements7[[#This Row],[Life (yr)]]/Implements7[[#This Row],[Use (ac/yr)]]</f>
        <v>1.7885181435424473</v>
      </c>
      <c r="AA7" s="114">
        <f>((Implements7[[#This Row],[PriceP]]+Implements7[[#This Row],[TradeIn$]])/2*($BP$7+$BP$8+$BP$9)+Implements7[[#This Row],[Shed (ft^2)]]*$BP$12)/Implements7[[#This Row],[Use (ac/yr)]]</f>
        <v>2.0103229328224215</v>
      </c>
      <c r="AB7"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2.5162887483405858</v>
      </c>
      <c r="AC7" s="115">
        <f>$BP$18/(Implements7[[#This Row],[Width]]*Implements7[[#This Row],[Speed]]*Implements7[[#This Row],[Efficiency]])</f>
        <v>5.9523809523809527E-2</v>
      </c>
      <c r="AD7" s="116">
        <f>IF(Implements7[[#This Row],[Use basis]]=$N$128,Implements7[[#This Row],[Ownership costs ($/hr)]],SUM(Implements7[[#This Row],[Depr ($/ac)2]:[OH ($/ac)]]))</f>
        <v>3.7988410763648686</v>
      </c>
      <c r="AE7" s="116"/>
      <c r="AF7" s="100" t="s">
        <v>443</v>
      </c>
      <c r="AG7" s="116"/>
      <c r="AH7" s="131" t="str">
        <f t="shared" si="3"/>
        <v>900 CC FWD UTV</v>
      </c>
      <c r="AI7" s="132">
        <v>900</v>
      </c>
      <c r="AJ7" s="197" t="s">
        <v>710</v>
      </c>
      <c r="AK7" s="198">
        <v>14400</v>
      </c>
      <c r="AL7" s="199">
        <v>0.1</v>
      </c>
      <c r="AM7" s="200">
        <f t="shared" si="4"/>
        <v>16000</v>
      </c>
      <c r="AN7" s="215">
        <f>VLOOKUP(Power20259[[#This Row],[ASABEtype]],$BC$6:$BM$52,4,FALSE)</f>
        <v>2000</v>
      </c>
      <c r="AO7" s="199"/>
      <c r="AP7" s="307">
        <f>VLOOKUP(Power20259[[#This Row],[ASABEtype]],ASABECoefficients8[],4,FALSE)/Power20259[[#This Row],[Use (hr/yr)]]*(1-Power20259[[#This Row],[Life used (%)]])</f>
        <v>10</v>
      </c>
      <c r="AQ7" s="201">
        <v>200</v>
      </c>
      <c r="AR7" s="202">
        <v>1E-3</v>
      </c>
      <c r="AS7" s="203" t="s">
        <v>708</v>
      </c>
      <c r="AT7" s="201">
        <v>50</v>
      </c>
      <c r="AU7"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5.9133718417454545E-2</v>
      </c>
      <c r="AV7" s="205">
        <f>Power20259[[#This Row],[TradeIn%]]*Power20259[[#This Row],[PriceL]]</f>
        <v>946.13949467927273</v>
      </c>
      <c r="AW7" s="206">
        <f>(Power20259[[#This Row],[PriceP]]-Power20259[[#This Row],[TradeIn$]])/Power20259[[#This Row],[Life (yr)]]/Power20259[[#This Row],[Use (hr/yr)]]</f>
        <v>6.7269302526603632</v>
      </c>
      <c r="AX7" s="308">
        <f>((Power20259[[#This Row],[PriceP]]+Power20259[[#This Row],[TradeIn$]])/2*($BP$7+$BP$8+$BP$9)+Power20259[[#This Row],[Shed (ft^2)]]*$BP$12)/Power20259[[#This Row],[Use (hr/yr)]]</f>
        <v>3.6376381039890577</v>
      </c>
      <c r="AY7"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6.4327107879833951</v>
      </c>
      <c r="AZ7" s="208">
        <f>Power20259[[#This Row],[Fuel (gal/hph)]]*Power20259[[#This Row],[HP]]</f>
        <v>0.9</v>
      </c>
      <c r="BA7" s="206">
        <f t="shared" si="5"/>
        <v>10.364568356649421</v>
      </c>
      <c r="BB7" s="209" t="s">
        <v>709</v>
      </c>
      <c r="BC7" s="125" t="s">
        <v>562</v>
      </c>
      <c r="BD7" s="146">
        <v>0.2</v>
      </c>
      <c r="BE7" s="146">
        <v>1.6</v>
      </c>
      <c r="BF7" s="146">
        <v>2000</v>
      </c>
      <c r="BG7" s="146">
        <v>0.71940000000000004</v>
      </c>
      <c r="BH7" s="146">
        <v>0.11020000000000001</v>
      </c>
      <c r="BI7" s="146">
        <v>0</v>
      </c>
      <c r="BJ7" s="146">
        <v>3.0000000000000001E-3</v>
      </c>
      <c r="BK7" s="122">
        <f t="shared" si="6"/>
        <v>1.4713690000000001E-2</v>
      </c>
      <c r="BL7" s="146">
        <v>0.12130000000000001</v>
      </c>
      <c r="BM7" s="147"/>
      <c r="BO7" s="122" t="s">
        <v>563</v>
      </c>
      <c r="BP7" s="151">
        <v>7.4999999999999997E-2</v>
      </c>
    </row>
    <row r="8" spans="1:71">
      <c r="A8" s="152"/>
      <c r="B8" s="100" t="str">
        <f>Implements7[[#This Row],[Implement type]]&amp;", "&amp;Implements7[[#This Row],[Width]]&amp;" "&amp;Implements7[[#This Row],[Width Unit]]&amp; ", per "&amp;Implements7[[#This Row],[Use basis]]</f>
        <v>Cultimulcher, 21 Ft Folding, per acre</v>
      </c>
      <c r="C8" s="105" t="s">
        <v>444</v>
      </c>
      <c r="D8" s="106">
        <v>21</v>
      </c>
      <c r="E8" s="107" t="str">
        <f t="shared" si="0"/>
        <v>Ft Folding</v>
      </c>
      <c r="F8" s="106"/>
      <c r="G8" s="105"/>
      <c r="H8" s="108">
        <v>67000</v>
      </c>
      <c r="I8" s="109">
        <v>0.1</v>
      </c>
      <c r="J8" s="195">
        <f t="shared" si="1"/>
        <v>74444.444444444438</v>
      </c>
      <c r="K8" s="306">
        <f>VLOOKUP(Implements7[[#This Row],[ASABEtype]],ASABECoefficients8[],4,FALSE)/Implements7[[#This Row],[Use (hr/yr)]]</f>
        <v>20</v>
      </c>
      <c r="L8" s="106">
        <v>100</v>
      </c>
      <c r="M8" s="111">
        <f t="shared" si="2"/>
        <v>1221.818181818182</v>
      </c>
      <c r="N8" s="111" t="s">
        <v>706</v>
      </c>
      <c r="O8" s="106" t="s">
        <v>445</v>
      </c>
      <c r="P8" s="106">
        <v>6</v>
      </c>
      <c r="Q8" s="109">
        <v>0.8</v>
      </c>
      <c r="R8" s="109">
        <v>1.02</v>
      </c>
      <c r="S8" s="106">
        <v>225</v>
      </c>
      <c r="T8"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0.17815437125462419</v>
      </c>
      <c r="U8" s="113">
        <f>Implements7[[#This Row],[TradeIn%]]*Implements7[[#This Row],[PriceL]]</f>
        <v>13262.6031933998</v>
      </c>
      <c r="V8" s="114">
        <f>(Implements7[[#This Row],[PriceP]]-Implements7[[#This Row],[TradeIn$]])/Implements7[[#This Row],[Life (yr)]]/Implements7[[#This Row],[Use (hr/yr)]]</f>
        <v>26.868698403300101</v>
      </c>
      <c r="W8" s="114">
        <f>((Implements7[[#This Row],[PriceP]]+Implements7[[#This Row],[TradeIn$]])/2*($BP$7+$BP$8+$BP$9)+Implements7[[#This Row],[Shed (ft^2)]]*$BP$12)/Implements7[[#This Row],[Use (hr/yr)]]</f>
        <v>37.696944580200828</v>
      </c>
      <c r="X8" s="114">
        <f>Implements7[[#This Row],[PriceL]]*(VLOOKUP(Implements7[[#This Row],[ASABEtype]],$BC$6:$BM$52,2)*(Implements7[[#This Row],[Life (yr)]]*Implements7[[#This Row],[Use (hr/yr)]]/1000)^VLOOKUP(Implements7[[#This Row],[ASABEtype]],$BC$6:$BM$52,3))/Implements7[[#This Row],[Life (yr)]]/Implements7[[#This Row],[Use (hr/yr)]]</f>
        <v>14.664297901175001</v>
      </c>
      <c r="Y8" s="114">
        <f>Implements7[[#This Row],[Depr ($/hr)]]+Implements7[[#This Row],[OH ($/hr)]]</f>
        <v>64.565642983500936</v>
      </c>
      <c r="Z8" s="114">
        <f>(Implements7[[#This Row],[PriceP]]-Implements7[[#This Row],[TradeIn$]])/Implements7[[#This Row],[Life (yr)]]/Implements7[[#This Row],[Use (ac/yr)]]</f>
        <v>2.1990750181272398</v>
      </c>
      <c r="AA8" s="114">
        <f>((Implements7[[#This Row],[PriceP]]+Implements7[[#This Row],[TradeIn$]])/2*($BP$7+$BP$8+$BP$9)+Implements7[[#This Row],[Shed (ft^2)]]*$BP$12)/Implements7[[#This Row],[Use (ac/yr)]]</f>
        <v>3.0853154046295317</v>
      </c>
      <c r="AB8"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1.200202953221168</v>
      </c>
      <c r="AC8" s="115">
        <f>$BP$18/(Implements7[[#This Row],[Width]]*Implements7[[#This Row],[Speed]]*Implements7[[#This Row],[Efficiency]])</f>
        <v>8.1845238095238082E-2</v>
      </c>
      <c r="AD8" s="116">
        <f>IF(Implements7[[#This Row],[Use basis]]=$N$128,Implements7[[#This Row],[Ownership costs ($/hr)]],SUM(Implements7[[#This Row],[Depr ($/ac)2]:[OH ($/ac)]]))</f>
        <v>5.284390422756772</v>
      </c>
      <c r="AE8" s="116"/>
      <c r="AF8" s="100" t="s">
        <v>446</v>
      </c>
      <c r="AG8" s="116"/>
      <c r="AH8" s="131" t="str">
        <f t="shared" si="3"/>
        <v>1 Ton 4x4 Pickup</v>
      </c>
      <c r="AI8" s="210">
        <v>1</v>
      </c>
      <c r="AJ8" s="197" t="s">
        <v>711</v>
      </c>
      <c r="AK8" s="198">
        <v>56000</v>
      </c>
      <c r="AL8" s="199">
        <v>0.05</v>
      </c>
      <c r="AM8" s="200">
        <f t="shared" si="4"/>
        <v>58947.368421052633</v>
      </c>
      <c r="AN8" s="215">
        <f>VLOOKUP(Power20259[[#This Row],[ASABEtype]],$BC$6:$BM$52,4,FALSE)</f>
        <v>7500</v>
      </c>
      <c r="AO8" s="199"/>
      <c r="AP8" s="307">
        <f>VLOOKUP(Power20259[[#This Row],[ASABEtype]],ASABECoefficients8[],4,FALSE)/Power20259[[#This Row],[Use (hr/yr)]]*(1-Power20259[[#This Row],[Life used (%)]])</f>
        <v>37.5</v>
      </c>
      <c r="AQ8" s="201">
        <v>200</v>
      </c>
      <c r="AR8" s="202">
        <v>3</v>
      </c>
      <c r="AS8" s="203" t="s">
        <v>712</v>
      </c>
      <c r="AT8" s="201">
        <v>180</v>
      </c>
      <c r="AU8"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0.1762176274321231</v>
      </c>
      <c r="AV8" s="205">
        <f>Power20259[[#This Row],[TradeIn%]]*Power20259[[#This Row],[PriceL]]</f>
        <v>10387.565406525151</v>
      </c>
      <c r="AW8" s="206">
        <f>(Power20259[[#This Row],[PriceP]]-Power20259[[#This Row],[TradeIn$]])/Power20259[[#This Row],[Life (yr)]]/Power20259[[#This Row],[Use (hr/yr)]]</f>
        <v>6.0816579457966462</v>
      </c>
      <c r="AX8" s="308">
        <f>((Power20259[[#This Row],[PriceP]]+Power20259[[#This Row],[TradeIn$]])/2*($BP$7+$BP$8+$BP$9)+Power20259[[#This Row],[Shed (ft^2)]]*$BP$12)/Power20259[[#This Row],[Use (hr/yr)]]</f>
        <v>15.560545913042258</v>
      </c>
      <c r="AY8"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17.684210526315791</v>
      </c>
      <c r="AZ8" s="208">
        <f>Power20259[[#This Row],[Fuel (gal/hph)]]*Power20259[[#This Row],[HP]]</f>
        <v>3</v>
      </c>
      <c r="BA8" s="206">
        <f t="shared" si="5"/>
        <v>21.642203858838904</v>
      </c>
      <c r="BB8" s="209" t="s">
        <v>713</v>
      </c>
      <c r="BC8" s="125" t="s">
        <v>465</v>
      </c>
      <c r="BD8" s="146">
        <v>0.28000000000000003</v>
      </c>
      <c r="BE8" s="146">
        <v>1.4</v>
      </c>
      <c r="BF8" s="146">
        <v>1200</v>
      </c>
      <c r="BG8" s="146">
        <v>0.71940000000000004</v>
      </c>
      <c r="BH8" s="146">
        <v>0.11020000000000001</v>
      </c>
      <c r="BI8" s="146">
        <v>0</v>
      </c>
      <c r="BJ8" s="146">
        <v>3.0000000000000001E-3</v>
      </c>
      <c r="BK8" s="122">
        <f t="shared" si="6"/>
        <v>1.4713690000000001E-2</v>
      </c>
      <c r="BL8" s="146">
        <v>0.12130000000000001</v>
      </c>
      <c r="BM8" s="147"/>
      <c r="BO8" s="125" t="s">
        <v>564</v>
      </c>
      <c r="BP8" s="153">
        <v>8.5000000000000006E-3</v>
      </c>
    </row>
    <row r="9" spans="1:71">
      <c r="A9" s="152"/>
      <c r="B9" s="100" t="str">
        <f>Implements7[[#This Row],[Implement type]]&amp;", "&amp;Implements7[[#This Row],[Width]]&amp;" "&amp;Implements7[[#This Row],[Width Unit]]&amp; ", per "&amp;Implements7[[#This Row],[Use basis]]</f>
        <v>Field cultivator, 28 Ft Folding, per acre</v>
      </c>
      <c r="C9" s="105" t="s">
        <v>447</v>
      </c>
      <c r="D9" s="106">
        <v>28</v>
      </c>
      <c r="E9" s="107" t="str">
        <f t="shared" si="0"/>
        <v>Ft Folding</v>
      </c>
      <c r="F9" s="106"/>
      <c r="G9" s="106"/>
      <c r="H9" s="108">
        <v>53500</v>
      </c>
      <c r="I9" s="109">
        <v>0.1</v>
      </c>
      <c r="J9" s="195">
        <f t="shared" si="1"/>
        <v>59444.444444444445</v>
      </c>
      <c r="K9" s="306">
        <f>VLOOKUP(Implements7[[#This Row],[ASABEtype]],ASABECoefficients8[],4,FALSE)/Implements7[[#This Row],[Use (hr/yr)]]</f>
        <v>20</v>
      </c>
      <c r="L9" s="106">
        <v>100</v>
      </c>
      <c r="M9" s="111">
        <f t="shared" si="2"/>
        <v>2019.3939393939395</v>
      </c>
      <c r="N9" s="111" t="s">
        <v>706</v>
      </c>
      <c r="O9" s="106" t="s">
        <v>448</v>
      </c>
      <c r="P9" s="106">
        <v>7</v>
      </c>
      <c r="Q9" s="109">
        <v>0.85</v>
      </c>
      <c r="R9" s="109">
        <v>1.02</v>
      </c>
      <c r="S9" s="106">
        <v>200</v>
      </c>
      <c r="T9"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0.21054767935982382</v>
      </c>
      <c r="U9" s="113">
        <f>Implements7[[#This Row],[TradeIn%]]*Implements7[[#This Row],[PriceL]]</f>
        <v>12515.889828611749</v>
      </c>
      <c r="V9" s="114">
        <f>(Implements7[[#This Row],[PriceP]]-Implements7[[#This Row],[TradeIn$]])/Implements7[[#This Row],[Life (yr)]]/Implements7[[#This Row],[Use (hr/yr)]]</f>
        <v>20.49205508569413</v>
      </c>
      <c r="W9" s="114">
        <f>((Implements7[[#This Row],[PriceP]]+Implements7[[#This Row],[TradeIn$]])/2*($BP$7+$BP$8+$BP$9)+Implements7[[#This Row],[Shed (ft^2)]]*$BP$12)/Implements7[[#This Row],[Use (hr/yr)]]</f>
        <v>31.150469175490844</v>
      </c>
      <c r="X9" s="114">
        <f>Implements7[[#This Row],[PriceL]]*(VLOOKUP(Implements7[[#This Row],[ASABEtype]],$BC$6:$BM$52,2)*(Implements7[[#This Row],[Life (yr)]]*Implements7[[#This Row],[Use (hr/yr)]]/1000)^VLOOKUP(Implements7[[#This Row],[ASABEtype]],$BC$6:$BM$52,3))/Implements7[[#This Row],[Life (yr)]]/Implements7[[#This Row],[Use (hr/yr)]]</f>
        <v>21.178101967904954</v>
      </c>
      <c r="Y9" s="114">
        <f>Implements7[[#This Row],[Depr ($/hr)]]+Implements7[[#This Row],[OH ($/hr)]]</f>
        <v>51.642524261184974</v>
      </c>
      <c r="Z9" s="114">
        <f>(Implements7[[#This Row],[PriceP]]-Implements7[[#This Row],[TradeIn$]])/Implements7[[#This Row],[Life (yr)]]/Implements7[[#This Row],[Use (ac/yr)]]</f>
        <v>1.014762631794577</v>
      </c>
      <c r="AA9" s="114">
        <f>((Implements7[[#This Row],[PriceP]]+Implements7[[#This Row],[TradeIn$]])/2*($BP$7+$BP$8+$BP$9)+Implements7[[#This Row],[Shed (ft^2)]]*$BP$12)/Implements7[[#This Row],[Use (ac/yr)]]</f>
        <v>1.5425652502869114</v>
      </c>
      <c r="AB9"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1.0487355416279465</v>
      </c>
      <c r="AC9" s="115">
        <f>$BP$18/(Implements7[[#This Row],[Width]]*Implements7[[#This Row],[Speed]]*Implements7[[#This Row],[Efficiency]])</f>
        <v>4.9519807923169269E-2</v>
      </c>
      <c r="AD9" s="116">
        <f>IF(Implements7[[#This Row],[Use basis]]=$N$128,Implements7[[#This Row],[Ownership costs ($/hr)]],SUM(Implements7[[#This Row],[Depr ($/ac)2]:[OH ($/ac)]]))</f>
        <v>2.5573278820814886</v>
      </c>
      <c r="AE9" s="118">
        <v>8</v>
      </c>
      <c r="AF9" s="100" t="s">
        <v>446</v>
      </c>
      <c r="AG9" s="116"/>
      <c r="AH9" s="131" t="str">
        <f>CONCATENATE(AI9&amp;" "&amp;AJ9)</f>
        <v>2 HP Flatbed truck</v>
      </c>
      <c r="AI9" s="210">
        <v>2</v>
      </c>
      <c r="AJ9" s="197" t="s">
        <v>841</v>
      </c>
      <c r="AK9" s="198">
        <v>7500</v>
      </c>
      <c r="AL9" s="199">
        <v>0</v>
      </c>
      <c r="AM9" s="200">
        <f>AK9/(1-AL9)</f>
        <v>7500</v>
      </c>
      <c r="AN9" s="215">
        <f>VLOOKUP(Power20259[[#This Row],[ASABEtype]],$BC$6:$BM$52,4,FALSE)</f>
        <v>7500</v>
      </c>
      <c r="AO9" s="199">
        <v>0.8</v>
      </c>
      <c r="AP9" s="307">
        <f>VLOOKUP(Power20259[[#This Row],[ASABEtype]],ASABECoefficients8[],4,FALSE)/Power20259[[#This Row],[Use (hr/yr)]]*(1-Power20259[[#This Row],[Life used (%)]])</f>
        <v>14.999999999999996</v>
      </c>
      <c r="AQ9" s="201">
        <v>100</v>
      </c>
      <c r="AR9" s="202">
        <v>2</v>
      </c>
      <c r="AS9" s="203" t="s">
        <v>712</v>
      </c>
      <c r="AT9" s="201">
        <v>200</v>
      </c>
      <c r="AU9"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0.43614039521536163</v>
      </c>
      <c r="AV9" s="205">
        <f>Power20259[[#This Row],[TradeIn%]]*Power20259[[#This Row],[PriceL]]</f>
        <v>3271.052964115212</v>
      </c>
      <c r="AW9" s="206">
        <f>(Power20259[[#This Row],[PriceP]]-Power20259[[#This Row],[TradeIn$]])/Power20259[[#This Row],[Life (yr)]]/Power20259[[#This Row],[Use (hr/yr)]]</f>
        <v>2.8192980239231931</v>
      </c>
      <c r="AX9" s="308">
        <f>((Power20259[[#This Row],[PriceP]]+Power20259[[#This Row],[TradeIn$]])/2*($BP$7+$BP$8+$BP$9)+Power20259[[#This Row],[Shed (ft^2)]]*$BP$12)/Power20259[[#This Row],[Use (hr/yr)]]</f>
        <v>6.7046288629511306</v>
      </c>
      <c r="AY9"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10.85</v>
      </c>
      <c r="AZ9" s="208">
        <f>Power20259[[#This Row],[Fuel (gal/hph)]]*Power20259[[#This Row],[HP]]</f>
        <v>4</v>
      </c>
      <c r="BA9" s="206">
        <f>SUM(AW9:AX9)</f>
        <v>9.5239268868743245</v>
      </c>
      <c r="BB9" s="209" t="s">
        <v>842</v>
      </c>
      <c r="BC9" s="125" t="s">
        <v>506</v>
      </c>
      <c r="BD9" s="146">
        <v>0.41</v>
      </c>
      <c r="BE9" s="146">
        <v>1.3</v>
      </c>
      <c r="BF9" s="146">
        <v>1500</v>
      </c>
      <c r="BG9" s="146">
        <v>0.85540000000000005</v>
      </c>
      <c r="BH9" s="146">
        <v>0.1177</v>
      </c>
      <c r="BI9" s="146">
        <v>0</v>
      </c>
      <c r="BJ9" s="146">
        <v>2.8999999999999998E-3</v>
      </c>
      <c r="BK9" s="122">
        <f t="shared" si="6"/>
        <v>1.6230760000000004E-2</v>
      </c>
      <c r="BL9" s="146">
        <v>0.12740000000000001</v>
      </c>
      <c r="BM9" s="147"/>
      <c r="BO9" s="125" t="s">
        <v>565</v>
      </c>
      <c r="BP9" s="154">
        <v>5.0000000000000001E-3</v>
      </c>
    </row>
    <row r="10" spans="1:71">
      <c r="A10" s="152"/>
      <c r="B10" s="100" t="str">
        <f>Implements7[[#This Row],[Implement type]]&amp;", "&amp;Implements7[[#This Row],[Width]]&amp;" "&amp;Implements7[[#This Row],[Width Unit]]&amp; ", per "&amp;Implements7[[#This Row],[Use basis]]</f>
        <v>Field cultivator, 42 Ft Folding, per acre</v>
      </c>
      <c r="C10" s="105" t="s">
        <v>447</v>
      </c>
      <c r="D10" s="106">
        <v>42</v>
      </c>
      <c r="E10" s="107" t="str">
        <f t="shared" si="0"/>
        <v>Ft Folding</v>
      </c>
      <c r="F10" s="106"/>
      <c r="G10" s="106"/>
      <c r="H10" s="108">
        <v>102000</v>
      </c>
      <c r="I10" s="109">
        <v>0.1</v>
      </c>
      <c r="J10" s="195">
        <f t="shared" si="1"/>
        <v>113333.33333333333</v>
      </c>
      <c r="K10" s="306">
        <f>VLOOKUP(Implements7[[#This Row],[ASABEtype]],ASABECoefficients8[],4,FALSE)/Implements7[[#This Row],[Use (hr/yr)]]</f>
        <v>20</v>
      </c>
      <c r="L10" s="106">
        <v>100</v>
      </c>
      <c r="M10" s="111">
        <f t="shared" si="2"/>
        <v>3029.090909090909</v>
      </c>
      <c r="N10" s="111" t="s">
        <v>706</v>
      </c>
      <c r="O10" s="106" t="s">
        <v>448</v>
      </c>
      <c r="P10" s="106">
        <v>7</v>
      </c>
      <c r="Q10" s="109">
        <v>0.85</v>
      </c>
      <c r="R10" s="109">
        <v>1.02</v>
      </c>
      <c r="S10" s="106">
        <v>400</v>
      </c>
      <c r="T10"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0.21054767935982382</v>
      </c>
      <c r="U10" s="113">
        <f>Implements7[[#This Row],[TradeIn%]]*Implements7[[#This Row],[PriceL]]</f>
        <v>23862.070327446698</v>
      </c>
      <c r="V10" s="114">
        <f>(Implements7[[#This Row],[PriceP]]-Implements7[[#This Row],[TradeIn$]])/Implements7[[#This Row],[Life (yr)]]/Implements7[[#This Row],[Use (hr/yr)]]</f>
        <v>39.068964836276656</v>
      </c>
      <c r="W10" s="114">
        <f>((Implements7[[#This Row],[PriceP]]+Implements7[[#This Row],[TradeIn$]])/2*($BP$7+$BP$8+$BP$9)+Implements7[[#This Row],[Shed (ft^2)]]*$BP$12)/Implements7[[#This Row],[Use (hr/yr)]]</f>
        <v>59.570841972555463</v>
      </c>
      <c r="X10" s="114">
        <f>Implements7[[#This Row],[PriceL]]*(VLOOKUP(Implements7[[#This Row],[ASABEtype]],$BC$6:$BM$52,2)*(Implements7[[#This Row],[Life (yr)]]*Implements7[[#This Row],[Use (hr/yr)]]/1000)^VLOOKUP(Implements7[[#This Row],[ASABEtype]],$BC$6:$BM$52,3))/Implements7[[#This Row],[Life (yr)]]/Implements7[[#This Row],[Use (hr/yr)]]</f>
        <v>40.376942069650561</v>
      </c>
      <c r="Y10" s="114">
        <f>Implements7[[#This Row],[Depr ($/hr)]]+Implements7[[#This Row],[OH ($/hr)]]</f>
        <v>98.63980680883212</v>
      </c>
      <c r="Z10" s="114">
        <f>(Implements7[[#This Row],[PriceP]]-Implements7[[#This Row],[TradeIn$]])/Implements7[[#This Row],[Life (yr)]]/Implements7[[#This Row],[Use (ac/yr)]]</f>
        <v>1.2897917562996495</v>
      </c>
      <c r="AA10" s="114">
        <f>((Implements7[[#This Row],[PriceP]]+Implements7[[#This Row],[TradeIn$]])/2*($BP$7+$BP$8+$BP$9)+Implements7[[#This Row],[Shed (ft^2)]]*$BP$12)/Implements7[[#This Row],[Use (ac/yr)]]</f>
        <v>1.9666244348682775</v>
      </c>
      <c r="AB10"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1.3329722772093524</v>
      </c>
      <c r="AC10" s="115">
        <f>$BP$18/(Implements7[[#This Row],[Width]]*Implements7[[#This Row],[Speed]]*Implements7[[#This Row],[Efficiency]])</f>
        <v>3.3013205282112844E-2</v>
      </c>
      <c r="AD10" s="116">
        <f>IF(Implements7[[#This Row],[Use basis]]=$N$128,Implements7[[#This Row],[Ownership costs ($/hr)]],SUM(Implements7[[#This Row],[Depr ($/ac)2]:[OH ($/ac)]]))</f>
        <v>3.256416191167927</v>
      </c>
      <c r="AE10" s="118">
        <v>9</v>
      </c>
      <c r="AF10" s="100" t="s">
        <v>446</v>
      </c>
      <c r="AG10" s="116"/>
      <c r="AH10" s="131" t="str">
        <f t="shared" si="3"/>
        <v>325 HP Tandem grain truck</v>
      </c>
      <c r="AI10" s="132">
        <v>325</v>
      </c>
      <c r="AJ10" s="197" t="s">
        <v>714</v>
      </c>
      <c r="AK10" s="198">
        <v>68500</v>
      </c>
      <c r="AL10" s="199">
        <v>0.1</v>
      </c>
      <c r="AM10" s="200">
        <f t="shared" si="4"/>
        <v>76111.111111111109</v>
      </c>
      <c r="AN10" s="215">
        <f>VLOOKUP(Power20259[[#This Row],[ASABEtype]],$BC$6:$BM$52,4,FALSE)</f>
        <v>12000</v>
      </c>
      <c r="AO10" s="199"/>
      <c r="AP10" s="307">
        <f>VLOOKUP(Power20259[[#This Row],[ASABEtype]],ASABECoefficients8[],4,FALSE)/Power20259[[#This Row],[Use (hr/yr)]]*(1-Power20259[[#This Row],[Life used (%)]])</f>
        <v>30</v>
      </c>
      <c r="AQ10" s="201">
        <v>400</v>
      </c>
      <c r="AR10" s="202">
        <v>1.4999999999999999E-2</v>
      </c>
      <c r="AS10" s="203" t="s">
        <v>715</v>
      </c>
      <c r="AT10" s="201">
        <v>225</v>
      </c>
      <c r="AU10"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0.30803821036742995</v>
      </c>
      <c r="AV10" s="205">
        <f>Power20259[[#This Row],[TradeIn%]]*Power20259[[#This Row],[PriceL]]</f>
        <v>23445.130455743278</v>
      </c>
      <c r="AW10" s="206">
        <f>(Power20259[[#This Row],[PriceP]]-Power20259[[#This Row],[TradeIn$]])/Power20259[[#This Row],[Life (yr)]]/Power20259[[#This Row],[Use (hr/yr)]]</f>
        <v>3.7545724620213941</v>
      </c>
      <c r="AX10" s="308">
        <f>((Power20259[[#This Row],[PriceP]]+Power20259[[#This Row],[TradeIn$]])/2*($BP$7+$BP$8+$BP$9)+Power20259[[#This Row],[Shed (ft^2)]]*$BP$12)/Power20259[[#This Row],[Use (hr/yr)]]</f>
        <v>10.716615723446953</v>
      </c>
      <c r="AY10"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4.5666666666666664</v>
      </c>
      <c r="AZ10" s="208">
        <f>Power20259[[#This Row],[Fuel (gal/hph)]]*Power20259[[#This Row],[HP]]</f>
        <v>4.875</v>
      </c>
      <c r="BA10" s="206">
        <f t="shared" si="5"/>
        <v>14.471188185468346</v>
      </c>
      <c r="BB10" s="209" t="s">
        <v>716</v>
      </c>
      <c r="BC10" s="125" t="s">
        <v>451</v>
      </c>
      <c r="BD10" s="146">
        <v>0.28000000000000003</v>
      </c>
      <c r="BE10" s="146">
        <v>1.4</v>
      </c>
      <c r="BF10" s="146">
        <v>2000</v>
      </c>
      <c r="BG10" s="146">
        <v>0.69269999999999998</v>
      </c>
      <c r="BH10" s="146">
        <v>7.0300000000000001E-2</v>
      </c>
      <c r="BI10" s="146">
        <v>0</v>
      </c>
      <c r="BJ10" s="146">
        <v>1.1999999999999999E-3</v>
      </c>
      <c r="BK10" s="122">
        <f t="shared" si="6"/>
        <v>1.4957290000000002E-2</v>
      </c>
      <c r="BL10" s="146">
        <v>0.12230000000000001</v>
      </c>
      <c r="BM10" s="147"/>
      <c r="BO10" s="125" t="s">
        <v>566</v>
      </c>
      <c r="BP10" s="155">
        <f>'Input prices'!D21</f>
        <v>3.25</v>
      </c>
      <c r="BS10" s="100" t="s">
        <v>728</v>
      </c>
    </row>
    <row r="11" spans="1:71">
      <c r="A11" s="152"/>
      <c r="B11" s="100" t="str">
        <f>Implements7[[#This Row],[Implement type]]&amp;", "&amp;Implements7[[#This Row],[Width]]&amp;" "&amp;Implements7[[#This Row],[Width Unit]]&amp; ", per "&amp;Implements7[[#This Row],[Use basis]]</f>
        <v>Field cultivator, 55 Ft Folding, per acre</v>
      </c>
      <c r="C11" s="105" t="s">
        <v>447</v>
      </c>
      <c r="D11" s="106">
        <v>55</v>
      </c>
      <c r="E11" s="107" t="str">
        <f t="shared" si="0"/>
        <v>Ft Folding</v>
      </c>
      <c r="F11" s="106"/>
      <c r="G11" s="106"/>
      <c r="H11" s="108">
        <v>137500</v>
      </c>
      <c r="I11" s="109">
        <v>0.1</v>
      </c>
      <c r="J11" s="195">
        <f t="shared" si="1"/>
        <v>152777.77777777778</v>
      </c>
      <c r="K11" s="306">
        <f>VLOOKUP(Implements7[[#This Row],[ASABEtype]],ASABECoefficients8[],4,FALSE)/Implements7[[#This Row],[Use (hr/yr)]]</f>
        <v>20</v>
      </c>
      <c r="L11" s="106">
        <v>100</v>
      </c>
      <c r="M11" s="111">
        <f t="shared" si="2"/>
        <v>3966.6666666666665</v>
      </c>
      <c r="N11" s="111" t="s">
        <v>706</v>
      </c>
      <c r="O11" s="106" t="s">
        <v>448</v>
      </c>
      <c r="P11" s="106">
        <v>7</v>
      </c>
      <c r="Q11" s="109">
        <v>0.85</v>
      </c>
      <c r="R11" s="109">
        <v>1.02</v>
      </c>
      <c r="S11" s="106">
        <v>400</v>
      </c>
      <c r="T11"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0.21054767935982382</v>
      </c>
      <c r="U11" s="113">
        <f>Implements7[[#This Row],[TradeIn%]]*Implements7[[#This Row],[PriceL]]</f>
        <v>32167.006568861972</v>
      </c>
      <c r="V11" s="114">
        <f>(Implements7[[#This Row],[PriceP]]-Implements7[[#This Row],[TradeIn$]])/Implements7[[#This Row],[Life (yr)]]/Implements7[[#This Row],[Use (hr/yr)]]</f>
        <v>52.666496715569011</v>
      </c>
      <c r="W11" s="114">
        <f>((Implements7[[#This Row],[PriceP]]+Implements7[[#This Row],[TradeIn$]])/2*($BP$7+$BP$8+$BP$9)+Implements7[[#This Row],[Shed (ft^2)]]*$BP$12)/Implements7[[#This Row],[Use (hr/yr)]]</f>
        <v>78.954526259381723</v>
      </c>
      <c r="X11" s="114">
        <f>Implements7[[#This Row],[PriceL]]*(VLOOKUP(Implements7[[#This Row],[ASABEtype]],$BC$6:$BM$52,2)*(Implements7[[#This Row],[Life (yr)]]*Implements7[[#This Row],[Use (hr/yr)]]/1000)^VLOOKUP(Implements7[[#This Row],[ASABEtype]],$BC$6:$BM$52,3))/Implements7[[#This Row],[Life (yr)]]/Implements7[[#This Row],[Use (hr/yr)]]</f>
        <v>54.429701319381891</v>
      </c>
      <c r="Y11" s="114">
        <f>Implements7[[#This Row],[Depr ($/hr)]]+Implements7[[#This Row],[OH ($/hr)]]</f>
        <v>131.62102297495073</v>
      </c>
      <c r="Z11" s="114">
        <f>(Implements7[[#This Row],[PriceP]]-Implements7[[#This Row],[TradeIn$]])/Implements7[[#This Row],[Life (yr)]]/Implements7[[#This Row],[Use (ac/yr)]]</f>
        <v>1.3277268079555213</v>
      </c>
      <c r="AA11" s="114">
        <f>((Implements7[[#This Row],[PriceP]]+Implements7[[#This Row],[TradeIn$]])/2*($BP$7+$BP$8+$BP$9)+Implements7[[#This Row],[Shed (ft^2)]]*$BP$12)/Implements7[[#This Row],[Use (ac/yr)]]</f>
        <v>1.9904502418331529</v>
      </c>
      <c r="AB11"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1.3721773441860983</v>
      </c>
      <c r="AC11" s="115">
        <f>$BP$18/(Implements7[[#This Row],[Width]]*Implements7[[#This Row],[Speed]]*Implements7[[#This Row],[Efficiency]])</f>
        <v>2.5210084033613446E-2</v>
      </c>
      <c r="AD11" s="116">
        <f>IF(Implements7[[#This Row],[Use basis]]=$N$128,Implements7[[#This Row],[Ownership costs ($/hr)]],SUM(Implements7[[#This Row],[Depr ($/ac)2]:[OH ($/ac)]]))</f>
        <v>3.318177049788674</v>
      </c>
      <c r="AE11" s="118">
        <v>10</v>
      </c>
      <c r="AF11" s="100" t="s">
        <v>446</v>
      </c>
      <c r="AG11" s="116"/>
      <c r="AH11" s="131" t="str">
        <f t="shared" si="3"/>
        <v xml:space="preserve">475 HP Road tractor </v>
      </c>
      <c r="AI11" s="132">
        <v>475</v>
      </c>
      <c r="AJ11" s="197" t="s">
        <v>717</v>
      </c>
      <c r="AK11" s="198">
        <v>65000</v>
      </c>
      <c r="AL11" s="199">
        <v>0.1</v>
      </c>
      <c r="AM11" s="200">
        <f t="shared" si="4"/>
        <v>72222.222222222219</v>
      </c>
      <c r="AN11" s="215">
        <f>VLOOKUP(Power20259[[#This Row],[ASABEtype]],$BC$6:$BM$52,4,FALSE)</f>
        <v>12000</v>
      </c>
      <c r="AO11" s="199"/>
      <c r="AP11" s="307">
        <f>VLOOKUP(Power20259[[#This Row],[ASABEtype]],ASABECoefficients8[],4,FALSE)/Power20259[[#This Row],[Use (hr/yr)]]*(1-Power20259[[#This Row],[Life used (%)]])</f>
        <v>30</v>
      </c>
      <c r="AQ11" s="201">
        <v>400</v>
      </c>
      <c r="AR11" s="202">
        <v>1.4999999999999999E-2</v>
      </c>
      <c r="AS11" s="203" t="s">
        <v>715</v>
      </c>
      <c r="AT11" s="201">
        <v>200</v>
      </c>
      <c r="AU11"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0.30803821036742995</v>
      </c>
      <c r="AV11" s="205">
        <f>Power20259[[#This Row],[TradeIn%]]*Power20259[[#This Row],[PriceL]]</f>
        <v>22247.204082092161</v>
      </c>
      <c r="AW11" s="206">
        <f>(Power20259[[#This Row],[PriceP]]-Power20259[[#This Row],[TradeIn$]])/Power20259[[#This Row],[Life (yr)]]/Power20259[[#This Row],[Use (hr/yr)]]</f>
        <v>3.5627329931589866</v>
      </c>
      <c r="AX11" s="308">
        <f>((Power20259[[#This Row],[PriceP]]+Power20259[[#This Row],[TradeIn$]])/2*($BP$7+$BP$8+$BP$9)+Power20259[[#This Row],[Shed (ft^2)]]*$BP$12)/Power20259[[#This Row],[Use (hr/yr)]]</f>
        <v>10.136331433163981</v>
      </c>
      <c r="AY11"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4.3333333333333321</v>
      </c>
      <c r="AZ11" s="208">
        <f>Power20259[[#This Row],[Fuel (gal/hph)]]*Power20259[[#This Row],[HP]]</f>
        <v>7.125</v>
      </c>
      <c r="BA11" s="206">
        <f t="shared" si="5"/>
        <v>13.699064426322968</v>
      </c>
      <c r="BB11" s="209" t="s">
        <v>718</v>
      </c>
      <c r="BC11" s="125" t="s">
        <v>462</v>
      </c>
      <c r="BD11" s="146">
        <v>0.04</v>
      </c>
      <c r="BE11" s="146">
        <v>2.1</v>
      </c>
      <c r="BF11" s="146">
        <v>3000</v>
      </c>
      <c r="BG11" s="146">
        <v>1.0136000000000001</v>
      </c>
      <c r="BH11" s="146">
        <v>0.1741</v>
      </c>
      <c r="BI11" s="146">
        <v>7.7000000000000002E-3</v>
      </c>
      <c r="BJ11" s="146">
        <v>1.2999999999999999E-3</v>
      </c>
      <c r="BK11" s="122">
        <f t="shared" si="6"/>
        <v>0</v>
      </c>
      <c r="BL11" s="146">
        <v>0</v>
      </c>
      <c r="BM11" s="147" t="s">
        <v>567</v>
      </c>
      <c r="BO11" s="125" t="s">
        <v>568</v>
      </c>
      <c r="BP11" s="156">
        <v>0.1</v>
      </c>
    </row>
    <row r="12" spans="1:71">
      <c r="A12" s="152"/>
      <c r="B12" s="100" t="str">
        <f>Implements7[[#This Row],[Implement type]]&amp;", "&amp;Implements7[[#This Row],[Width]]&amp;" "&amp;Implements7[[#This Row],[Width Unit]]&amp; ", per "&amp;Implements7[[#This Row],[Use basis]]</f>
        <v>Tandem disk, 21 Ft Folding, per acre</v>
      </c>
      <c r="C12" s="105" t="s">
        <v>449</v>
      </c>
      <c r="D12" s="106">
        <v>21</v>
      </c>
      <c r="E12" s="107" t="str">
        <f t="shared" si="0"/>
        <v>Ft Folding</v>
      </c>
      <c r="F12" s="106"/>
      <c r="G12" s="106"/>
      <c r="H12" s="108">
        <v>85500</v>
      </c>
      <c r="I12" s="109">
        <v>0.1</v>
      </c>
      <c r="J12" s="195">
        <f t="shared" si="1"/>
        <v>95000</v>
      </c>
      <c r="K12" s="306">
        <f>VLOOKUP(Implements7[[#This Row],[ASABEtype]],ASABECoefficients8[],4,FALSE)/Implements7[[#This Row],[Use (hr/yr)]]</f>
        <v>20</v>
      </c>
      <c r="L12" s="106">
        <v>100</v>
      </c>
      <c r="M12" s="111">
        <f t="shared" si="2"/>
        <v>1221.818181818182</v>
      </c>
      <c r="N12" s="111" t="s">
        <v>706</v>
      </c>
      <c r="O12" s="106" t="s">
        <v>450</v>
      </c>
      <c r="P12" s="106">
        <v>6</v>
      </c>
      <c r="Q12" s="109">
        <v>0.8</v>
      </c>
      <c r="R12" s="109">
        <v>1.02</v>
      </c>
      <c r="S12" s="106">
        <v>260</v>
      </c>
      <c r="T12"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0.17815437125462419</v>
      </c>
      <c r="U12" s="113">
        <f>Implements7[[#This Row],[TradeIn%]]*Implements7[[#This Row],[PriceL]]</f>
        <v>16924.6652691893</v>
      </c>
      <c r="V12" s="114">
        <f>(Implements7[[#This Row],[PriceP]]-Implements7[[#This Row],[TradeIn$]])/Implements7[[#This Row],[Life (yr)]]/Implements7[[#This Row],[Use (hr/yr)]]</f>
        <v>34.287667365405348</v>
      </c>
      <c r="W12" s="114">
        <f>((Implements7[[#This Row],[PriceP]]+Implements7[[#This Row],[TradeIn$]])/2*($BP$7+$BP$8+$BP$9)+Implements7[[#This Row],[Shed (ft^2)]]*$BP$12)/Implements7[[#This Row],[Use (hr/yr)]]</f>
        <v>47.842883685845464</v>
      </c>
      <c r="X12" s="114">
        <f>Implements7[[#This Row],[PriceL]]*(VLOOKUP(Implements7[[#This Row],[ASABEtype]],$BC$6:$BM$52,2)*(Implements7[[#This Row],[Life (yr)]]*Implements7[[#This Row],[Use (hr/yr)]]/1000)^VLOOKUP(Implements7[[#This Row],[ASABEtype]],$BC$6:$BM$52,3))/Implements7[[#This Row],[Life (yr)]]/Implements7[[#This Row],[Use (hr/yr)]]</f>
        <v>27.779031955383246</v>
      </c>
      <c r="Y12" s="114">
        <f>Implements7[[#This Row],[Depr ($/hr)]]+Implements7[[#This Row],[OH ($/hr)]]</f>
        <v>82.130551051250819</v>
      </c>
      <c r="Z12" s="114">
        <f>(Implements7[[#This Row],[PriceP]]-Implements7[[#This Row],[TradeIn$]])/Implements7[[#This Row],[Life (yr)]]/Implements7[[#This Row],[Use (ac/yr)]]</f>
        <v>2.8062822992519254</v>
      </c>
      <c r="AA12" s="114">
        <f>((Implements7[[#This Row],[PriceP]]+Implements7[[#This Row],[TradeIn$]])/2*($BP$7+$BP$8+$BP$9)+Implements7[[#This Row],[Shed (ft^2)]]*$BP$12)/Implements7[[#This Row],[Use (ac/yr)]]</f>
        <v>3.9157122064308036</v>
      </c>
      <c r="AB12"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2.2735814844435689</v>
      </c>
      <c r="AC12" s="115">
        <f>$BP$18/(Implements7[[#This Row],[Width]]*Implements7[[#This Row],[Speed]]*Implements7[[#This Row],[Efficiency]])</f>
        <v>8.1845238095238082E-2</v>
      </c>
      <c r="AD12" s="116">
        <f>IF(Implements7[[#This Row],[Use basis]]=$N$128,Implements7[[#This Row],[Ownership costs ($/hr)]],SUM(Implements7[[#This Row],[Depr ($/ac)2]:[OH ($/ac)]]))</f>
        <v>6.721994505682729</v>
      </c>
      <c r="AE12" s="118">
        <v>11</v>
      </c>
      <c r="AF12" s="100" t="s">
        <v>446</v>
      </c>
      <c r="AG12" s="116"/>
      <c r="AH12" s="131" t="str">
        <f>CONCATENATE(AI12&amp;" "&amp;AJ12)</f>
        <v>45 HP MFWD Cab loader</v>
      </c>
      <c r="AI12" s="132">
        <v>45</v>
      </c>
      <c r="AJ12" s="197" t="s">
        <v>843</v>
      </c>
      <c r="AK12" s="198">
        <v>48000</v>
      </c>
      <c r="AL12" s="199">
        <v>0.1</v>
      </c>
      <c r="AM12" s="200">
        <f>AK12/(1-AL12)</f>
        <v>53333.333333333328</v>
      </c>
      <c r="AN12" s="215">
        <f>VLOOKUP(Power20259[[#This Row],[ASABEtype]],$BC$6:$BM$52,4,FALSE)</f>
        <v>8000</v>
      </c>
      <c r="AO12" s="199"/>
      <c r="AP12" s="307">
        <f>VLOOKUP(Power20259[[#This Row],[ASABEtype]],ASABECoefficients8[],4,FALSE)/Power20259[[#This Row],[Use (hr/yr)]]*(1-Power20259[[#This Row],[Life used (%)]])</f>
        <v>20</v>
      </c>
      <c r="AQ12" s="201">
        <v>400</v>
      </c>
      <c r="AR12" s="202">
        <v>4.3999999999999997E-2</v>
      </c>
      <c r="AS12" s="203" t="s">
        <v>522</v>
      </c>
      <c r="AT12" s="201">
        <v>105</v>
      </c>
      <c r="AU12"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0.29592589900369304</v>
      </c>
      <c r="AV12" s="205">
        <f>Power20259[[#This Row],[TradeIn%]]*Power20259[[#This Row],[PriceL]]</f>
        <v>15782.714613530294</v>
      </c>
      <c r="AW12" s="206">
        <f>(Power20259[[#This Row],[PriceP]]-Power20259[[#This Row],[TradeIn$]])/Power20259[[#This Row],[Life (yr)]]/Power20259[[#This Row],[Use (hr/yr)]]</f>
        <v>4.0271606733087131</v>
      </c>
      <c r="AX12" s="308">
        <f>((Power20259[[#This Row],[PriceP]]+Power20259[[#This Row],[TradeIn$]])/2*($BP$7+$BP$8+$BP$9)+Power20259[[#This Row],[Shed (ft^2)]]*$BP$12)/Power20259[[#This Row],[Use (hr/yr)]]</f>
        <v>7.3103827819526206</v>
      </c>
      <c r="AY12"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2.9866666666666664</v>
      </c>
      <c r="AZ12" s="208">
        <f>Power20259[[#This Row],[Fuel (gal/hph)]]*Power20259[[#This Row],[HP]]</f>
        <v>1.98</v>
      </c>
      <c r="BA12" s="206">
        <f t="shared" si="5"/>
        <v>11.337543455261333</v>
      </c>
      <c r="BB12" s="209"/>
      <c r="BC12" s="125" t="s">
        <v>569</v>
      </c>
      <c r="BD12" s="146">
        <v>0.14000000000000001</v>
      </c>
      <c r="BE12" s="146">
        <v>2.2999999999999998</v>
      </c>
      <c r="BF12" s="146">
        <v>2000</v>
      </c>
      <c r="BG12" s="146">
        <v>1.054</v>
      </c>
      <c r="BH12" s="146">
        <v>0.1865</v>
      </c>
      <c r="BI12" s="146">
        <v>6.7999999999999996E-3</v>
      </c>
      <c r="BJ12" s="146">
        <v>2.8E-3</v>
      </c>
      <c r="BK12" s="122">
        <f t="shared" si="6"/>
        <v>7.1740899999999993E-3</v>
      </c>
      <c r="BL12" s="146">
        <v>8.4699999999999998E-2</v>
      </c>
      <c r="BM12" s="147"/>
      <c r="BO12" s="125" t="s">
        <v>570</v>
      </c>
      <c r="BP12" s="157">
        <f>3.75*0.15*126.3/73.3</f>
        <v>0.96921896316507516</v>
      </c>
    </row>
    <row r="13" spans="1:71">
      <c r="A13" s="152"/>
      <c r="B13" s="100" t="str">
        <f>Implements7[[#This Row],[Implement type]]&amp;", "&amp;Implements7[[#This Row],[Width]]&amp;" "&amp;Implements7[[#This Row],[Width Unit]]&amp; ", per "&amp;Implements7[[#This Row],[Use basis]]</f>
        <v>Tandem disk, 32 Ft Folding, per acre</v>
      </c>
      <c r="C13" s="105" t="s">
        <v>449</v>
      </c>
      <c r="D13" s="106">
        <v>32</v>
      </c>
      <c r="E13" s="107" t="str">
        <f t="shared" si="0"/>
        <v>Ft Folding</v>
      </c>
      <c r="F13" s="106"/>
      <c r="G13" s="106"/>
      <c r="H13" s="108">
        <v>123500</v>
      </c>
      <c r="I13" s="109">
        <v>0.1</v>
      </c>
      <c r="J13" s="195">
        <f t="shared" si="1"/>
        <v>137222.22222222222</v>
      </c>
      <c r="K13" s="306">
        <f>VLOOKUP(Implements7[[#This Row],[ASABEtype]],ASABECoefficients8[],4,FALSE)/Implements7[[#This Row],[Use (hr/yr)]]</f>
        <v>20</v>
      </c>
      <c r="L13" s="106">
        <v>100</v>
      </c>
      <c r="M13" s="111">
        <f t="shared" si="2"/>
        <v>1861.818181818182</v>
      </c>
      <c r="N13" s="111" t="s">
        <v>706</v>
      </c>
      <c r="O13" s="106" t="s">
        <v>451</v>
      </c>
      <c r="P13" s="106">
        <v>6</v>
      </c>
      <c r="Q13" s="109">
        <v>0.8</v>
      </c>
      <c r="R13" s="109">
        <v>1.02</v>
      </c>
      <c r="S13" s="106">
        <v>280</v>
      </c>
      <c r="T13"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0.21054767935982382</v>
      </c>
      <c r="U13" s="113">
        <f>Implements7[[#This Row],[TradeIn%]]*Implements7[[#This Row],[PriceL]]</f>
        <v>28891.820445486934</v>
      </c>
      <c r="V13" s="114">
        <f>(Implements7[[#This Row],[PriceP]]-Implements7[[#This Row],[TradeIn$]])/Implements7[[#This Row],[Life (yr)]]/Implements7[[#This Row],[Use (hr/yr)]]</f>
        <v>47.304089777256543</v>
      </c>
      <c r="W13" s="114">
        <f>((Implements7[[#This Row],[PriceP]]+Implements7[[#This Row],[TradeIn$]])/2*($BP$7+$BP$8+$BP$9)+Implements7[[#This Row],[Shed (ft^2)]]*$BP$12)/Implements7[[#This Row],[Use (hr/yr)]]</f>
        <v>70.147193643990178</v>
      </c>
      <c r="X13" s="114">
        <f>Implements7[[#This Row],[PriceL]]*(VLOOKUP(Implements7[[#This Row],[ASABEtype]],$BC$6:$BM$52,2)*(Implements7[[#This Row],[Life (yr)]]*Implements7[[#This Row],[Use (hr/yr)]]/1000)^VLOOKUP(Implements7[[#This Row],[ASABEtype]],$BC$6:$BM$52,3))/Implements7[[#This Row],[Life (yr)]]/Implements7[[#This Row],[Use (hr/yr)]]</f>
        <v>50.698426171696319</v>
      </c>
      <c r="Y13" s="114">
        <f>Implements7[[#This Row],[Depr ($/hr)]]+Implements7[[#This Row],[OH ($/hr)]]</f>
        <v>117.45128342124673</v>
      </c>
      <c r="Z13" s="114">
        <f>(Implements7[[#This Row],[PriceP]]-Implements7[[#This Row],[TradeIn$]])/Implements7[[#This Row],[Life (yr)]]/Implements7[[#This Row],[Use (ac/yr)]]</f>
        <v>2.5407470095206146</v>
      </c>
      <c r="AA13" s="114">
        <f>((Implements7[[#This Row],[PriceP]]+Implements7[[#This Row],[TradeIn$]])/2*($BP$7+$BP$8+$BP$9)+Implements7[[#This Row],[Shed (ft^2)]]*$BP$12)/Implements7[[#This Row],[Use (ac/yr)]]</f>
        <v>3.7676715336127531</v>
      </c>
      <c r="AB13"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2.7230599994563449</v>
      </c>
      <c r="AC13" s="115">
        <f>$BP$18/(Implements7[[#This Row],[Width]]*Implements7[[#This Row],[Speed]]*Implements7[[#This Row],[Efficiency]])</f>
        <v>5.3710937499999993E-2</v>
      </c>
      <c r="AD13" s="116">
        <f>IF(Implements7[[#This Row],[Use basis]]=$N$128,Implements7[[#This Row],[Ownership costs ($/hr)]],SUM(Implements7[[#This Row],[Depr ($/ac)2]:[OH ($/ac)]]))</f>
        <v>6.3084185431333673</v>
      </c>
      <c r="AE13" s="118">
        <v>12</v>
      </c>
      <c r="AF13" s="100" t="s">
        <v>446</v>
      </c>
      <c r="AG13" s="116"/>
      <c r="AH13" s="131" t="str">
        <f t="shared" si="3"/>
        <v>40 HP TWD</v>
      </c>
      <c r="AI13" s="132">
        <v>40</v>
      </c>
      <c r="AJ13" s="106" t="s">
        <v>521</v>
      </c>
      <c r="AK13" s="108">
        <v>33000</v>
      </c>
      <c r="AL13" s="109">
        <v>0</v>
      </c>
      <c r="AM13" s="133">
        <f t="shared" si="4"/>
        <v>33000</v>
      </c>
      <c r="AN13" s="215">
        <f>VLOOKUP(Power20259[[#This Row],[ASABEtype]],$BC$6:$BM$52,4,FALSE)</f>
        <v>8000</v>
      </c>
      <c r="AO13" s="199"/>
      <c r="AP13" s="307">
        <f>VLOOKUP(Power20259[[#This Row],[ASABEtype]],ASABECoefficients8[],4,FALSE)/Power20259[[#This Row],[Use (hr/yr)]]*(1-Power20259[[#This Row],[Life used (%)]])</f>
        <v>40</v>
      </c>
      <c r="AQ13" s="201">
        <v>200</v>
      </c>
      <c r="AR13" s="106">
        <v>4.3999999999999997E-2</v>
      </c>
      <c r="AS13" s="106" t="s">
        <v>522</v>
      </c>
      <c r="AT13" s="106">
        <v>92</v>
      </c>
      <c r="AU13"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0.16043703022416145</v>
      </c>
      <c r="AV13" s="135">
        <f>Power20259[[#This Row],[TradeIn%]]*Power20259[[#This Row],[PriceL]]</f>
        <v>5294.4219973973277</v>
      </c>
      <c r="AW13" s="136">
        <f>(Power20259[[#This Row],[PriceP]]-Power20259[[#This Row],[TradeIn$]])/Power20259[[#This Row],[Life (yr)]]/Power20259[[#This Row],[Use (hr/yr)]]</f>
        <v>3.4631972503253343</v>
      </c>
      <c r="AX13" s="308">
        <f>((Power20259[[#This Row],[PriceP]]+Power20259[[#This Row],[TradeIn$]])/2*($BP$7+$BP$8+$BP$9)+Power20259[[#This Row],[Shed (ft^2)]]*$BP$12)/Power20259[[#This Row],[Use (hr/yr)]]</f>
        <v>8.9184815899800931</v>
      </c>
      <c r="AY13"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1.8480000000000001</v>
      </c>
      <c r="AZ13" s="138">
        <f>Power20259[[#This Row],[Fuel (gal/hph)]]*Power20259[[#This Row],[HP]]</f>
        <v>1.7599999999999998</v>
      </c>
      <c r="BA13" s="137">
        <f t="shared" si="5"/>
        <v>12.381678840305428</v>
      </c>
      <c r="BB13" s="209"/>
      <c r="BC13" s="125" t="s">
        <v>571</v>
      </c>
      <c r="BD13" s="146">
        <v>0.11</v>
      </c>
      <c r="BE13" s="146">
        <v>1.8</v>
      </c>
      <c r="BF13" s="146">
        <v>3000</v>
      </c>
      <c r="BG13" s="146">
        <v>1.054</v>
      </c>
      <c r="BH13" s="146">
        <v>0.1865</v>
      </c>
      <c r="BI13" s="146">
        <v>6.7999999999999996E-3</v>
      </c>
      <c r="BJ13" s="146">
        <v>2.8E-3</v>
      </c>
      <c r="BK13" s="122">
        <f t="shared" si="6"/>
        <v>7.1740899999999993E-3</v>
      </c>
      <c r="BL13" s="146">
        <v>8.4699999999999998E-2</v>
      </c>
      <c r="BM13" s="147"/>
      <c r="BO13" s="122" t="s">
        <v>572</v>
      </c>
      <c r="BP13" s="158">
        <v>0</v>
      </c>
    </row>
    <row r="14" spans="1:71">
      <c r="A14" s="152"/>
      <c r="B14" s="100" t="str">
        <f>Implements7[[#This Row],[Implement type]]&amp;", "&amp;Implements7[[#This Row],[Width]]&amp;" "&amp;Implements7[[#This Row],[Width Unit]]&amp; ", per "&amp;Implements7[[#This Row],[Use basis]]</f>
        <v>Forage harvester, pull-type w/corn head, 7.5 Ft, per acre</v>
      </c>
      <c r="C14" s="107" t="s">
        <v>452</v>
      </c>
      <c r="D14" s="106">
        <v>7.5</v>
      </c>
      <c r="E14" s="107" t="s">
        <v>439</v>
      </c>
      <c r="F14" s="106">
        <v>3</v>
      </c>
      <c r="G14" s="107" t="s">
        <v>453</v>
      </c>
      <c r="H14" s="108">
        <v>94500</v>
      </c>
      <c r="I14" s="109">
        <v>0.1</v>
      </c>
      <c r="J14" s="195">
        <f t="shared" si="1"/>
        <v>105000</v>
      </c>
      <c r="K14" s="306">
        <f>VLOOKUP(Implements7[[#This Row],[ASABEtype]],ASABECoefficients8[],4,FALSE)/Implements7[[#This Row],[Use (hr/yr)]]</f>
        <v>12.5</v>
      </c>
      <c r="L14" s="106">
        <v>200</v>
      </c>
      <c r="M14" s="111">
        <f t="shared" si="2"/>
        <v>413.63636363636363</v>
      </c>
      <c r="N14" s="111" t="s">
        <v>706</v>
      </c>
      <c r="O14" s="106" t="s">
        <v>577</v>
      </c>
      <c r="P14" s="106">
        <v>3.5</v>
      </c>
      <c r="Q14" s="109">
        <v>0.65</v>
      </c>
      <c r="R14" s="109">
        <v>1.1100000000000001</v>
      </c>
      <c r="S14" s="106">
        <v>140</v>
      </c>
      <c r="T14"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0.38280781308829243</v>
      </c>
      <c r="U14" s="113">
        <f>Implements7[[#This Row],[TradeIn%]]*Implements7[[#This Row],[PriceL]]</f>
        <v>40194.820374270705</v>
      </c>
      <c r="V14" s="114">
        <f>(Implements7[[#This Row],[PriceP]]-Implements7[[#This Row],[TradeIn$]])/Implements7[[#This Row],[Life (yr)]]/Implements7[[#This Row],[Use (hr/yr)]]</f>
        <v>21.722071850291719</v>
      </c>
      <c r="W14" s="114">
        <f>((Implements7[[#This Row],[PriceP]]+Implements7[[#This Row],[TradeIn$]])/2*($BP$7+$BP$8+$BP$9)+Implements7[[#This Row],[Shed (ft^2)]]*$BP$12)/Implements7[[#This Row],[Use (hr/yr)]]</f>
        <v>30.479682282022946</v>
      </c>
      <c r="X14" s="114">
        <f>Implements7[[#This Row],[PriceL]]*(VLOOKUP(Implements7[[#This Row],[ASABEtype]],$BC$6:$BM$52,2)*(Implements7[[#This Row],[Life (yr)]]*Implements7[[#This Row],[Use (hr/yr)]]/1000)^VLOOKUP(Implements7[[#This Row],[ASABEtype]],$BC$6:$BM$52,3))/Implements7[[#This Row],[Life (yr)]]/Implements7[[#This Row],[Use (hr/yr)]]</f>
        <v>27.292578199233894</v>
      </c>
      <c r="Y14" s="114">
        <f>Implements7[[#This Row],[Depr ($/hr)]]+Implements7[[#This Row],[OH ($/hr)]]</f>
        <v>52.201754132314662</v>
      </c>
      <c r="Z14" s="114">
        <f>(Implements7[[#This Row],[PriceP]]-Implements7[[#This Row],[TradeIn$]])/Implements7[[#This Row],[Life (yr)]]/Implements7[[#This Row],[Use (ac/yr)]]</f>
        <v>10.502979795745446</v>
      </c>
      <c r="AA14" s="114">
        <f>((Implements7[[#This Row],[PriceP]]+Implements7[[#This Row],[TradeIn$]])/2*($BP$7+$BP$8+$BP$9)+Implements7[[#This Row],[Shed (ft^2)]]*$BP$12)/Implements7[[#This Row],[Use (ac/yr)]]</f>
        <v>14.737428795703403</v>
      </c>
      <c r="AB14"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13.196411436992213</v>
      </c>
      <c r="AC14" s="115">
        <f>$BP$18/(Implements7[[#This Row],[Width]]*Implements7[[#This Row],[Speed]]*Implements7[[#This Row],[Efficiency]])</f>
        <v>0.48351648351648352</v>
      </c>
      <c r="AD14" s="116">
        <f>IF(Implements7[[#This Row],[Use basis]]=$N$128,Implements7[[#This Row],[Ownership costs ($/hr)]],SUM(Implements7[[#This Row],[Depr ($/ac)2]:[OH ($/ac)]]))</f>
        <v>25.240408591448848</v>
      </c>
      <c r="AE14" s="118">
        <v>37</v>
      </c>
      <c r="AF14" s="100" t="s">
        <v>454</v>
      </c>
      <c r="AG14" s="116"/>
      <c r="AH14" s="131" t="str">
        <f t="shared" si="3"/>
        <v>60 HP TWD</v>
      </c>
      <c r="AI14" s="132">
        <v>60</v>
      </c>
      <c r="AJ14" s="106" t="s">
        <v>521</v>
      </c>
      <c r="AK14" s="108">
        <v>37000</v>
      </c>
      <c r="AL14" s="109">
        <v>0</v>
      </c>
      <c r="AM14" s="133">
        <f t="shared" si="4"/>
        <v>37000</v>
      </c>
      <c r="AN14" s="215">
        <f>VLOOKUP(Power20259[[#This Row],[ASABEtype]],$BC$6:$BM$52,4,FALSE)</f>
        <v>8000</v>
      </c>
      <c r="AO14" s="199"/>
      <c r="AP14" s="307">
        <f>VLOOKUP(Power20259[[#This Row],[ASABEtype]],ASABECoefficients8[],4,FALSE)/Power20259[[#This Row],[Use (hr/yr)]]*(1-Power20259[[#This Row],[Life used (%)]])</f>
        <v>40</v>
      </c>
      <c r="AQ14" s="201">
        <v>200</v>
      </c>
      <c r="AR14" s="106">
        <v>4.3999999999999997E-2</v>
      </c>
      <c r="AS14" s="106" t="s">
        <v>522</v>
      </c>
      <c r="AT14" s="106">
        <v>104</v>
      </c>
      <c r="AU14"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0.16043703022416145</v>
      </c>
      <c r="AV14" s="135">
        <f>Power20259[[#This Row],[TradeIn%]]*Power20259[[#This Row],[PriceL]]</f>
        <v>5936.1701182939732</v>
      </c>
      <c r="AW14" s="137">
        <f>(Power20259[[#This Row],[PriceP]]-Power20259[[#This Row],[TradeIn$]])/Power20259[[#This Row],[Life (yr)]]/Power20259[[#This Row],[Use (hr/yr)]]</f>
        <v>3.8829787352132534</v>
      </c>
      <c r="AX14" s="308">
        <f>((Power20259[[#This Row],[PriceP]]+Power20259[[#This Row],[TradeIn$]])/2*($BP$7+$BP$8+$BP$9)+Power20259[[#This Row],[Shed (ft^2)]]*$BP$12)/Power20259[[#This Row],[Use (hr/yr)]]</f>
        <v>10.003621499518381</v>
      </c>
      <c r="AY14"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2.0720000000000001</v>
      </c>
      <c r="AZ14" s="138">
        <f>Power20259[[#This Row],[Fuel (gal/hph)]]*Power20259[[#This Row],[HP]]</f>
        <v>2.6399999999999997</v>
      </c>
      <c r="BA14" s="137">
        <f t="shared" si="5"/>
        <v>13.886600234731635</v>
      </c>
      <c r="BB14" s="209"/>
      <c r="BC14" s="125" t="s">
        <v>442</v>
      </c>
      <c r="BD14" s="146">
        <v>0.63</v>
      </c>
      <c r="BE14" s="146">
        <v>1.3</v>
      </c>
      <c r="BF14" s="146">
        <v>1200</v>
      </c>
      <c r="BG14" s="146">
        <v>0.86350000000000005</v>
      </c>
      <c r="BH14" s="146">
        <v>0.1288</v>
      </c>
      <c r="BI14" s="146">
        <v>0</v>
      </c>
      <c r="BJ14" s="146">
        <v>1.6999999999999999E-3</v>
      </c>
      <c r="BK14" s="122">
        <f t="shared" si="6"/>
        <v>2.4617610000000005E-2</v>
      </c>
      <c r="BL14" s="146">
        <v>0.15690000000000001</v>
      </c>
      <c r="BM14" s="147"/>
      <c r="BO14" s="122" t="s">
        <v>573</v>
      </c>
      <c r="BP14" s="159">
        <v>116</v>
      </c>
    </row>
    <row r="15" spans="1:71">
      <c r="A15" s="152"/>
      <c r="B15" s="100" t="str">
        <f>Implements7[[#This Row],[Implement type]]&amp;", "&amp;Implements7[[#This Row],[Width]]&amp;" "&amp;Implements7[[#This Row],[Width Unit]]&amp; ", per "&amp;Implements7[[#This Row],[Use basis]]</f>
        <v>Forage harvester, pull-type w/pickup head, 12 Ft, per acre</v>
      </c>
      <c r="C15" s="107" t="s">
        <v>455</v>
      </c>
      <c r="D15" s="106">
        <v>12</v>
      </c>
      <c r="E15" s="107" t="s">
        <v>439</v>
      </c>
      <c r="F15" s="106"/>
      <c r="G15" s="107"/>
      <c r="H15" s="108">
        <v>83000</v>
      </c>
      <c r="I15" s="109">
        <v>0.1</v>
      </c>
      <c r="J15" s="195">
        <f t="shared" si="1"/>
        <v>92222.222222222219</v>
      </c>
      <c r="K15" s="306">
        <f>VLOOKUP(Implements7[[#This Row],[ASABEtype]],ASABECoefficients8[],4,FALSE)/Implements7[[#This Row],[Use (hr/yr)]]</f>
        <v>12.5</v>
      </c>
      <c r="L15" s="106">
        <v>200</v>
      </c>
      <c r="M15" s="111">
        <f t="shared" si="2"/>
        <v>661.81818181818187</v>
      </c>
      <c r="N15" s="111" t="s">
        <v>706</v>
      </c>
      <c r="O15" s="106" t="s">
        <v>577</v>
      </c>
      <c r="P15" s="106">
        <v>3.5</v>
      </c>
      <c r="Q15" s="109">
        <v>0.65</v>
      </c>
      <c r="R15" s="109">
        <v>1.1100000000000001</v>
      </c>
      <c r="S15" s="106">
        <v>140</v>
      </c>
      <c r="T15"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0.38280781308829243</v>
      </c>
      <c r="U15" s="113">
        <f>Implements7[[#This Row],[TradeIn%]]*Implements7[[#This Row],[PriceL]]</f>
        <v>35303.38720703141</v>
      </c>
      <c r="V15" s="114">
        <f>(Implements7[[#This Row],[PriceP]]-Implements7[[#This Row],[TradeIn$]])/Implements7[[#This Row],[Life (yr)]]/Implements7[[#This Row],[Use (hr/yr)]]</f>
        <v>19.078645117187435</v>
      </c>
      <c r="W15" s="114">
        <f>((Implements7[[#This Row],[PriceP]]+Implements7[[#This Row],[TradeIn$]])/2*($BP$7+$BP$8+$BP$9)+Implements7[[#This Row],[Shed (ft^2)]]*$BP$12)/Implements7[[#This Row],[Use (hr/yr)]]</f>
        <v>26.853077693771251</v>
      </c>
      <c r="X15" s="114">
        <f>Implements7[[#This Row],[PriceL]]*(VLOOKUP(Implements7[[#This Row],[ASABEtype]],$BC$6:$BM$52,2)*(Implements7[[#This Row],[Life (yr)]]*Implements7[[#This Row],[Use (hr/yr)]]/1000)^VLOOKUP(Implements7[[#This Row],[ASABEtype]],$BC$6:$BM$52,3))/Implements7[[#This Row],[Life (yr)]]/Implements7[[#This Row],[Use (hr/yr)]]</f>
        <v>23.971259159115483</v>
      </c>
      <c r="Y15" s="114">
        <f>Implements7[[#This Row],[Depr ($/hr)]]+Implements7[[#This Row],[OH ($/hr)]]</f>
        <v>45.931722810958689</v>
      </c>
      <c r="Z15" s="114">
        <f>(Implements7[[#This Row],[PriceP]]-Implements7[[#This Row],[TradeIn$]])/Implements7[[#This Row],[Life (yr)]]/Implements7[[#This Row],[Use (ac/yr)]]</f>
        <v>5.7655246233258728</v>
      </c>
      <c r="AA15" s="114">
        <f>((Implements7[[#This Row],[PriceP]]+Implements7[[#This Row],[TradeIn$]])/2*($BP$7+$BP$8+$BP$9)+Implements7[[#This Row],[Shed (ft^2)]]*$BP$12)/Implements7[[#This Row],[Use (ac/yr)]]</f>
        <v>8.1149410613044992</v>
      </c>
      <c r="AB15"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7.2440618337986349</v>
      </c>
      <c r="AC15" s="115">
        <f>$BP$18/(Implements7[[#This Row],[Width]]*Implements7[[#This Row],[Speed]]*Implements7[[#This Row],[Efficiency]])</f>
        <v>0.30219780219780218</v>
      </c>
      <c r="AD15" s="116">
        <f>IF(Implements7[[#This Row],[Use basis]]=$N$128,Implements7[[#This Row],[Ownership costs ($/hr)]],SUM(Implements7[[#This Row],[Depr ($/ac)2]:[OH ($/ac)]]))</f>
        <v>13.880465684630373</v>
      </c>
      <c r="AE15" s="118">
        <v>38</v>
      </c>
      <c r="AF15" s="100" t="s">
        <v>454</v>
      </c>
      <c r="AG15" s="116"/>
      <c r="AH15" s="131" t="str">
        <f t="shared" si="3"/>
        <v>75 HP TWD</v>
      </c>
      <c r="AI15" s="132">
        <v>75</v>
      </c>
      <c r="AJ15" s="106" t="s">
        <v>521</v>
      </c>
      <c r="AK15" s="108">
        <v>65000</v>
      </c>
      <c r="AL15" s="109">
        <v>0.05</v>
      </c>
      <c r="AM15" s="133">
        <f t="shared" si="4"/>
        <v>68421.052631578947</v>
      </c>
      <c r="AN15" s="215">
        <f>VLOOKUP(Power20259[[#This Row],[ASABEtype]],$BC$6:$BM$52,4,FALSE)</f>
        <v>8000</v>
      </c>
      <c r="AO15" s="199"/>
      <c r="AP15" s="307">
        <f>VLOOKUP(Power20259[[#This Row],[ASABEtype]],ASABECoefficients8[],4,FALSE)/Power20259[[#This Row],[Use (hr/yr)]]*(1-Power20259[[#This Row],[Life used (%)]])</f>
        <v>40</v>
      </c>
      <c r="AQ15" s="201">
        <v>200</v>
      </c>
      <c r="AR15" s="106">
        <v>4.3999999999999997E-2</v>
      </c>
      <c r="AS15" s="106" t="s">
        <v>522</v>
      </c>
      <c r="AT15" s="106">
        <v>115</v>
      </c>
      <c r="AU15"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0.16043703022416145</v>
      </c>
      <c r="AV15" s="135">
        <f>Power20259[[#This Row],[TradeIn%]]*Power20259[[#This Row],[PriceL]]</f>
        <v>10977.270489021572</v>
      </c>
      <c r="AW15" s="137">
        <f>(Power20259[[#This Row],[PriceP]]-Power20259[[#This Row],[TradeIn$]])/Power20259[[#This Row],[Life (yr)]]/Power20259[[#This Row],[Use (hr/yr)]]</f>
        <v>6.7528411888723046</v>
      </c>
      <c r="AX15" s="308">
        <f>((Power20259[[#This Row],[PriceP]]+Power20259[[#This Row],[TradeIn$]])/2*($BP$7+$BP$8+$BP$9)+Power20259[[#This Row],[Shed (ft^2)]]*$BP$12)/Power20259[[#This Row],[Use (hr/yr)]]</f>
        <v>17.367271999515939</v>
      </c>
      <c r="AY15"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3.8315789473684214</v>
      </c>
      <c r="AZ15" s="138">
        <f>Power20259[[#This Row],[Fuel (gal/hph)]]*Power20259[[#This Row],[HP]]</f>
        <v>3.3</v>
      </c>
      <c r="BA15" s="137">
        <f t="shared" si="5"/>
        <v>24.120113188388245</v>
      </c>
      <c r="BB15" s="209"/>
      <c r="BC15" s="125" t="s">
        <v>448</v>
      </c>
      <c r="BD15" s="146">
        <v>0.27</v>
      </c>
      <c r="BE15" s="146">
        <v>1.4</v>
      </c>
      <c r="BF15" s="146">
        <v>2000</v>
      </c>
      <c r="BG15" s="146">
        <v>0.69269999999999998</v>
      </c>
      <c r="BH15" s="146">
        <v>7.0300000000000001E-2</v>
      </c>
      <c r="BI15" s="146">
        <v>0</v>
      </c>
      <c r="BJ15" s="146">
        <v>1.1999999999999999E-3</v>
      </c>
      <c r="BK15" s="122">
        <f t="shared" si="6"/>
        <v>1.4957290000000002E-2</v>
      </c>
      <c r="BL15" s="146">
        <v>0.12230000000000001</v>
      </c>
      <c r="BM15" s="147"/>
      <c r="BO15" s="100" t="s">
        <v>574</v>
      </c>
      <c r="BP15" s="160">
        <v>124.92</v>
      </c>
    </row>
    <row r="16" spans="1:71">
      <c r="A16" s="152"/>
      <c r="B16" s="100" t="str">
        <f>Implements7[[#This Row],[Implement type]]&amp;", "&amp;Implements7[[#This Row],[Width]]&amp;" "&amp;Implements7[[#This Row],[Width Unit]]&amp; ", per "&amp;Implements7[[#This Row],[Use basis]]</f>
        <v>Forage harvester, self-prop corn head, 15 Ft, per acre</v>
      </c>
      <c r="C16" s="105" t="s">
        <v>456</v>
      </c>
      <c r="D16" s="106">
        <v>15</v>
      </c>
      <c r="E16" s="107" t="s">
        <v>439</v>
      </c>
      <c r="F16" s="106">
        <v>6</v>
      </c>
      <c r="G16" s="107" t="s">
        <v>453</v>
      </c>
      <c r="H16" s="108">
        <v>107500</v>
      </c>
      <c r="I16" s="109">
        <v>0.1</v>
      </c>
      <c r="J16" s="195">
        <f t="shared" si="1"/>
        <v>119444.44444444444</v>
      </c>
      <c r="K16" s="306">
        <f>VLOOKUP(Implements7[[#This Row],[ASABEtype]],ASABECoefficients8[],4,FALSE)/Implements7[[#This Row],[Use (hr/yr)]]</f>
        <v>20</v>
      </c>
      <c r="L16" s="106">
        <v>200</v>
      </c>
      <c r="M16" s="111">
        <f t="shared" si="2"/>
        <v>1018.1818181818181</v>
      </c>
      <c r="N16" s="111" t="s">
        <v>706</v>
      </c>
      <c r="O16" s="106" t="s">
        <v>457</v>
      </c>
      <c r="P16" s="106">
        <v>4</v>
      </c>
      <c r="Q16" s="109">
        <v>0.7</v>
      </c>
      <c r="R16" s="109">
        <v>1.1100000000000001</v>
      </c>
      <c r="S16" s="106">
        <v>300</v>
      </c>
      <c r="T16"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0.22858854315593269</v>
      </c>
      <c r="U16" s="113">
        <f>Implements7[[#This Row],[TradeIn%]]*Implements7[[#This Row],[PriceL]]</f>
        <v>27303.631543625292</v>
      </c>
      <c r="V16" s="114">
        <f>(Implements7[[#This Row],[PriceP]]-Implements7[[#This Row],[TradeIn$]])/Implements7[[#This Row],[Life (yr)]]/Implements7[[#This Row],[Use (hr/yr)]]</f>
        <v>20.049092114093678</v>
      </c>
      <c r="W16" s="114">
        <f>((Implements7[[#This Row],[PriceP]]+Implements7[[#This Row],[TradeIn$]])/2*($BP$7+$BP$8+$BP$9)+Implements7[[#This Row],[Shed (ft^2)]]*$BP$12)/Implements7[[#This Row],[Use (hr/yr)]]</f>
        <v>31.279131923774706</v>
      </c>
      <c r="X16" s="114">
        <f>Implements7[[#This Row],[PriceL]]*(VLOOKUP(Implements7[[#This Row],[ASABEtype]],$BC$6:$BM$52,2)*(Implements7[[#This Row],[Life (yr)]]*Implements7[[#This Row],[Use (hr/yr)]]/1000)^VLOOKUP(Implements7[[#This Row],[ASABEtype]],$BC$6:$BM$52,3))/Implements7[[#This Row],[Life (yr)]]/Implements7[[#This Row],[Use (hr/yr)]]</f>
        <v>14.333333333333332</v>
      </c>
      <c r="Y16" s="114">
        <f>Implements7[[#This Row],[Depr ($/hr)]]+Implements7[[#This Row],[OH ($/hr)]]</f>
        <v>51.328224037868381</v>
      </c>
      <c r="Z16" s="114">
        <f>(Implements7[[#This Row],[PriceP]]-Implements7[[#This Row],[TradeIn$]])/Implements7[[#This Row],[Life (yr)]]/Implements7[[#This Row],[Use (ac/yr)]]</f>
        <v>3.9382145224112586</v>
      </c>
      <c r="AA16" s="114">
        <f>((Implements7[[#This Row],[PriceP]]+Implements7[[#This Row],[TradeIn$]])/2*($BP$7+$BP$8+$BP$9)+Implements7[[#This Row],[Shed (ft^2)]]*$BP$12)/Implements7[[#This Row],[Use (ac/yr)]]</f>
        <v>6.1441151993128891</v>
      </c>
      <c r="AB16"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2.8154761904761907</v>
      </c>
      <c r="AC16" s="115">
        <f>$BP$18/(Implements7[[#This Row],[Width]]*Implements7[[#This Row],[Speed]]*Implements7[[#This Row],[Efficiency]])</f>
        <v>0.19642857142857142</v>
      </c>
      <c r="AD16" s="116">
        <f>IF(Implements7[[#This Row],[Use basis]]=$N$128,Implements7[[#This Row],[Ownership costs ($/hr)]],SUM(Implements7[[#This Row],[Depr ($/ac)2]:[OH ($/ac)]]))</f>
        <v>10.082329721724147</v>
      </c>
      <c r="AE16" s="118">
        <v>39</v>
      </c>
      <c r="AF16" s="100" t="s">
        <v>454</v>
      </c>
      <c r="AG16" s="116"/>
      <c r="AH16" s="131" t="str">
        <f t="shared" si="3"/>
        <v>105 HP MFWD</v>
      </c>
      <c r="AI16" s="132">
        <v>105</v>
      </c>
      <c r="AJ16" s="106" t="s">
        <v>523</v>
      </c>
      <c r="AK16" s="108">
        <v>120000</v>
      </c>
      <c r="AL16" s="109">
        <v>0.1</v>
      </c>
      <c r="AM16" s="133">
        <f t="shared" si="4"/>
        <v>133333.33333333334</v>
      </c>
      <c r="AN16" s="215">
        <f>VLOOKUP(Power20259[[#This Row],[ASABEtype]],$BC$6:$BM$52,4,FALSE)</f>
        <v>8000</v>
      </c>
      <c r="AO16" s="199"/>
      <c r="AP16" s="307">
        <f>VLOOKUP(Power20259[[#This Row],[ASABEtype]],ASABECoefficients8[],4,FALSE)/Power20259[[#This Row],[Use (hr/yr)]]*(1-Power20259[[#This Row],[Life used (%)]])</f>
        <v>17.777777777777779</v>
      </c>
      <c r="AQ16" s="106">
        <v>450</v>
      </c>
      <c r="AR16" s="106">
        <v>4.3999999999999997E-2</v>
      </c>
      <c r="AS16" s="106" t="s">
        <v>524</v>
      </c>
      <c r="AT16" s="106">
        <v>127</v>
      </c>
      <c r="AU16"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0.18298839443424203</v>
      </c>
      <c r="AV16" s="135">
        <f>Power20259[[#This Row],[TradeIn%]]*Power20259[[#This Row],[PriceL]]</f>
        <v>24398.452591232272</v>
      </c>
      <c r="AW16" s="137">
        <f>(Power20259[[#This Row],[PriceP]]-Power20259[[#This Row],[TradeIn$]])/Power20259[[#This Row],[Life (yr)]]/Power20259[[#This Row],[Use (hr/yr)]]</f>
        <v>11.950193426095964</v>
      </c>
      <c r="AX16" s="308">
        <f>((Power20259[[#This Row],[PriceP]]+Power20259[[#This Row],[TradeIn$]])/2*($BP$7+$BP$8+$BP$9)+Power20259[[#This Row],[Shed (ft^2)]]*$BP$12)/Power20259[[#This Row],[Use (hr/yr)]]</f>
        <v>14.472716301075536</v>
      </c>
      <c r="AY16"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5.333333333333333</v>
      </c>
      <c r="AZ16" s="138">
        <f>Power20259[[#This Row],[Fuel (gal/hph)]]*Power20259[[#This Row],[HP]]</f>
        <v>4.62</v>
      </c>
      <c r="BA16" s="137">
        <f t="shared" si="5"/>
        <v>26.422909727171501</v>
      </c>
      <c r="BB16" s="209"/>
      <c r="BC16" s="125" t="s">
        <v>575</v>
      </c>
      <c r="BD16" s="146">
        <v>0.22</v>
      </c>
      <c r="BE16" s="146">
        <v>1.8</v>
      </c>
      <c r="BF16" s="146">
        <v>1500</v>
      </c>
      <c r="BG16" s="146">
        <v>0.65290000000000004</v>
      </c>
      <c r="BH16" s="146">
        <v>0.15110000000000001</v>
      </c>
      <c r="BI16" s="146">
        <v>0</v>
      </c>
      <c r="BJ16" s="146">
        <v>7.7999999999999996E-3</v>
      </c>
      <c r="BK16" s="122">
        <f t="shared" si="6"/>
        <v>1.525225E-2</v>
      </c>
      <c r="BL16" s="146">
        <v>0.1235</v>
      </c>
      <c r="BM16" s="147"/>
      <c r="BO16" s="100" t="s">
        <v>576</v>
      </c>
      <c r="BP16" s="160">
        <v>68.61</v>
      </c>
    </row>
    <row r="17" spans="1:68">
      <c r="A17" s="164"/>
      <c r="B17" s="100" t="str">
        <f>Implements7[[#This Row],[Implement type]]&amp;", "&amp;Implements7[[#This Row],[Width]]&amp;" "&amp;Implements7[[#This Row],[Width Unit]]&amp; ", per "&amp;Implements7[[#This Row],[Use basis]]</f>
        <v>Forage harvester, self-prop corn head, 20 Ft Folding, per acre</v>
      </c>
      <c r="C17" s="105" t="s">
        <v>456</v>
      </c>
      <c r="D17" s="106">
        <v>20</v>
      </c>
      <c r="E17" s="107" t="s">
        <v>458</v>
      </c>
      <c r="F17" s="106">
        <v>8</v>
      </c>
      <c r="G17" s="107" t="s">
        <v>453</v>
      </c>
      <c r="H17" s="108">
        <v>141000</v>
      </c>
      <c r="I17" s="109">
        <v>0.1</v>
      </c>
      <c r="J17" s="195">
        <f t="shared" si="1"/>
        <v>156666.66666666666</v>
      </c>
      <c r="K17" s="306">
        <f>VLOOKUP(Implements7[[#This Row],[ASABEtype]],ASABECoefficients8[],4,FALSE)/Implements7[[#This Row],[Use (hr/yr)]]</f>
        <v>20</v>
      </c>
      <c r="L17" s="106">
        <v>200</v>
      </c>
      <c r="M17" s="111">
        <f t="shared" si="2"/>
        <v>1357.5757575757575</v>
      </c>
      <c r="N17" s="111" t="s">
        <v>706</v>
      </c>
      <c r="O17" s="106" t="s">
        <v>457</v>
      </c>
      <c r="P17" s="106">
        <v>4</v>
      </c>
      <c r="Q17" s="109">
        <v>0.7</v>
      </c>
      <c r="R17" s="109">
        <v>1.1100000000000001</v>
      </c>
      <c r="S17" s="106">
        <v>300</v>
      </c>
      <c r="T17"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0.22858854315593269</v>
      </c>
      <c r="U17" s="113">
        <f>Implements7[[#This Row],[TradeIn%]]*Implements7[[#This Row],[PriceL]]</f>
        <v>35812.205094429453</v>
      </c>
      <c r="V17" s="114">
        <f>(Implements7[[#This Row],[PriceP]]-Implements7[[#This Row],[TradeIn$]])/Implements7[[#This Row],[Life (yr)]]/Implements7[[#This Row],[Use (hr/yr)]]</f>
        <v>26.296948726392635</v>
      </c>
      <c r="W17" s="114">
        <f>((Implements7[[#This Row],[PriceP]]+Implements7[[#This Row],[TradeIn$]])/2*($BP$7+$BP$8+$BP$9)+Implements7[[#This Row],[Shed (ft^2)]]*$BP$12)/Implements7[[#This Row],[Use (hr/yr)]]</f>
        <v>40.573528821890129</v>
      </c>
      <c r="X17" s="114">
        <f>Implements7[[#This Row],[PriceL]]*(VLOOKUP(Implements7[[#This Row],[ASABEtype]],$BC$6:$BM$52,2)*(Implements7[[#This Row],[Life (yr)]]*Implements7[[#This Row],[Use (hr/yr)]]/1000)^VLOOKUP(Implements7[[#This Row],[ASABEtype]],$BC$6:$BM$52,3))/Implements7[[#This Row],[Life (yr)]]/Implements7[[#This Row],[Use (hr/yr)]]</f>
        <v>18.799999999999997</v>
      </c>
      <c r="Y17" s="114">
        <f>Implements7[[#This Row],[Depr ($/hr)]]+Implements7[[#This Row],[OH ($/hr)]]</f>
        <v>66.870477548282764</v>
      </c>
      <c r="Z17" s="114">
        <f>(Implements7[[#This Row],[PriceP]]-Implements7[[#This Row],[TradeIn$]])/Implements7[[#This Row],[Life (yr)]]/Implements7[[#This Row],[Use (ac/yr)]]</f>
        <v>3.8741040534417723</v>
      </c>
      <c r="AA17" s="114">
        <f>((Implements7[[#This Row],[PriceP]]+Implements7[[#This Row],[TradeIn$]])/2*($BP$7+$BP$8+$BP$9)+Implements7[[#This Row],[Shed (ft^2)]]*$BP$12)/Implements7[[#This Row],[Use (ac/yr)]]</f>
        <v>5.9773502282248856</v>
      </c>
      <c r="AB17"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2.7696428571428564</v>
      </c>
      <c r="AC17" s="115">
        <f>$BP$18/(Implements7[[#This Row],[Width]]*Implements7[[#This Row],[Speed]]*Implements7[[#This Row],[Efficiency]])</f>
        <v>0.14732142857142858</v>
      </c>
      <c r="AD17" s="116">
        <f>IF(Implements7[[#This Row],[Use basis]]=$N$128,Implements7[[#This Row],[Ownership costs ($/hr)]],SUM(Implements7[[#This Row],[Depr ($/ac)2]:[OH ($/ac)]]))</f>
        <v>9.8514542816666584</v>
      </c>
      <c r="AE17" s="118">
        <v>40</v>
      </c>
      <c r="AF17" s="100" t="s">
        <v>454</v>
      </c>
      <c r="AG17" s="116"/>
      <c r="AH17" s="131" t="str">
        <f>CONCATENATE(AI17&amp;" "&amp;AJ17)</f>
        <v>130 HP MFWD</v>
      </c>
      <c r="AI17" s="132">
        <v>130</v>
      </c>
      <c r="AJ17" s="106" t="s">
        <v>523</v>
      </c>
      <c r="AK17" s="108">
        <v>185000</v>
      </c>
      <c r="AL17" s="109">
        <v>0.1</v>
      </c>
      <c r="AM17" s="133">
        <f>AK17/(1-AL17)</f>
        <v>205555.55555555556</v>
      </c>
      <c r="AN17" s="215">
        <f>VLOOKUP(Power20259[[#This Row],[ASABEtype]],$BC$6:$BM$52,4,FALSE)</f>
        <v>8000</v>
      </c>
      <c r="AO17" s="199"/>
      <c r="AP17" s="307">
        <f>VLOOKUP(Power20259[[#This Row],[ASABEtype]],ASABECoefficients8[],4,FALSE)/Power20259[[#This Row],[Use (hr/yr)]]*(1-Power20259[[#This Row],[Life used (%)]])</f>
        <v>17.777777777777779</v>
      </c>
      <c r="AQ17" s="106">
        <v>450</v>
      </c>
      <c r="AR17" s="106">
        <v>4.3999999999999997E-2</v>
      </c>
      <c r="AS17" s="106" t="s">
        <v>524</v>
      </c>
      <c r="AT17" s="106">
        <v>130</v>
      </c>
      <c r="AU17"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0.18298839443424203</v>
      </c>
      <c r="AV17" s="135">
        <f>Power20259[[#This Row],[TradeIn%]]*Power20259[[#This Row],[PriceL]]</f>
        <v>37614.281078149754</v>
      </c>
      <c r="AW17" s="137">
        <f>(Power20259[[#This Row],[PriceP]]-Power20259[[#This Row],[TradeIn$]])/Power20259[[#This Row],[Life (yr)]]/Power20259[[#This Row],[Use (hr/yr)]]</f>
        <v>18.423214865231284</v>
      </c>
      <c r="AX17" s="308">
        <f>((Power20259[[#This Row],[PriceP]]+Power20259[[#This Row],[TradeIn$]])/2*($BP$7+$BP$8+$BP$9)+Power20259[[#This Row],[Shed (ft^2)]]*$BP$12)/Power20259[[#This Row],[Use (hr/yr)]]</f>
        <v>22.170400895376854</v>
      </c>
      <c r="AY17"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8.2222222222222214</v>
      </c>
      <c r="AZ17" s="138">
        <f>Power20259[[#This Row],[Fuel (gal/hph)]]*Power20259[[#This Row],[HP]]</f>
        <v>5.72</v>
      </c>
      <c r="BA17" s="137">
        <f t="shared" si="5"/>
        <v>40.593615760608138</v>
      </c>
      <c r="BB17" s="209"/>
      <c r="BC17" s="125" t="s">
        <v>577</v>
      </c>
      <c r="BD17" s="146">
        <v>0.15</v>
      </c>
      <c r="BE17" s="146">
        <v>1.6</v>
      </c>
      <c r="BF17" s="146">
        <v>2500</v>
      </c>
      <c r="BG17" s="146">
        <v>0.65290000000000004</v>
      </c>
      <c r="BH17" s="146">
        <v>0.15110000000000001</v>
      </c>
      <c r="BI17" s="146">
        <v>0</v>
      </c>
      <c r="BJ17" s="146">
        <v>7.7999999999999996E-3</v>
      </c>
      <c r="BK17" s="122">
        <f t="shared" si="6"/>
        <v>1.525225E-2</v>
      </c>
      <c r="BL17" s="146">
        <v>0.1235</v>
      </c>
      <c r="BM17" s="147"/>
      <c r="BO17" s="122" t="s">
        <v>578</v>
      </c>
      <c r="BP17" s="165">
        <f>BP14*BP16/BP15</f>
        <v>63.71085494716619</v>
      </c>
    </row>
    <row r="18" spans="1:68">
      <c r="B18" s="100" t="str">
        <f>Implements7[[#This Row],[Implement type]]&amp;", "&amp;Implements7[[#This Row],[Width]]&amp;" "&amp;Implements7[[#This Row],[Width Unit]]&amp; ", per "&amp;Implements7[[#This Row],[Use basis]]</f>
        <v>Forage harvester, self-prop pickup head (2X windrows), 24 Ft Folding, per acre</v>
      </c>
      <c r="C18" s="107" t="s">
        <v>459</v>
      </c>
      <c r="D18" s="106">
        <v>24</v>
      </c>
      <c r="E18" s="107" t="s">
        <v>458</v>
      </c>
      <c r="F18" s="106"/>
      <c r="G18" s="107"/>
      <c r="H18" s="108">
        <v>35000</v>
      </c>
      <c r="I18" s="109">
        <v>0.1</v>
      </c>
      <c r="J18" s="195">
        <f t="shared" si="1"/>
        <v>38888.888888888891</v>
      </c>
      <c r="K18" s="306">
        <f>VLOOKUP(Implements7[[#This Row],[ASABEtype]],ASABECoefficients8[],4,FALSE)/Implements7[[#This Row],[Use (hr/yr)]]</f>
        <v>20</v>
      </c>
      <c r="L18" s="106">
        <v>200</v>
      </c>
      <c r="M18" s="111">
        <f t="shared" si="2"/>
        <v>1629.0909090909088</v>
      </c>
      <c r="N18" s="111" t="s">
        <v>706</v>
      </c>
      <c r="O18" s="106" t="s">
        <v>457</v>
      </c>
      <c r="P18" s="106">
        <v>4</v>
      </c>
      <c r="Q18" s="109">
        <v>0.7</v>
      </c>
      <c r="R18" s="109">
        <v>1.1100000000000001</v>
      </c>
      <c r="S18" s="106">
        <v>300</v>
      </c>
      <c r="T18"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0.22858854315593269</v>
      </c>
      <c r="U18" s="113">
        <f>Implements7[[#This Row],[TradeIn%]]*Implements7[[#This Row],[PriceL]]</f>
        <v>8889.5544560640501</v>
      </c>
      <c r="V18" s="114">
        <f>(Implements7[[#This Row],[PriceP]]-Implements7[[#This Row],[TradeIn$]])/Implements7[[#This Row],[Life (yr)]]/Implements7[[#This Row],[Use (hr/yr)]]</f>
        <v>6.5276113859839882</v>
      </c>
      <c r="W18" s="114">
        <f>((Implements7[[#This Row],[PriceP]]+Implements7[[#This Row],[TradeIn$]])/2*($BP$7+$BP$8+$BP$9)+Implements7[[#This Row],[Shed (ft^2)]]*$BP$12)/Implements7[[#This Row],[Use (hr/yr)]]</f>
        <v>11.164392368151782</v>
      </c>
      <c r="X18" s="114">
        <f>Implements7[[#This Row],[PriceL]]*(VLOOKUP(Implements7[[#This Row],[ASABEtype]],$BC$6:$BM$52,2)*(Implements7[[#This Row],[Life (yr)]]*Implements7[[#This Row],[Use (hr/yr)]]/1000)^VLOOKUP(Implements7[[#This Row],[ASABEtype]],$BC$6:$BM$52,3))/Implements7[[#This Row],[Life (yr)]]/Implements7[[#This Row],[Use (hr/yr)]]</f>
        <v>4.666666666666667</v>
      </c>
      <c r="Y18" s="114">
        <f>Implements7[[#This Row],[Depr ($/hr)]]+Implements7[[#This Row],[OH ($/hr)]]</f>
        <v>17.692003754135769</v>
      </c>
      <c r="Z18" s="114">
        <f>(Implements7[[#This Row],[PriceP]]-Implements7[[#This Row],[TradeIn$]])/Implements7[[#This Row],[Life (yr)]]/Implements7[[#This Row],[Use (ac/yr)]]</f>
        <v>0.80138086211857018</v>
      </c>
      <c r="AA18" s="114">
        <f>((Implements7[[#This Row],[PriceP]]+Implements7[[#This Row],[TradeIn$]])/2*($BP$7+$BP$8+$BP$9)+Implements7[[#This Row],[Shed (ft^2)]]*$BP$12)/Implements7[[#This Row],[Use (ac/yr)]]</f>
        <v>1.3706285273400629</v>
      </c>
      <c r="AB18"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0.57291666666666685</v>
      </c>
      <c r="AC18" s="115">
        <f>$BP$18/(Implements7[[#This Row],[Width]]*Implements7[[#This Row],[Speed]]*Implements7[[#This Row],[Efficiency]])</f>
        <v>0.12276785714285716</v>
      </c>
      <c r="AD18" s="116">
        <f>IF(Implements7[[#This Row],[Use basis]]=$N$128,Implements7[[#This Row],[Ownership costs ($/hr)]],SUM(Implements7[[#This Row],[Depr ($/ac)2]:[OH ($/ac)]]))</f>
        <v>2.172009389458633</v>
      </c>
      <c r="AE18" s="118">
        <v>42</v>
      </c>
      <c r="AF18" s="100" t="s">
        <v>454</v>
      </c>
      <c r="AG18" s="116"/>
      <c r="AH18" s="131" t="str">
        <f t="shared" si="3"/>
        <v>160 HP MFWD</v>
      </c>
      <c r="AI18" s="132">
        <v>160</v>
      </c>
      <c r="AJ18" s="106" t="s">
        <v>523</v>
      </c>
      <c r="AK18" s="108">
        <v>260000</v>
      </c>
      <c r="AL18" s="109">
        <v>0.1</v>
      </c>
      <c r="AM18" s="133">
        <f t="shared" si="4"/>
        <v>288888.88888888888</v>
      </c>
      <c r="AN18" s="215">
        <f>VLOOKUP(Power20259[[#This Row],[ASABEtype]],$BC$6:$BM$52,4,FALSE)</f>
        <v>8000</v>
      </c>
      <c r="AO18" s="199"/>
      <c r="AP18" s="307">
        <f>VLOOKUP(Power20259[[#This Row],[ASABEtype]],ASABECoefficients8[],4,FALSE)/Power20259[[#This Row],[Use (hr/yr)]]*(1-Power20259[[#This Row],[Life used (%)]])</f>
        <v>16</v>
      </c>
      <c r="AQ18" s="106">
        <v>500</v>
      </c>
      <c r="AR18" s="106">
        <v>4.3999999999999997E-2</v>
      </c>
      <c r="AS18" s="106" t="s">
        <v>524</v>
      </c>
      <c r="AT18" s="106">
        <v>200</v>
      </c>
      <c r="AU18"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0.20936899110935328</v>
      </c>
      <c r="AV18" s="135">
        <f>Power20259[[#This Row],[TradeIn%]]*Power20259[[#This Row],[PriceL]]</f>
        <v>60484.375209368722</v>
      </c>
      <c r="AW18" s="137">
        <f>(Power20259[[#This Row],[PriceP]]-Power20259[[#This Row],[TradeIn$]])/Power20259[[#This Row],[Life (yr)]]/Power20259[[#This Row],[Use (hr/yr)]]</f>
        <v>24.939453098828913</v>
      </c>
      <c r="AX18" s="308">
        <f>((Power20259[[#This Row],[PriceP]]+Power20259[[#This Row],[TradeIn$]])/2*($BP$7+$BP$8+$BP$9)+Power20259[[#This Row],[Shed (ft^2)]]*$BP$12)/Power20259[[#This Row],[Use (hr/yr)]]</f>
        <v>28.750554791295158</v>
      </c>
      <c r="AY18"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11.555555555555555</v>
      </c>
      <c r="AZ18" s="138">
        <f>Power20259[[#This Row],[Fuel (gal/hph)]]*Power20259[[#This Row],[HP]]</f>
        <v>7.0399999999999991</v>
      </c>
      <c r="BA18" s="137">
        <f t="shared" si="5"/>
        <v>53.690007890124072</v>
      </c>
      <c r="BB18" s="209"/>
      <c r="BC18" s="125" t="s">
        <v>457</v>
      </c>
      <c r="BD18" s="146">
        <v>0.03</v>
      </c>
      <c r="BE18" s="146">
        <v>2</v>
      </c>
      <c r="BF18" s="146">
        <v>4000</v>
      </c>
      <c r="BG18" s="146">
        <v>0.65290000000000004</v>
      </c>
      <c r="BH18" s="146">
        <v>0.15110000000000001</v>
      </c>
      <c r="BI18" s="146">
        <v>0</v>
      </c>
      <c r="BJ18" s="146">
        <v>7.7999999999999996E-3</v>
      </c>
      <c r="BK18" s="122">
        <f t="shared" si="6"/>
        <v>1.525225E-2</v>
      </c>
      <c r="BL18" s="146">
        <v>0.1235</v>
      </c>
      <c r="BM18" s="147"/>
      <c r="BO18" s="122" t="s">
        <v>579</v>
      </c>
      <c r="BP18" s="146">
        <v>8.25</v>
      </c>
    </row>
    <row r="19" spans="1:68">
      <c r="B19" s="100" t="str">
        <f>Implements7[[#This Row],[Implement type]]&amp;", "&amp;Implements7[[#This Row],[Width]]&amp;" "&amp;Implements7[[#This Row],[Width Unit]]&amp; ", per "&amp;Implements7[[#This Row],[Use basis]]</f>
        <v>Forage harvester, self-prop pickup head, 12 Ft, per acre</v>
      </c>
      <c r="C19" s="107" t="s">
        <v>460</v>
      </c>
      <c r="D19" s="106">
        <v>12</v>
      </c>
      <c r="E19" s="107" t="s">
        <v>439</v>
      </c>
      <c r="F19" s="106"/>
      <c r="G19" s="107"/>
      <c r="H19" s="108">
        <v>35000</v>
      </c>
      <c r="I19" s="109">
        <v>0.1</v>
      </c>
      <c r="J19" s="195">
        <f t="shared" si="1"/>
        <v>38888.888888888891</v>
      </c>
      <c r="K19" s="306">
        <f>VLOOKUP(Implements7[[#This Row],[ASABEtype]],ASABECoefficients8[],4,FALSE)/Implements7[[#This Row],[Use (hr/yr)]]</f>
        <v>20</v>
      </c>
      <c r="L19" s="106">
        <v>200</v>
      </c>
      <c r="M19" s="111">
        <f t="shared" si="2"/>
        <v>814.54545454545439</v>
      </c>
      <c r="N19" s="111" t="s">
        <v>706</v>
      </c>
      <c r="O19" s="106" t="s">
        <v>457</v>
      </c>
      <c r="P19" s="106">
        <v>4</v>
      </c>
      <c r="Q19" s="109">
        <v>0.7</v>
      </c>
      <c r="R19" s="109">
        <v>1.1100000000000001</v>
      </c>
      <c r="S19" s="106">
        <v>300</v>
      </c>
      <c r="T19"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0.22858854315593269</v>
      </c>
      <c r="U19" s="113">
        <f>Implements7[[#This Row],[TradeIn%]]*Implements7[[#This Row],[PriceL]]</f>
        <v>8889.5544560640501</v>
      </c>
      <c r="V19" s="114">
        <f>(Implements7[[#This Row],[PriceP]]-Implements7[[#This Row],[TradeIn$]])/Implements7[[#This Row],[Life (yr)]]/Implements7[[#This Row],[Use (hr/yr)]]</f>
        <v>6.5276113859839882</v>
      </c>
      <c r="W19" s="114">
        <f>((Implements7[[#This Row],[PriceP]]+Implements7[[#This Row],[TradeIn$]])/2*($BP$7+$BP$8+$BP$9)+Implements7[[#This Row],[Shed (ft^2)]]*$BP$12)/Implements7[[#This Row],[Use (hr/yr)]]</f>
        <v>11.164392368151782</v>
      </c>
      <c r="X19" s="114">
        <f>Implements7[[#This Row],[PriceL]]*(VLOOKUP(Implements7[[#This Row],[ASABEtype]],$BC$6:$BM$52,2)*(Implements7[[#This Row],[Life (yr)]]*Implements7[[#This Row],[Use (hr/yr)]]/1000)^VLOOKUP(Implements7[[#This Row],[ASABEtype]],$BC$6:$BM$52,3))/Implements7[[#This Row],[Life (yr)]]/Implements7[[#This Row],[Use (hr/yr)]]</f>
        <v>4.666666666666667</v>
      </c>
      <c r="Y19" s="114">
        <f>Implements7[[#This Row],[Depr ($/hr)]]+Implements7[[#This Row],[OH ($/hr)]]</f>
        <v>17.692003754135769</v>
      </c>
      <c r="Z19" s="114">
        <f>(Implements7[[#This Row],[PriceP]]-Implements7[[#This Row],[TradeIn$]])/Implements7[[#This Row],[Life (yr)]]/Implements7[[#This Row],[Use (ac/yr)]]</f>
        <v>1.6027617242371404</v>
      </c>
      <c r="AA19" s="114">
        <f>((Implements7[[#This Row],[PriceP]]+Implements7[[#This Row],[TradeIn$]])/2*($BP$7+$BP$8+$BP$9)+Implements7[[#This Row],[Shed (ft^2)]]*$BP$12)/Implements7[[#This Row],[Use (ac/yr)]]</f>
        <v>2.7412570546801258</v>
      </c>
      <c r="AB19"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1.1458333333333337</v>
      </c>
      <c r="AC19" s="115">
        <f>$BP$18/(Implements7[[#This Row],[Width]]*Implements7[[#This Row],[Speed]]*Implements7[[#This Row],[Efficiency]])</f>
        <v>0.24553571428571433</v>
      </c>
      <c r="AD19" s="116">
        <f>IF(Implements7[[#This Row],[Use basis]]=$N$128,Implements7[[#This Row],[Ownership costs ($/hr)]],SUM(Implements7[[#This Row],[Depr ($/ac)2]:[OH ($/ac)]]))</f>
        <v>4.344018778917266</v>
      </c>
      <c r="AE19" s="118">
        <v>41</v>
      </c>
      <c r="AF19" s="100" t="s">
        <v>454</v>
      </c>
      <c r="AG19" s="116"/>
      <c r="AH19" s="131" t="str">
        <f t="shared" si="3"/>
        <v>200 HP MFWD</v>
      </c>
      <c r="AI19" s="132">
        <v>200</v>
      </c>
      <c r="AJ19" s="106" t="s">
        <v>523</v>
      </c>
      <c r="AK19" s="108">
        <v>325000</v>
      </c>
      <c r="AL19" s="109">
        <v>0.1</v>
      </c>
      <c r="AM19" s="133">
        <f t="shared" si="4"/>
        <v>361111.11111111112</v>
      </c>
      <c r="AN19" s="215">
        <f>VLOOKUP(Power20259[[#This Row],[ASABEtype]],$BC$6:$BM$52,4,FALSE)</f>
        <v>8000</v>
      </c>
      <c r="AO19" s="199"/>
      <c r="AP19" s="307">
        <f>VLOOKUP(Power20259[[#This Row],[ASABEtype]],ASABECoefficients8[],4,FALSE)/Power20259[[#This Row],[Use (hr/yr)]]*(1-Power20259[[#This Row],[Life used (%)]])</f>
        <v>16</v>
      </c>
      <c r="AQ19" s="106">
        <v>500</v>
      </c>
      <c r="AR19" s="106">
        <v>4.3999999999999997E-2</v>
      </c>
      <c r="AS19" s="106" t="s">
        <v>524</v>
      </c>
      <c r="AT19" s="106">
        <v>210</v>
      </c>
      <c r="AU19"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0.20936899110935328</v>
      </c>
      <c r="AV19" s="135">
        <f>Power20259[[#This Row],[TradeIn%]]*Power20259[[#This Row],[PriceL]]</f>
        <v>75605.469011710913</v>
      </c>
      <c r="AW19" s="137">
        <f>(Power20259[[#This Row],[PriceP]]-Power20259[[#This Row],[TradeIn$]])/Power20259[[#This Row],[Life (yr)]]/Power20259[[#This Row],[Use (hr/yr)]]</f>
        <v>31.174316373536136</v>
      </c>
      <c r="AX19" s="308">
        <f>((Power20259[[#This Row],[PriceP]]+Power20259[[#This Row],[TradeIn$]])/2*($BP$7+$BP$8+$BP$9)+Power20259[[#This Row],[Shed (ft^2)]]*$BP$12)/Power20259[[#This Row],[Use (hr/yr)]]</f>
        <v>35.860655972065736</v>
      </c>
      <c r="AY19"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14.444444444444445</v>
      </c>
      <c r="AZ19" s="138">
        <f>Power20259[[#This Row],[Fuel (gal/hph)]]*Power20259[[#This Row],[HP]]</f>
        <v>8.7999999999999989</v>
      </c>
      <c r="BA19" s="137">
        <f t="shared" si="5"/>
        <v>67.034972345601872</v>
      </c>
      <c r="BB19" s="209"/>
      <c r="BC19" s="125" t="s">
        <v>580</v>
      </c>
      <c r="BD19" s="146">
        <v>0.16</v>
      </c>
      <c r="BE19" s="146">
        <v>1.6</v>
      </c>
      <c r="BF19" s="146">
        <v>2000</v>
      </c>
      <c r="BG19" s="146">
        <v>0.80910000000000004</v>
      </c>
      <c r="BH19" s="146">
        <v>0.1109</v>
      </c>
      <c r="BI19" s="146">
        <v>0</v>
      </c>
      <c r="BJ19" s="146">
        <v>1.4E-3</v>
      </c>
      <c r="BK19" s="122">
        <f t="shared" si="6"/>
        <v>1.605289E-2</v>
      </c>
      <c r="BL19" s="146">
        <v>0.12670000000000001</v>
      </c>
      <c r="BM19" s="147"/>
    </row>
    <row r="20" spans="1:68">
      <c r="B20" s="100" t="str">
        <f>Implements7[[#This Row],[Implement type]]&amp;", "&amp;Implements7[[#This Row],[Width]]&amp;" "&amp;Implements7[[#This Row],[Width Unit]]&amp; ", per "&amp;Implements7[[#This Row],[Use basis]]</f>
        <v>Combine belt pickup hd, 23 Ft, per acre</v>
      </c>
      <c r="C20" s="107" t="s">
        <v>461</v>
      </c>
      <c r="D20" s="106">
        <v>23</v>
      </c>
      <c r="E20" s="107" t="s">
        <v>439</v>
      </c>
      <c r="F20" s="106"/>
      <c r="G20" s="107"/>
      <c r="H20" s="108">
        <v>56000</v>
      </c>
      <c r="I20" s="109">
        <v>0.2</v>
      </c>
      <c r="J20" s="195">
        <f t="shared" si="1"/>
        <v>70000</v>
      </c>
      <c r="K20" s="306">
        <f>VLOOKUP(Implements7[[#This Row],[ASABEtype]],ASABECoefficients8[],4,FALSE)/Implements7[[#This Row],[Use (hr/yr)]]</f>
        <v>30</v>
      </c>
      <c r="L20" s="108">
        <v>100</v>
      </c>
      <c r="M20" s="111">
        <f t="shared" si="2"/>
        <v>878.18181818181802</v>
      </c>
      <c r="N20" s="111" t="s">
        <v>706</v>
      </c>
      <c r="O20" s="106" t="s">
        <v>462</v>
      </c>
      <c r="P20" s="106">
        <v>4.5</v>
      </c>
      <c r="Q20" s="109">
        <v>0.7</v>
      </c>
      <c r="R20" s="109">
        <v>1.1100000000000001</v>
      </c>
      <c r="S20" s="106">
        <v>75</v>
      </c>
      <c r="T20"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4.3347921998773851E-3</v>
      </c>
      <c r="U20" s="113">
        <f>Implements7[[#This Row],[TradeIn%]]*Implements7[[#This Row],[PriceL]]</f>
        <v>303.43545399141698</v>
      </c>
      <c r="V20" s="114">
        <f>(Implements7[[#This Row],[PriceP]]-Implements7[[#This Row],[TradeIn$]])/Implements7[[#This Row],[Life (yr)]]/Implements7[[#This Row],[Use (hr/yr)]]</f>
        <v>18.565521515336194</v>
      </c>
      <c r="W20" s="114">
        <f>((Implements7[[#This Row],[PriceP]]+Implements7[[#This Row],[TradeIn$]])/2*($BP$7+$BP$8+$BP$9)+Implements7[[#This Row],[Shed (ft^2)]]*$BP$12)/Implements7[[#This Row],[Use (hr/yr)]]</f>
        <v>25.641184410765007</v>
      </c>
      <c r="X20" s="114">
        <f>Implements7[[#This Row],[PriceL]]*(VLOOKUP(Implements7[[#This Row],[ASABEtype]],$BC$6:$BM$52,2)*(Implements7[[#This Row],[Life (yr)]]*Implements7[[#This Row],[Use (hr/yr)]]/1000)^VLOOKUP(Implements7[[#This Row],[ASABEtype]],$BC$6:$BM$52,3))/Implements7[[#This Row],[Life (yr)]]/Implements7[[#This Row],[Use (hr/yr)]]</f>
        <v>9.3754346618848032</v>
      </c>
      <c r="Y20" s="114">
        <f>Implements7[[#This Row],[Depr ($/hr)]]+Implements7[[#This Row],[OH ($/hr)]]</f>
        <v>44.206705926101201</v>
      </c>
      <c r="Z20" s="114">
        <f>(Implements7[[#This Row],[PriceP]]-Implements7[[#This Row],[TradeIn$]])/Implements7[[#This Row],[Life (yr)]]/Implements7[[#This Row],[Use (ac/yr)]]</f>
        <v>2.1140863009182005</v>
      </c>
      <c r="AA20" s="114">
        <f>((Implements7[[#This Row],[PriceP]]+Implements7[[#This Row],[TradeIn$]])/2*($BP$7+$BP$8+$BP$9)+Implements7[[#This Row],[Shed (ft^2)]]*$BP$12)/Implements7[[#This Row],[Use (ac/yr)]]</f>
        <v>2.9198036078510885</v>
      </c>
      <c r="AB20"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1.067596079510692</v>
      </c>
      <c r="AC20" s="115">
        <f>$BP$18/(Implements7[[#This Row],[Width]]*Implements7[[#This Row],[Speed]]*Implements7[[#This Row],[Efficiency]])</f>
        <v>0.11387163561076606</v>
      </c>
      <c r="AD20" s="116">
        <f>IF(Implements7[[#This Row],[Use basis]]=$N$128,Implements7[[#This Row],[Ownership costs ($/hr)]],SUM(Implements7[[#This Row],[Depr ($/ac)2]:[OH ($/ac)]]))</f>
        <v>5.0338899087692894</v>
      </c>
      <c r="AE20" s="118">
        <v>53</v>
      </c>
      <c r="AF20" s="100" t="s">
        <v>463</v>
      </c>
      <c r="AG20" s="116"/>
      <c r="AH20" s="131" t="str">
        <f t="shared" si="3"/>
        <v>280 HP MFWD</v>
      </c>
      <c r="AI20" s="132">
        <v>280</v>
      </c>
      <c r="AJ20" s="106" t="s">
        <v>523</v>
      </c>
      <c r="AK20" s="108">
        <v>360000</v>
      </c>
      <c r="AL20" s="109">
        <v>0.1</v>
      </c>
      <c r="AM20" s="133">
        <f t="shared" si="4"/>
        <v>400000</v>
      </c>
      <c r="AN20" s="215">
        <f>VLOOKUP(Power20259[[#This Row],[ASABEtype]],$BC$6:$BM$52,4,FALSE)</f>
        <v>8000</v>
      </c>
      <c r="AO20" s="199"/>
      <c r="AP20" s="307">
        <f>VLOOKUP(Power20259[[#This Row],[ASABEtype]],ASABECoefficients8[],4,FALSE)/Power20259[[#This Row],[Use (hr/yr)]]*(1-Power20259[[#This Row],[Life used (%)]])</f>
        <v>16</v>
      </c>
      <c r="AQ20" s="106">
        <v>500</v>
      </c>
      <c r="AR20" s="106">
        <v>4.3999999999999997E-2</v>
      </c>
      <c r="AS20" s="106" t="s">
        <v>524</v>
      </c>
      <c r="AT20" s="106">
        <v>250</v>
      </c>
      <c r="AU20"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0.20936899110935328</v>
      </c>
      <c r="AV20" s="135">
        <f>Power20259[[#This Row],[TradeIn%]]*Power20259[[#This Row],[PriceL]]</f>
        <v>83747.596443741306</v>
      </c>
      <c r="AW20" s="137">
        <f>(Power20259[[#This Row],[PriceP]]-Power20259[[#This Row],[TradeIn$]])/Power20259[[#This Row],[Life (yr)]]/Power20259[[#This Row],[Use (hr/yr)]]</f>
        <v>34.531550444532336</v>
      </c>
      <c r="AX20" s="308">
        <f>((Power20259[[#This Row],[PriceP]]+Power20259[[#This Row],[TradeIn$]])/2*($BP$7+$BP$8+$BP$9)+Power20259[[#This Row],[Shed (ft^2)]]*$BP$12)/Power20259[[#This Row],[Use (hr/yr)]]</f>
        <v>39.756271766853637</v>
      </c>
      <c r="AY20"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16</v>
      </c>
      <c r="AZ20" s="138">
        <f>Power20259[[#This Row],[Fuel (gal/hph)]]*Power20259[[#This Row],[HP]]</f>
        <v>12.319999999999999</v>
      </c>
      <c r="BA20" s="137">
        <f t="shared" si="5"/>
        <v>74.287822211385972</v>
      </c>
      <c r="BB20" s="209"/>
      <c r="BC20" s="125" t="s">
        <v>526</v>
      </c>
      <c r="BD20" s="146">
        <v>3.0000000000000001E-3</v>
      </c>
      <c r="BE20" s="146">
        <v>2</v>
      </c>
      <c r="BF20" s="146">
        <v>10000</v>
      </c>
      <c r="BG20" s="146">
        <v>0.86409999999999998</v>
      </c>
      <c r="BH20" s="146">
        <v>0.15640000000000001</v>
      </c>
      <c r="BI20" s="146">
        <v>3.3999999999999998E-3</v>
      </c>
      <c r="BJ20" s="146">
        <v>4.5999999999999999E-3</v>
      </c>
      <c r="BK20" s="122">
        <f t="shared" si="6"/>
        <v>7.3959999999999989E-3</v>
      </c>
      <c r="BL20" s="146">
        <v>8.5999999999999993E-2</v>
      </c>
      <c r="BM20" s="147"/>
    </row>
    <row r="21" spans="1:68">
      <c r="B21" s="100" t="str">
        <f>Implements7[[#This Row],[Implement type]]&amp;", "&amp;Implements7[[#This Row],[Width]]&amp;" "&amp;Implements7[[#This Row],[Width Unit]]&amp; ", per "&amp;Implements7[[#This Row],[Use basis]]</f>
        <v>Combine chopping corn hd, 20 Ft, per acre</v>
      </c>
      <c r="C21" s="107" t="s">
        <v>464</v>
      </c>
      <c r="D21" s="106">
        <v>20</v>
      </c>
      <c r="E21" s="107" t="s">
        <v>439</v>
      </c>
      <c r="F21" s="106">
        <v>8</v>
      </c>
      <c r="G21" s="107" t="s">
        <v>453</v>
      </c>
      <c r="H21" s="108">
        <v>112500</v>
      </c>
      <c r="I21" s="109">
        <v>0.2</v>
      </c>
      <c r="J21" s="195">
        <f t="shared" si="1"/>
        <v>140625</v>
      </c>
      <c r="K21" s="306">
        <f>VLOOKUP(Implements7[[#This Row],[ASABEtype]],ASABECoefficients8[],4,FALSE)/Implements7[[#This Row],[Use (hr/yr)]]</f>
        <v>15</v>
      </c>
      <c r="L21" s="106">
        <v>200</v>
      </c>
      <c r="M21" s="111">
        <f t="shared" si="2"/>
        <v>1527.272727272727</v>
      </c>
      <c r="N21" s="111" t="s">
        <v>706</v>
      </c>
      <c r="O21" s="106" t="s">
        <v>462</v>
      </c>
      <c r="P21" s="106">
        <v>4.5</v>
      </c>
      <c r="Q21" s="109">
        <v>0.7</v>
      </c>
      <c r="R21" s="109">
        <v>1.1100000000000001</v>
      </c>
      <c r="S21" s="106">
        <v>160</v>
      </c>
      <c r="T21"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9.8121344041342901E-2</v>
      </c>
      <c r="U21" s="113">
        <f>Implements7[[#This Row],[TradeIn%]]*Implements7[[#This Row],[PriceL]]</f>
        <v>13798.314005813845</v>
      </c>
      <c r="V21" s="114">
        <f>(Implements7[[#This Row],[PriceP]]-Implements7[[#This Row],[TradeIn$]])/Implements7[[#This Row],[Life (yr)]]/Implements7[[#This Row],[Use (hr/yr)]]</f>
        <v>32.900561998062045</v>
      </c>
      <c r="W21" s="114">
        <f>((Implements7[[#This Row],[PriceP]]+Implements7[[#This Row],[TradeIn$]])/2*($BP$7+$BP$8+$BP$9)+Implements7[[#This Row],[Shed (ft^2)]]*$BP$12)/Implements7[[#This Row],[Use (hr/yr)]]</f>
        <v>28.718877144318377</v>
      </c>
      <c r="X21" s="114">
        <f>Implements7[[#This Row],[PriceL]]*(VLOOKUP(Implements7[[#This Row],[ASABEtype]],$BC$6:$BM$52,2)*(Implements7[[#This Row],[Life (yr)]]*Implements7[[#This Row],[Use (hr/yr)]]/1000)^VLOOKUP(Implements7[[#This Row],[ASABEtype]],$BC$6:$BM$52,3))/Implements7[[#This Row],[Life (yr)]]/Implements7[[#This Row],[Use (hr/yr)]]</f>
        <v>18.834578561822148</v>
      </c>
      <c r="Y21" s="114">
        <f>Implements7[[#This Row],[Depr ($/hr)]]+Implements7[[#This Row],[OH ($/hr)]]</f>
        <v>61.619439142380422</v>
      </c>
      <c r="Z21" s="114">
        <f>(Implements7[[#This Row],[PriceP]]-Implements7[[#This Row],[TradeIn$]])/Implements7[[#This Row],[Life (yr)]]/Implements7[[#This Row],[Use (ac/yr)]]</f>
        <v>4.30840692831765</v>
      </c>
      <c r="AA21" s="114">
        <f>((Implements7[[#This Row],[PriceP]]+Implements7[[#This Row],[TradeIn$]])/2*($BP$7+$BP$8+$BP$9)+Implements7[[#This Row],[Shed (ft^2)]]*$BP$12)/Implements7[[#This Row],[Use (ac/yr)]]</f>
        <v>3.7608053403274071</v>
      </c>
      <c r="AB21"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2.4664329069052817</v>
      </c>
      <c r="AC21" s="115">
        <f>$BP$18/(Implements7[[#This Row],[Width]]*Implements7[[#This Row],[Speed]]*Implements7[[#This Row],[Efficiency]])</f>
        <v>0.13095238095238096</v>
      </c>
      <c r="AD21" s="116">
        <f>IF(Implements7[[#This Row],[Use basis]]=$N$128,Implements7[[#This Row],[Ownership costs ($/hr)]],SUM(Implements7[[#This Row],[Depr ($/ac)2]:[OH ($/ac)]]))</f>
        <v>8.0692122686450567</v>
      </c>
      <c r="AE21" s="118">
        <v>48</v>
      </c>
      <c r="AF21" s="100" t="s">
        <v>463</v>
      </c>
      <c r="AG21" s="116"/>
      <c r="AH21" s="131" t="str">
        <f>CONCATENATE(AI21&amp;" "&amp;AJ21)</f>
        <v>340 HP MFWD</v>
      </c>
      <c r="AI21" s="132">
        <v>340</v>
      </c>
      <c r="AJ21" s="106" t="s">
        <v>523</v>
      </c>
      <c r="AK21" s="108">
        <v>420000</v>
      </c>
      <c r="AL21" s="109">
        <v>0.1</v>
      </c>
      <c r="AM21" s="133">
        <f t="shared" si="4"/>
        <v>466666.66666666663</v>
      </c>
      <c r="AN21" s="215">
        <f>VLOOKUP(Power20259[[#This Row],[ASABEtype]],$BC$6:$BM$52,4,FALSE)</f>
        <v>8000</v>
      </c>
      <c r="AO21" s="199"/>
      <c r="AP21" s="307">
        <f>VLOOKUP(Power20259[[#This Row],[ASABEtype]],ASABECoefficients8[],4,FALSE)/Power20259[[#This Row],[Use (hr/yr)]]*(1-Power20259[[#This Row],[Life used (%)]])</f>
        <v>16</v>
      </c>
      <c r="AQ21" s="106">
        <v>500</v>
      </c>
      <c r="AR21" s="106">
        <v>4.3999999999999997E-2</v>
      </c>
      <c r="AS21" s="106" t="s">
        <v>524</v>
      </c>
      <c r="AT21" s="106">
        <v>250</v>
      </c>
      <c r="AU21"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0.20936899110935328</v>
      </c>
      <c r="AV21" s="135">
        <f>Power20259[[#This Row],[TradeIn%]]*Power20259[[#This Row],[PriceL]]</f>
        <v>97705.529184364859</v>
      </c>
      <c r="AW21" s="137">
        <f>(Power20259[[#This Row],[PriceP]]-Power20259[[#This Row],[TradeIn$]])/Power20259[[#This Row],[Life (yr)]]/Power20259[[#This Row],[Use (hr/yr)]]</f>
        <v>40.286808851954397</v>
      </c>
      <c r="AX21" s="308">
        <f>((Power20259[[#This Row],[PriceP]]+Power20259[[#This Row],[TradeIn$]])/2*($BP$7+$BP$8+$BP$9)+Power20259[[#This Row],[Shed (ft^2)]]*$BP$12)/Power20259[[#This Row],[Use (hr/yr)]]</f>
        <v>46.301548814398821</v>
      </c>
      <c r="AY21"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18.666666666666664</v>
      </c>
      <c r="AZ21" s="138">
        <f>Power20259[[#This Row],[Fuel (gal/hph)]]*Power20259[[#This Row],[HP]]</f>
        <v>14.959999999999999</v>
      </c>
      <c r="BA21" s="137">
        <f t="shared" si="5"/>
        <v>86.588357666353218</v>
      </c>
      <c r="BB21" s="209"/>
      <c r="BC21" s="125" t="s">
        <v>496</v>
      </c>
      <c r="BD21" s="146">
        <v>0.32</v>
      </c>
      <c r="BE21" s="146">
        <v>2.1</v>
      </c>
      <c r="BF21" s="146">
        <v>1500</v>
      </c>
      <c r="BG21" s="146">
        <v>1.2211000000000001</v>
      </c>
      <c r="BH21" s="146">
        <v>0.17369999999999999</v>
      </c>
      <c r="BI21" s="146">
        <v>0</v>
      </c>
      <c r="BJ21" s="146">
        <v>-1.6999999999999999E-3</v>
      </c>
      <c r="BK21" s="122">
        <f t="shared" si="6"/>
        <v>1.5976960000000002E-2</v>
      </c>
      <c r="BL21" s="146">
        <v>0.12640000000000001</v>
      </c>
      <c r="BM21" s="147"/>
    </row>
    <row r="22" spans="1:68">
      <c r="B22" s="100" t="str">
        <f>Implements7[[#This Row],[Implement type]]&amp;", "&amp;Implements7[[#This Row],[Width]]&amp;" "&amp;Implements7[[#This Row],[Width Unit]]&amp; ", per "&amp;Implements7[[#This Row],[Use basis]]</f>
        <v>Combine chopping corn hd, 22 Ft, per acre</v>
      </c>
      <c r="C22" s="107" t="s">
        <v>464</v>
      </c>
      <c r="D22" s="106">
        <v>22</v>
      </c>
      <c r="E22" s="107" t="s">
        <v>439</v>
      </c>
      <c r="F22" s="106">
        <v>12</v>
      </c>
      <c r="G22" s="107" t="s">
        <v>453</v>
      </c>
      <c r="H22" s="108">
        <v>160000</v>
      </c>
      <c r="I22" s="109">
        <v>0.2</v>
      </c>
      <c r="J22" s="195">
        <f t="shared" si="1"/>
        <v>200000</v>
      </c>
      <c r="K22" s="306">
        <f>VLOOKUP(Implements7[[#This Row],[ASABEtype]],ASABECoefficients8[],4,FALSE)/Implements7[[#This Row],[Use (hr/yr)]]</f>
        <v>15</v>
      </c>
      <c r="L22" s="106">
        <v>200</v>
      </c>
      <c r="M22" s="111">
        <f t="shared" si="2"/>
        <v>1680</v>
      </c>
      <c r="N22" s="111" t="s">
        <v>706</v>
      </c>
      <c r="O22" s="106" t="s">
        <v>462</v>
      </c>
      <c r="P22" s="106">
        <v>4.5</v>
      </c>
      <c r="Q22" s="109">
        <v>0.7</v>
      </c>
      <c r="R22" s="109">
        <v>1.1100000000000001</v>
      </c>
      <c r="S22" s="106">
        <v>160</v>
      </c>
      <c r="T22"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9.8121344041342901E-2</v>
      </c>
      <c r="U22" s="113">
        <f>Implements7[[#This Row],[TradeIn%]]*Implements7[[#This Row],[PriceL]]</f>
        <v>19624.268808268582</v>
      </c>
      <c r="V22" s="114">
        <f>(Implements7[[#This Row],[PriceP]]-Implements7[[#This Row],[TradeIn$]])/Implements7[[#This Row],[Life (yr)]]/Implements7[[#This Row],[Use (hr/yr)]]</f>
        <v>46.791910397243804</v>
      </c>
      <c r="W22" s="114">
        <f>((Implements7[[#This Row],[PriceP]]+Implements7[[#This Row],[TradeIn$]])/2*($BP$7+$BP$8+$BP$9)+Implements7[[#This Row],[Shed (ft^2)]]*$BP$12)/Implements7[[#This Row],[Use (hr/yr)]]</f>
        <v>40.517244644361483</v>
      </c>
      <c r="X22" s="114">
        <f>Implements7[[#This Row],[PriceL]]*(VLOOKUP(Implements7[[#This Row],[ASABEtype]],$BC$6:$BM$52,2)*(Implements7[[#This Row],[Life (yr)]]*Implements7[[#This Row],[Use (hr/yr)]]/1000)^VLOOKUP(Implements7[[#This Row],[ASABEtype]],$BC$6:$BM$52,3))/Implements7[[#This Row],[Life (yr)]]/Implements7[[#This Row],[Use (hr/yr)]]</f>
        <v>26.786956176813714</v>
      </c>
      <c r="Y22" s="114">
        <f>Implements7[[#This Row],[Depr ($/hr)]]+Implements7[[#This Row],[OH ($/hr)]]</f>
        <v>87.309155041605294</v>
      </c>
      <c r="Z22" s="114">
        <f>(Implements7[[#This Row],[PriceP]]-Implements7[[#This Row],[TradeIn$]])/Implements7[[#This Row],[Life (yr)]]/Implements7[[#This Row],[Use (ac/yr)]]</f>
        <v>5.5704655234814044</v>
      </c>
      <c r="AA22" s="114">
        <f>((Implements7[[#This Row],[PriceP]]+Implements7[[#This Row],[TradeIn$]])/2*($BP$7+$BP$8+$BP$9)+Implements7[[#This Row],[Shed (ft^2)]]*$BP$12)/Implements7[[#This Row],[Use (ac/yr)]]</f>
        <v>4.8234815052811291</v>
      </c>
      <c r="AB22"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3.188923354382585</v>
      </c>
      <c r="AC22" s="115">
        <f>$BP$18/(Implements7[[#This Row],[Width]]*Implements7[[#This Row],[Speed]]*Implements7[[#This Row],[Efficiency]])</f>
        <v>0.11904761904761905</v>
      </c>
      <c r="AD22" s="116">
        <f>IF(Implements7[[#This Row],[Use basis]]=$N$128,Implements7[[#This Row],[Ownership costs ($/hr)]],SUM(Implements7[[#This Row],[Depr ($/ac)2]:[OH ($/ac)]]))</f>
        <v>10.393947028762533</v>
      </c>
      <c r="AE22" s="118">
        <v>52</v>
      </c>
      <c r="AF22" s="100" t="s">
        <v>463</v>
      </c>
      <c r="AG22" s="116"/>
      <c r="AH22" s="131" t="str">
        <f>CONCATENATE(AI22&amp;" "&amp;AJ22)</f>
        <v>350 HP 4WD</v>
      </c>
      <c r="AI22" s="132">
        <v>350</v>
      </c>
      <c r="AJ22" s="106" t="s">
        <v>525</v>
      </c>
      <c r="AK22" s="108">
        <v>425000</v>
      </c>
      <c r="AL22" s="109">
        <v>0.1</v>
      </c>
      <c r="AM22" s="133">
        <f t="shared" si="4"/>
        <v>472222.22222222219</v>
      </c>
      <c r="AN22" s="215">
        <f>VLOOKUP(Power20259[[#This Row],[ASABEtype]],$BC$6:$BM$52,4,FALSE)</f>
        <v>10000</v>
      </c>
      <c r="AO22" s="199"/>
      <c r="AP22" s="307">
        <f>VLOOKUP(Power20259[[#This Row],[ASABEtype]],ASABECoefficients8[],4,FALSE)/Power20259[[#This Row],[Use (hr/yr)]]*(1-Power20259[[#This Row],[Life used (%)]])</f>
        <v>20</v>
      </c>
      <c r="AQ22" s="106">
        <v>500</v>
      </c>
      <c r="AR22" s="106">
        <v>4.3999999999999997E-2</v>
      </c>
      <c r="AS22" s="106" t="s">
        <v>526</v>
      </c>
      <c r="AT22" s="106">
        <v>250</v>
      </c>
      <c r="AU22"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0.14754507950180037</v>
      </c>
      <c r="AV22" s="135">
        <f>Power20259[[#This Row],[TradeIn%]]*Power20259[[#This Row],[PriceL]]</f>
        <v>69674.065320294612</v>
      </c>
      <c r="AW22" s="137">
        <f>(Power20259[[#This Row],[PriceP]]-Power20259[[#This Row],[TradeIn$]])/Power20259[[#This Row],[Life (yr)]]/Power20259[[#This Row],[Use (hr/yr)]]</f>
        <v>35.532593467970536</v>
      </c>
      <c r="AX22" s="308">
        <f>((Power20259[[#This Row],[PriceP]]+Power20259[[#This Row],[TradeIn$]])/2*($BP$7+$BP$8+$BP$9)+Power20259[[#This Row],[Shed (ft^2)]]*$BP$12)/Power20259[[#This Row],[Use (hr/yr)]]</f>
        <v>44.263264262428599</v>
      </c>
      <c r="AY22"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14.166666666666666</v>
      </c>
      <c r="AZ22" s="138">
        <f>Power20259[[#This Row],[Fuel (gal/hph)]]*Power20259[[#This Row],[HP]]</f>
        <v>15.399999999999999</v>
      </c>
      <c r="BA22" s="137">
        <f t="shared" si="5"/>
        <v>79.795857730399135</v>
      </c>
      <c r="BB22" s="209"/>
      <c r="BC22" s="125" t="s">
        <v>581</v>
      </c>
      <c r="BD22" s="146">
        <v>0.18</v>
      </c>
      <c r="BE22" s="146">
        <v>1.7</v>
      </c>
      <c r="BF22" s="146">
        <v>2000</v>
      </c>
      <c r="BG22" s="146">
        <v>0.71940000000000004</v>
      </c>
      <c r="BH22" s="146">
        <v>0.11020000000000001</v>
      </c>
      <c r="BI22" s="146">
        <v>0</v>
      </c>
      <c r="BJ22" s="146">
        <v>3.0000000000000001E-3</v>
      </c>
      <c r="BK22" s="122">
        <f t="shared" si="6"/>
        <v>1.4713690000000001E-2</v>
      </c>
      <c r="BL22" s="146">
        <v>0.12130000000000001</v>
      </c>
      <c r="BM22" s="147"/>
    </row>
    <row r="23" spans="1:68">
      <c r="B23" s="100" t="str">
        <f>Implements7[[#This Row],[Implement type]]&amp;", "&amp;Implements7[[#This Row],[Width]]&amp;" "&amp;Implements7[[#This Row],[Width Unit]]&amp; ", per "&amp;Implements7[[#This Row],[Use basis]]</f>
        <v>Combine chopping corn hd, 30 Ft, per acre</v>
      </c>
      <c r="C23" s="107" t="s">
        <v>464</v>
      </c>
      <c r="D23" s="106">
        <v>30</v>
      </c>
      <c r="E23" s="107" t="s">
        <v>439</v>
      </c>
      <c r="F23" s="106">
        <v>12</v>
      </c>
      <c r="G23" s="107" t="s">
        <v>453</v>
      </c>
      <c r="H23" s="108">
        <v>169500</v>
      </c>
      <c r="I23" s="109">
        <v>0.2</v>
      </c>
      <c r="J23" s="195">
        <f t="shared" si="1"/>
        <v>211875</v>
      </c>
      <c r="K23" s="306">
        <f>VLOOKUP(Implements7[[#This Row],[ASABEtype]],ASABECoefficients8[],4,FALSE)/Implements7[[#This Row],[Use (hr/yr)]]</f>
        <v>15</v>
      </c>
      <c r="L23" s="106">
        <v>200</v>
      </c>
      <c r="M23" s="111">
        <f t="shared" si="2"/>
        <v>2290.909090909091</v>
      </c>
      <c r="N23" s="111" t="s">
        <v>706</v>
      </c>
      <c r="O23" s="106" t="s">
        <v>462</v>
      </c>
      <c r="P23" s="106">
        <v>4.5</v>
      </c>
      <c r="Q23" s="109">
        <v>0.7</v>
      </c>
      <c r="R23" s="109">
        <v>1.1100000000000001</v>
      </c>
      <c r="S23" s="106">
        <v>160</v>
      </c>
      <c r="T23"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9.8121344041342901E-2</v>
      </c>
      <c r="U23" s="113">
        <f>Implements7[[#This Row],[TradeIn%]]*Implements7[[#This Row],[PriceL]]</f>
        <v>20789.459768759527</v>
      </c>
      <c r="V23" s="114">
        <f>(Implements7[[#This Row],[PriceP]]-Implements7[[#This Row],[TradeIn$]])/Implements7[[#This Row],[Life (yr)]]/Implements7[[#This Row],[Use (hr/yr)]]</f>
        <v>49.57018007708016</v>
      </c>
      <c r="W23" s="114">
        <f>((Implements7[[#This Row],[PriceP]]+Implements7[[#This Row],[TradeIn$]])/2*($BP$7+$BP$8+$BP$9)+Implements7[[#This Row],[Shed (ft^2)]]*$BP$12)/Implements7[[#This Row],[Use (hr/yr)]]</f>
        <v>42.876918144370102</v>
      </c>
      <c r="X23" s="114">
        <f>Implements7[[#This Row],[PriceL]]*(VLOOKUP(Implements7[[#This Row],[ASABEtype]],$BC$6:$BM$52,2)*(Implements7[[#This Row],[Life (yr)]]*Implements7[[#This Row],[Use (hr/yr)]]/1000)^VLOOKUP(Implements7[[#This Row],[ASABEtype]],$BC$6:$BM$52,3))/Implements7[[#This Row],[Life (yr)]]/Implements7[[#This Row],[Use (hr/yr)]]</f>
        <v>28.377431699812032</v>
      </c>
      <c r="Y23" s="114">
        <f>Implements7[[#This Row],[Depr ($/hr)]]+Implements7[[#This Row],[OH ($/hr)]]</f>
        <v>92.447098221450261</v>
      </c>
      <c r="Z23" s="114">
        <f>(Implements7[[#This Row],[PriceP]]-Implements7[[#This Row],[TradeIn$]])/Implements7[[#This Row],[Life (yr)]]/Implements7[[#This Row],[Use (ac/yr)]]</f>
        <v>4.3275554035546167</v>
      </c>
      <c r="AA23" s="114">
        <f>((Implements7[[#This Row],[PriceP]]+Implements7[[#This Row],[TradeIn$]])/2*($BP$7+$BP$8+$BP$9)+Implements7[[#This Row],[Shed (ft^2)]]*$BP$12)/Implements7[[#This Row],[Use (ac/yr)]]</f>
        <v>3.7432230126037389</v>
      </c>
      <c r="AB23"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2.477394830935971</v>
      </c>
      <c r="AC23" s="115">
        <f>$BP$18/(Implements7[[#This Row],[Width]]*Implements7[[#This Row],[Speed]]*Implements7[[#This Row],[Efficiency]])</f>
        <v>8.7301587301587297E-2</v>
      </c>
      <c r="AD23" s="116">
        <f>IF(Implements7[[#This Row],[Use basis]]=$N$128,Implements7[[#This Row],[Ownership costs ($/hr)]],SUM(Implements7[[#This Row],[Depr ($/ac)2]:[OH ($/ac)]]))</f>
        <v>8.0707784161583547</v>
      </c>
      <c r="AE23" s="118">
        <v>51</v>
      </c>
      <c r="AF23" s="100" t="s">
        <v>463</v>
      </c>
      <c r="AG23" s="116"/>
      <c r="AH23" s="131" t="str">
        <f t="shared" si="3"/>
        <v>425 HP 4WD</v>
      </c>
      <c r="AI23" s="132">
        <v>425</v>
      </c>
      <c r="AJ23" s="106" t="s">
        <v>525</v>
      </c>
      <c r="AK23" s="108">
        <v>460000</v>
      </c>
      <c r="AL23" s="109">
        <v>0.1</v>
      </c>
      <c r="AM23" s="133">
        <f t="shared" si="4"/>
        <v>511111.11111111112</v>
      </c>
      <c r="AN23" s="215">
        <f>VLOOKUP(Power20259[[#This Row],[ASABEtype]],$BC$6:$BM$52,4,FALSE)</f>
        <v>10000</v>
      </c>
      <c r="AO23" s="199"/>
      <c r="AP23" s="307">
        <f>VLOOKUP(Power20259[[#This Row],[ASABEtype]],ASABECoefficients8[],4,FALSE)/Power20259[[#This Row],[Use (hr/yr)]]*(1-Power20259[[#This Row],[Life used (%)]])</f>
        <v>20</v>
      </c>
      <c r="AQ23" s="106">
        <v>500</v>
      </c>
      <c r="AR23" s="106">
        <v>4.3999999999999997E-2</v>
      </c>
      <c r="AS23" s="106" t="s">
        <v>526</v>
      </c>
      <c r="AT23" s="106">
        <v>250</v>
      </c>
      <c r="AU23"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0.14754507950180037</v>
      </c>
      <c r="AV23" s="135">
        <f>Power20259[[#This Row],[TradeIn%]]*Power20259[[#This Row],[PriceL]]</f>
        <v>75411.929523142418</v>
      </c>
      <c r="AW23" s="137">
        <f>(Power20259[[#This Row],[PriceP]]-Power20259[[#This Row],[TradeIn$]])/Power20259[[#This Row],[Life (yr)]]/Power20259[[#This Row],[Use (hr/yr)]]</f>
        <v>38.45880704768576</v>
      </c>
      <c r="AX23" s="308">
        <f>((Power20259[[#This Row],[PriceP]]+Power20259[[#This Row],[TradeIn$]])/2*($BP$7+$BP$8+$BP$9)+Power20259[[#This Row],[Shed (ft^2)]]*$BP$12)/Power20259[[#This Row],[Use (hr/yr)]]</f>
        <v>47.868565244380633</v>
      </c>
      <c r="AY23"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15.333333333333334</v>
      </c>
      <c r="AZ23" s="138">
        <f>Power20259[[#This Row],[Fuel (gal/hph)]]*Power20259[[#This Row],[HP]]</f>
        <v>18.7</v>
      </c>
      <c r="BA23" s="137">
        <f t="shared" si="5"/>
        <v>86.3273722920664</v>
      </c>
      <c r="BB23" s="209"/>
      <c r="BC23" s="125" t="s">
        <v>715</v>
      </c>
      <c r="BD23" s="146">
        <v>5.0000000000000001E-3</v>
      </c>
      <c r="BE23" s="146">
        <v>2</v>
      </c>
      <c r="BF23" s="146">
        <v>12000</v>
      </c>
      <c r="BG23" s="146">
        <v>0.86409999999999998</v>
      </c>
      <c r="BH23" s="146">
        <v>0.08</v>
      </c>
      <c r="BI23" s="146"/>
      <c r="BJ23" s="146">
        <v>2E-3</v>
      </c>
      <c r="BK23" s="122">
        <f t="shared" si="6"/>
        <v>7.3959999999999989E-3</v>
      </c>
      <c r="BL23" s="146">
        <v>8.5999999999999993E-2</v>
      </c>
      <c r="BM23" s="147" t="s">
        <v>583</v>
      </c>
    </row>
    <row r="24" spans="1:68">
      <c r="B24" s="100" t="str">
        <f>Implements7[[#This Row],[Implement type]]&amp;", "&amp;Implements7[[#This Row],[Width]]&amp;" "&amp;Implements7[[#This Row],[Width Unit]]&amp; ", per "&amp;Implements7[[#This Row],[Use basis]]</f>
        <v>Combine corn hd, 15 Ft, per acre</v>
      </c>
      <c r="C24" s="107" t="s">
        <v>466</v>
      </c>
      <c r="D24" s="106">
        <v>15</v>
      </c>
      <c r="E24" s="107" t="s">
        <v>439</v>
      </c>
      <c r="F24" s="106">
        <v>6</v>
      </c>
      <c r="G24" s="107" t="s">
        <v>453</v>
      </c>
      <c r="H24" s="108">
        <v>64000</v>
      </c>
      <c r="I24" s="109">
        <v>0.2</v>
      </c>
      <c r="J24" s="195">
        <f t="shared" si="1"/>
        <v>80000</v>
      </c>
      <c r="K24" s="306">
        <f>VLOOKUP(Implements7[[#This Row],[ASABEtype]],ASABECoefficients8[],4,FALSE)/Implements7[[#This Row],[Use (hr/yr)]]</f>
        <v>15</v>
      </c>
      <c r="L24" s="106">
        <v>200</v>
      </c>
      <c r="M24" s="111">
        <f t="shared" si="2"/>
        <v>1145.4545454545455</v>
      </c>
      <c r="N24" s="111" t="s">
        <v>706</v>
      </c>
      <c r="O24" s="106" t="s">
        <v>462</v>
      </c>
      <c r="P24" s="106">
        <v>4.5</v>
      </c>
      <c r="Q24" s="109">
        <v>0.7</v>
      </c>
      <c r="R24" s="109">
        <v>1.1100000000000001</v>
      </c>
      <c r="S24" s="106">
        <v>120</v>
      </c>
      <c r="T24"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9.8121344041342901E-2</v>
      </c>
      <c r="U24" s="113">
        <f>Implements7[[#This Row],[TradeIn%]]*Implements7[[#This Row],[PriceL]]</f>
        <v>7849.707523307432</v>
      </c>
      <c r="V24" s="114">
        <f>(Implements7[[#This Row],[PriceP]]-Implements7[[#This Row],[TradeIn$]])/Implements7[[#This Row],[Life (yr)]]/Implements7[[#This Row],[Use (hr/yr)]]</f>
        <v>18.716764158897526</v>
      </c>
      <c r="W24" s="114">
        <f>((Implements7[[#This Row],[PriceP]]+Implements7[[#This Row],[TradeIn$]])/2*($BP$7+$BP$8+$BP$9)+Implements7[[#This Row],[Shed (ft^2)]]*$BP$12)/Implements7[[#This Row],[Use (hr/yr)]]</f>
        <v>16.478279167430813</v>
      </c>
      <c r="X24" s="114">
        <f>Implements7[[#This Row],[PriceL]]*(VLOOKUP(Implements7[[#This Row],[ASABEtype]],$BC$6:$BM$52,2)*(Implements7[[#This Row],[Life (yr)]]*Implements7[[#This Row],[Use (hr/yr)]]/1000)^VLOOKUP(Implements7[[#This Row],[ASABEtype]],$BC$6:$BM$52,3))/Implements7[[#This Row],[Life (yr)]]/Implements7[[#This Row],[Use (hr/yr)]]</f>
        <v>10.714782470725488</v>
      </c>
      <c r="Y24" s="114">
        <f>Implements7[[#This Row],[Depr ($/hr)]]+Implements7[[#This Row],[OH ($/hr)]]</f>
        <v>35.195043326328339</v>
      </c>
      <c r="Z24" s="114">
        <f>(Implements7[[#This Row],[PriceP]]-Implements7[[#This Row],[TradeIn$]])/Implements7[[#This Row],[Life (yr)]]/Implements7[[#This Row],[Use (ac/yr)]]</f>
        <v>3.2680064404424249</v>
      </c>
      <c r="AA24" s="114">
        <f>((Implements7[[#This Row],[PriceP]]+Implements7[[#This Row],[TradeIn$]])/2*($BP$7+$BP$8+$BP$9)+Implements7[[#This Row],[Shed (ft^2)]]*$BP$12)/Implements7[[#This Row],[Use (ac/yr)]]</f>
        <v>2.8771598546307766</v>
      </c>
      <c r="AB24"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1.8708350345711169</v>
      </c>
      <c r="AC24" s="115">
        <f>$BP$18/(Implements7[[#This Row],[Width]]*Implements7[[#This Row],[Speed]]*Implements7[[#This Row],[Efficiency]])</f>
        <v>0.17460317460317459</v>
      </c>
      <c r="AD24" s="116">
        <f>IF(Implements7[[#This Row],[Use basis]]=$N$128,Implements7[[#This Row],[Ownership costs ($/hr)]],SUM(Implements7[[#This Row],[Depr ($/ac)2]:[OH ($/ac)]]))</f>
        <v>6.1451662950732011</v>
      </c>
      <c r="AE24" s="118">
        <v>46</v>
      </c>
      <c r="AF24" s="100" t="s">
        <v>463</v>
      </c>
      <c r="AG24" s="116"/>
      <c r="AH24" s="131" t="str">
        <f t="shared" si="3"/>
        <v>500 HP 4WD</v>
      </c>
      <c r="AI24" s="132">
        <v>500</v>
      </c>
      <c r="AJ24" s="106" t="s">
        <v>525</v>
      </c>
      <c r="AK24" s="108">
        <v>510000</v>
      </c>
      <c r="AL24" s="109">
        <v>0.1</v>
      </c>
      <c r="AM24" s="133">
        <f t="shared" si="4"/>
        <v>566666.66666666663</v>
      </c>
      <c r="AN24" s="215">
        <f>VLOOKUP(Power20259[[#This Row],[ASABEtype]],$BC$6:$BM$52,4,FALSE)</f>
        <v>10000</v>
      </c>
      <c r="AO24" s="199"/>
      <c r="AP24" s="307">
        <f>VLOOKUP(Power20259[[#This Row],[ASABEtype]],ASABECoefficients8[],4,FALSE)/Power20259[[#This Row],[Use (hr/yr)]]*(1-Power20259[[#This Row],[Life used (%)]])</f>
        <v>20</v>
      </c>
      <c r="AQ24" s="106">
        <v>500</v>
      </c>
      <c r="AR24" s="106">
        <v>4.3999999999999997E-2</v>
      </c>
      <c r="AS24" s="106" t="s">
        <v>526</v>
      </c>
      <c r="AT24" s="106">
        <v>250</v>
      </c>
      <c r="AU24"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0.14754507950180037</v>
      </c>
      <c r="AV24" s="135">
        <f>Power20259[[#This Row],[TradeIn%]]*Power20259[[#This Row],[PriceL]]</f>
        <v>83608.878384353535</v>
      </c>
      <c r="AW24" s="137">
        <f>(Power20259[[#This Row],[PriceP]]-Power20259[[#This Row],[TradeIn$]])/Power20259[[#This Row],[Life (yr)]]/Power20259[[#This Row],[Use (hr/yr)]]</f>
        <v>42.639112161564647</v>
      </c>
      <c r="AX24" s="308">
        <f>((Power20259[[#This Row],[PriceP]]+Power20259[[#This Row],[TradeIn$]])/2*($BP$7+$BP$8+$BP$9)+Power20259[[#This Row],[Shed (ft^2)]]*$BP$12)/Power20259[[#This Row],[Use (hr/yr)]]</f>
        <v>53.018995218597823</v>
      </c>
      <c r="AY24"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16.999999999999996</v>
      </c>
      <c r="AZ24" s="138">
        <f>Power20259[[#This Row],[Fuel (gal/hph)]]*Power20259[[#This Row],[HP]]</f>
        <v>22</v>
      </c>
      <c r="BA24" s="137">
        <f t="shared" si="5"/>
        <v>95.658107380162477</v>
      </c>
      <c r="BB24" s="209"/>
      <c r="BC24" s="125" t="s">
        <v>483</v>
      </c>
      <c r="BD24" s="146">
        <v>0.1</v>
      </c>
      <c r="BE24" s="146">
        <v>1.8</v>
      </c>
      <c r="BF24" s="146">
        <v>3000</v>
      </c>
      <c r="BG24" s="146">
        <v>0.80910000000000004</v>
      </c>
      <c r="BH24" s="146">
        <v>0.1109</v>
      </c>
      <c r="BI24" s="146">
        <v>0</v>
      </c>
      <c r="BJ24" s="146">
        <v>1.4E-3</v>
      </c>
      <c r="BK24" s="122">
        <f t="shared" si="6"/>
        <v>1.605289E-2</v>
      </c>
      <c r="BL24" s="146">
        <v>0.12670000000000001</v>
      </c>
      <c r="BM24" s="147"/>
    </row>
    <row r="25" spans="1:68">
      <c r="B25" s="100" t="str">
        <f>Implements7[[#This Row],[Implement type]]&amp;", "&amp;Implements7[[#This Row],[Width]]&amp;" "&amp;Implements7[[#This Row],[Width Unit]]&amp; ", per "&amp;Implements7[[#This Row],[Use basis]]</f>
        <v>Combine corn hd, 20 Ft, per acre</v>
      </c>
      <c r="C25" s="107" t="s">
        <v>466</v>
      </c>
      <c r="D25" s="106">
        <v>20</v>
      </c>
      <c r="E25" s="107" t="s">
        <v>439</v>
      </c>
      <c r="F25" s="106">
        <v>8</v>
      </c>
      <c r="G25" s="107" t="s">
        <v>453</v>
      </c>
      <c r="H25" s="108">
        <v>83000</v>
      </c>
      <c r="I25" s="109">
        <v>0.2</v>
      </c>
      <c r="J25" s="195">
        <f t="shared" si="1"/>
        <v>103750</v>
      </c>
      <c r="K25" s="306">
        <f>VLOOKUP(Implements7[[#This Row],[ASABEtype]],ASABECoefficients8[],4,FALSE)/Implements7[[#This Row],[Use (hr/yr)]]</f>
        <v>15</v>
      </c>
      <c r="L25" s="106">
        <v>200</v>
      </c>
      <c r="M25" s="111">
        <f t="shared" si="2"/>
        <v>1527.272727272727</v>
      </c>
      <c r="N25" s="111" t="s">
        <v>706</v>
      </c>
      <c r="O25" s="106" t="s">
        <v>462</v>
      </c>
      <c r="P25" s="106">
        <v>4.5</v>
      </c>
      <c r="Q25" s="109">
        <v>0.7</v>
      </c>
      <c r="R25" s="109">
        <v>1.1100000000000001</v>
      </c>
      <c r="S25" s="106">
        <v>160</v>
      </c>
      <c r="T25"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9.8121344041342901E-2</v>
      </c>
      <c r="U25" s="113">
        <f>Implements7[[#This Row],[TradeIn%]]*Implements7[[#This Row],[PriceL]]</f>
        <v>10180.089444289326</v>
      </c>
      <c r="V25" s="114">
        <f>(Implements7[[#This Row],[PriceP]]-Implements7[[#This Row],[TradeIn$]])/Implements7[[#This Row],[Life (yr)]]/Implements7[[#This Row],[Use (hr/yr)]]</f>
        <v>24.273303518570224</v>
      </c>
      <c r="W25" s="114">
        <f>((Implements7[[#This Row],[PriceP]]+Implements7[[#This Row],[TradeIn$]])/2*($BP$7+$BP$8+$BP$9)+Implements7[[#This Row],[Shed (ft^2)]]*$BP$12)/Implements7[[#This Row],[Use (hr/yr)]]</f>
        <v>21.391469960081075</v>
      </c>
      <c r="X25" s="114">
        <f>Implements7[[#This Row],[PriceL]]*(VLOOKUP(Implements7[[#This Row],[ASABEtype]],$BC$6:$BM$52,2)*(Implements7[[#This Row],[Life (yr)]]*Implements7[[#This Row],[Use (hr/yr)]]/1000)^VLOOKUP(Implements7[[#This Row],[ASABEtype]],$BC$6:$BM$52,3))/Implements7[[#This Row],[Life (yr)]]/Implements7[[#This Row],[Use (hr/yr)]]</f>
        <v>13.895733516722116</v>
      </c>
      <c r="Y25" s="114">
        <f>Implements7[[#This Row],[Depr ($/hr)]]+Implements7[[#This Row],[OH ($/hr)]]</f>
        <v>45.664773478651298</v>
      </c>
      <c r="Z25" s="114">
        <f>(Implements7[[#This Row],[PriceP]]-Implements7[[#This Row],[TradeIn$]])/Implements7[[#This Row],[Life (yr)]]/Implements7[[#This Row],[Use (ac/yr)]]</f>
        <v>3.1786468893365774</v>
      </c>
      <c r="AA25" s="114">
        <f>((Implements7[[#This Row],[PriceP]]+Implements7[[#This Row],[TradeIn$]])/2*($BP$7+$BP$8+$BP$9)+Implements7[[#This Row],[Shed (ft^2)]]*$BP$12)/Implements7[[#This Row],[Use (ac/yr)]]</f>
        <v>2.8012639233439511</v>
      </c>
      <c r="AB25"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1.8196793890945631</v>
      </c>
      <c r="AC25" s="115">
        <f>$BP$18/(Implements7[[#This Row],[Width]]*Implements7[[#This Row],[Speed]]*Implements7[[#This Row],[Efficiency]])</f>
        <v>0.13095238095238096</v>
      </c>
      <c r="AD25" s="116">
        <f>IF(Implements7[[#This Row],[Use basis]]=$N$128,Implements7[[#This Row],[Ownership costs ($/hr)]],SUM(Implements7[[#This Row],[Depr ($/ac)2]:[OH ($/ac)]]))</f>
        <v>5.9799108126805285</v>
      </c>
      <c r="AE25" s="118">
        <v>47</v>
      </c>
      <c r="AF25" s="100" t="s">
        <v>463</v>
      </c>
      <c r="AG25" s="116"/>
      <c r="AH25" s="131" t="str">
        <f t="shared" si="3"/>
        <v>575 HP Tracked 4WD</v>
      </c>
      <c r="AI25" s="132">
        <v>575</v>
      </c>
      <c r="AJ25" s="106" t="s">
        <v>527</v>
      </c>
      <c r="AK25" s="108">
        <v>660000</v>
      </c>
      <c r="AL25" s="109">
        <v>0.1</v>
      </c>
      <c r="AM25" s="133">
        <f>AK25/(1-AL25)</f>
        <v>733333.33333333337</v>
      </c>
      <c r="AN25" s="215">
        <f>VLOOKUP(Power20259[[#This Row],[ASABEtype]],$BC$6:$BM$52,4,FALSE)</f>
        <v>10000</v>
      </c>
      <c r="AO25" s="199"/>
      <c r="AP25" s="307">
        <f>VLOOKUP(Power20259[[#This Row],[ASABEtype]],ASABECoefficients8[],4,FALSE)/Power20259[[#This Row],[Use (hr/yr)]]*(1-Power20259[[#This Row],[Life used (%)]])</f>
        <v>20</v>
      </c>
      <c r="AQ25" s="106">
        <v>500</v>
      </c>
      <c r="AR25" s="106">
        <v>4.3999999999999997E-2</v>
      </c>
      <c r="AS25" s="106" t="s">
        <v>526</v>
      </c>
      <c r="AT25" s="106">
        <v>250</v>
      </c>
      <c r="AU25"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0.14754507950180037</v>
      </c>
      <c r="AV25" s="135">
        <f>Power20259[[#This Row],[TradeIn%]]*Power20259[[#This Row],[PriceL]]</f>
        <v>108199.72496798694</v>
      </c>
      <c r="AW25" s="137">
        <f>(Power20259[[#This Row],[PriceP]]-Power20259[[#This Row],[TradeIn$]])/Power20259[[#This Row],[Life (yr)]]/Power20259[[#This Row],[Use (hr/yr)]]</f>
        <v>55.180027503201309</v>
      </c>
      <c r="AX25" s="308">
        <f>((Power20259[[#This Row],[PriceP]]+Power20259[[#This Row],[TradeIn$]])/2*($BP$7+$BP$8+$BP$9)+Power20259[[#This Row],[Shed (ft^2)]]*$BP$12)/Power20259[[#This Row],[Use (hr/yr)]]</f>
        <v>68.470285141249377</v>
      </c>
      <c r="AY25"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22</v>
      </c>
      <c r="AZ25" s="138">
        <f>Power20259[[#This Row],[Fuel (gal/hph)]]*Power20259[[#This Row],[HP]]</f>
        <v>25.299999999999997</v>
      </c>
      <c r="BA25" s="137">
        <f t="shared" si="5"/>
        <v>123.65031264445068</v>
      </c>
      <c r="BB25" s="209"/>
      <c r="BC25" s="125" t="s">
        <v>488</v>
      </c>
      <c r="BD25" s="146">
        <v>0.43</v>
      </c>
      <c r="BE25" s="146">
        <v>1.8</v>
      </c>
      <c r="BF25" s="146">
        <v>1500</v>
      </c>
      <c r="BG25" s="146">
        <v>0.80910000000000004</v>
      </c>
      <c r="BH25" s="146">
        <v>0.1109</v>
      </c>
      <c r="BI25" s="146">
        <v>0</v>
      </c>
      <c r="BJ25" s="146">
        <v>1.4E-3</v>
      </c>
      <c r="BK25" s="122">
        <f t="shared" si="6"/>
        <v>1.605289E-2</v>
      </c>
      <c r="BL25" s="146">
        <v>0.12670000000000001</v>
      </c>
      <c r="BM25" s="147"/>
    </row>
    <row r="26" spans="1:68">
      <c r="B26" s="100" t="str">
        <f>Implements7[[#This Row],[Implement type]]&amp;", "&amp;Implements7[[#This Row],[Width]]&amp;" "&amp;Implements7[[#This Row],[Width Unit]]&amp; ", per "&amp;Implements7[[#This Row],[Use basis]]</f>
        <v>Combine corn hd, 22 Ft, per acre</v>
      </c>
      <c r="C26" s="107" t="s">
        <v>466</v>
      </c>
      <c r="D26" s="106">
        <v>22</v>
      </c>
      <c r="E26" s="107" t="s">
        <v>439</v>
      </c>
      <c r="F26" s="106">
        <v>12</v>
      </c>
      <c r="G26" s="107" t="s">
        <v>453</v>
      </c>
      <c r="H26" s="108">
        <v>121500</v>
      </c>
      <c r="I26" s="109">
        <v>0.2</v>
      </c>
      <c r="J26" s="195">
        <f t="shared" si="1"/>
        <v>151875</v>
      </c>
      <c r="K26" s="306">
        <f>VLOOKUP(Implements7[[#This Row],[ASABEtype]],ASABECoefficients8[],4,FALSE)/Implements7[[#This Row],[Use (hr/yr)]]</f>
        <v>15</v>
      </c>
      <c r="L26" s="106">
        <v>200</v>
      </c>
      <c r="M26" s="111">
        <f t="shared" si="2"/>
        <v>1680</v>
      </c>
      <c r="N26" s="111" t="s">
        <v>706</v>
      </c>
      <c r="O26" s="106" t="s">
        <v>462</v>
      </c>
      <c r="P26" s="106">
        <v>4.5</v>
      </c>
      <c r="Q26" s="109">
        <v>0.7</v>
      </c>
      <c r="R26" s="109">
        <v>1.1100000000000001</v>
      </c>
      <c r="S26" s="106">
        <v>160</v>
      </c>
      <c r="T26"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9.8121344041342901E-2</v>
      </c>
      <c r="U26" s="113">
        <f>Implements7[[#This Row],[TradeIn%]]*Implements7[[#This Row],[PriceL]]</f>
        <v>14902.179126278954</v>
      </c>
      <c r="V26" s="114">
        <f>(Implements7[[#This Row],[PriceP]]-Implements7[[#This Row],[TradeIn$]])/Implements7[[#This Row],[Life (yr)]]/Implements7[[#This Row],[Use (hr/yr)]]</f>
        <v>35.532606957907021</v>
      </c>
      <c r="W26" s="114">
        <f>((Implements7[[#This Row],[PriceP]]+Implements7[[#This Row],[TradeIn$]])/2*($BP$7+$BP$8+$BP$9)+Implements7[[#This Row],[Shed (ft^2)]]*$BP$12)/Implements7[[#This Row],[Use (hr/yr)]]</f>
        <v>30.954357302221279</v>
      </c>
      <c r="X26" s="114">
        <f>Implements7[[#This Row],[PriceL]]*(VLOOKUP(Implements7[[#This Row],[ASABEtype]],$BC$6:$BM$52,2)*(Implements7[[#This Row],[Life (yr)]]*Implements7[[#This Row],[Use (hr/yr)]]/1000)^VLOOKUP(Implements7[[#This Row],[ASABEtype]],$BC$6:$BM$52,3))/Implements7[[#This Row],[Life (yr)]]/Implements7[[#This Row],[Use (hr/yr)]]</f>
        <v>20.341344846767917</v>
      </c>
      <c r="Y26" s="114">
        <f>Implements7[[#This Row],[Depr ($/hr)]]+Implements7[[#This Row],[OH ($/hr)]]</f>
        <v>66.486964260128303</v>
      </c>
      <c r="Z26" s="114">
        <f>(Implements7[[#This Row],[PriceP]]-Implements7[[#This Row],[TradeIn$]])/Implements7[[#This Row],[Life (yr)]]/Implements7[[#This Row],[Use (ac/yr)]]</f>
        <v>4.2300722568936928</v>
      </c>
      <c r="AA26" s="114">
        <f>((Implements7[[#This Row],[PriceP]]+Implements7[[#This Row],[TradeIn$]])/2*($BP$7+$BP$8+$BP$9)+Implements7[[#This Row],[Shed (ft^2)]]*$BP$12)/Implements7[[#This Row],[Use (ac/yr)]]</f>
        <v>3.6850425359787238</v>
      </c>
      <c r="AB26"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2.4215886722342761</v>
      </c>
      <c r="AC26" s="115">
        <f>$BP$18/(Implements7[[#This Row],[Width]]*Implements7[[#This Row],[Speed]]*Implements7[[#This Row],[Efficiency]])</f>
        <v>0.11904761904761905</v>
      </c>
      <c r="AD26" s="116">
        <f>IF(Implements7[[#This Row],[Use basis]]=$N$128,Implements7[[#This Row],[Ownership costs ($/hr)]],SUM(Implements7[[#This Row],[Depr ($/ac)2]:[OH ($/ac)]]))</f>
        <v>7.9151147928724166</v>
      </c>
      <c r="AE26" s="118">
        <v>50</v>
      </c>
      <c r="AF26" s="100" t="s">
        <v>463</v>
      </c>
      <c r="AG26" s="116"/>
      <c r="AH26" s="131" t="str">
        <f t="shared" si="3"/>
        <v>275 HP Combine</v>
      </c>
      <c r="AI26" s="132">
        <v>275</v>
      </c>
      <c r="AJ26" s="106" t="s">
        <v>528</v>
      </c>
      <c r="AK26" s="108">
        <v>441000</v>
      </c>
      <c r="AL26" s="109">
        <v>0.2</v>
      </c>
      <c r="AM26" s="133">
        <f t="shared" si="4"/>
        <v>551250</v>
      </c>
      <c r="AN26" s="215">
        <f>VLOOKUP(Power20259[[#This Row],[ASABEtype]],$BC$6:$BM$52,4,FALSE)</f>
        <v>3000</v>
      </c>
      <c r="AO26" s="199"/>
      <c r="AP26" s="307">
        <f>VLOOKUP(Power20259[[#This Row],[ASABEtype]],ASABECoefficients8[],4,FALSE)/Power20259[[#This Row],[Use (hr/yr)]]*(1-Power20259[[#This Row],[Life used (%)]])</f>
        <v>7.5</v>
      </c>
      <c r="AQ26" s="106">
        <v>400</v>
      </c>
      <c r="AR26" s="216">
        <v>3.7999999999999999E-2</v>
      </c>
      <c r="AS26" s="106" t="s">
        <v>462</v>
      </c>
      <c r="AT26" s="106">
        <v>400</v>
      </c>
      <c r="AU26"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0.21681281031475025</v>
      </c>
      <c r="AV26" s="135">
        <f>Power20259[[#This Row],[TradeIn%]]*Power20259[[#This Row],[PriceL]]</f>
        <v>119518.06168600607</v>
      </c>
      <c r="AW26" s="137">
        <f>(Power20259[[#This Row],[PriceP]]-Power20259[[#This Row],[TradeIn$]])/Power20259[[#This Row],[Life (yr)]]/Power20259[[#This Row],[Use (hr/yr)]]</f>
        <v>107.16064610466465</v>
      </c>
      <c r="AX26" s="308">
        <f>((Power20259[[#This Row],[PriceP]]+Power20259[[#This Row],[TradeIn$]])/2*($BP$7+$BP$8+$BP$9)+Power20259[[#This Row],[Shed (ft^2)]]*$BP$12)/Power20259[[#This Row],[Use (hr/yr)]]</f>
        <v>62.976529537179488</v>
      </c>
      <c r="AY26"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73.831547962342796</v>
      </c>
      <c r="AZ26" s="138">
        <f>Power20259[[#This Row],[Fuel (gal/hph)]]*Power20259[[#This Row],[HP]]</f>
        <v>10.45</v>
      </c>
      <c r="BA26" s="137">
        <f t="shared" si="5"/>
        <v>170.13717564184412</v>
      </c>
      <c r="BB26" s="209"/>
      <c r="BC26" s="125" t="s">
        <v>712</v>
      </c>
      <c r="BD26" s="146">
        <v>0.04</v>
      </c>
      <c r="BE26" s="146">
        <v>2</v>
      </c>
      <c r="BF26" s="146">
        <v>7500</v>
      </c>
      <c r="BG26" s="146">
        <v>0.84930000000000005</v>
      </c>
      <c r="BH26" s="146">
        <v>9.6600000000000005E-2</v>
      </c>
      <c r="BI26" s="146">
        <v>5.8999999999999999E-3</v>
      </c>
      <c r="BJ26" s="146">
        <v>3.8E-3</v>
      </c>
      <c r="BK26" s="122">
        <f t="shared" si="6"/>
        <v>1.1278440000000001E-2</v>
      </c>
      <c r="BL26" s="146">
        <v>0.1062</v>
      </c>
      <c r="BM26" s="147"/>
    </row>
    <row r="27" spans="1:68">
      <c r="B27" s="100" t="str">
        <f>Implements7[[#This Row],[Implement type]]&amp;", "&amp;Implements7[[#This Row],[Width]]&amp;" "&amp;Implements7[[#This Row],[Width Unit]]&amp; ", per "&amp;Implements7[[#This Row],[Use basis]]</f>
        <v>Combine corn hd, 30 Ft, per acre</v>
      </c>
      <c r="C27" s="107" t="s">
        <v>466</v>
      </c>
      <c r="D27" s="106">
        <v>30</v>
      </c>
      <c r="E27" s="107" t="s">
        <v>439</v>
      </c>
      <c r="F27" s="106">
        <v>12</v>
      </c>
      <c r="G27" s="107" t="s">
        <v>453</v>
      </c>
      <c r="H27" s="108">
        <v>129000</v>
      </c>
      <c r="I27" s="109">
        <v>0.2</v>
      </c>
      <c r="J27" s="195">
        <f t="shared" si="1"/>
        <v>161250</v>
      </c>
      <c r="K27" s="306">
        <f>VLOOKUP(Implements7[[#This Row],[ASABEtype]],ASABECoefficients8[],4,FALSE)/Implements7[[#This Row],[Use (hr/yr)]]</f>
        <v>15</v>
      </c>
      <c r="L27" s="106">
        <v>200</v>
      </c>
      <c r="M27" s="111">
        <f t="shared" si="2"/>
        <v>2290.909090909091</v>
      </c>
      <c r="N27" s="111" t="s">
        <v>706</v>
      </c>
      <c r="O27" s="106" t="s">
        <v>462</v>
      </c>
      <c r="P27" s="106">
        <v>4.5</v>
      </c>
      <c r="Q27" s="109">
        <v>0.7</v>
      </c>
      <c r="R27" s="109">
        <v>1.1100000000000001</v>
      </c>
      <c r="S27" s="106">
        <v>160</v>
      </c>
      <c r="T27"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9.8121344041342901E-2</v>
      </c>
      <c r="U27" s="113">
        <f>Implements7[[#This Row],[TradeIn%]]*Implements7[[#This Row],[PriceL]]</f>
        <v>15822.066726666542</v>
      </c>
      <c r="V27" s="114">
        <f>(Implements7[[#This Row],[PriceP]]-Implements7[[#This Row],[TradeIn$]])/Implements7[[#This Row],[Life (yr)]]/Implements7[[#This Row],[Use (hr/yr)]]</f>
        <v>37.725977757777819</v>
      </c>
      <c r="W27" s="114">
        <f>((Implements7[[#This Row],[PriceP]]+Implements7[[#This Row],[TradeIn$]])/2*($BP$7+$BP$8+$BP$9)+Implements7[[#This Row],[Shed (ft^2)]]*$BP$12)/Implements7[[#This Row],[Use (hr/yr)]]</f>
        <v>32.817257433807036</v>
      </c>
      <c r="X27" s="114">
        <f>Implements7[[#This Row],[PriceL]]*(VLOOKUP(Implements7[[#This Row],[ASABEtype]],$BC$6:$BM$52,2)*(Implements7[[#This Row],[Life (yr)]]*Implements7[[#This Row],[Use (hr/yr)]]/1000)^VLOOKUP(Implements7[[#This Row],[ASABEtype]],$BC$6:$BM$52,3))/Implements7[[#This Row],[Life (yr)]]/Implements7[[#This Row],[Use (hr/yr)]]</f>
        <v>21.596983417556061</v>
      </c>
      <c r="Y27" s="114">
        <f>Implements7[[#This Row],[Depr ($/hr)]]+Implements7[[#This Row],[OH ($/hr)]]</f>
        <v>70.543235191584856</v>
      </c>
      <c r="Z27" s="114">
        <f>(Implements7[[#This Row],[PriceP]]-Implements7[[#This Row],[TradeIn$]])/Implements7[[#This Row],[Life (yr)]]/Implements7[[#This Row],[Use (ac/yr)]]</f>
        <v>3.293537740758381</v>
      </c>
      <c r="AA27" s="114">
        <f>((Implements7[[#This Row],[PriceP]]+Implements7[[#This Row],[TradeIn$]])/2*($BP$7+$BP$8+$BP$9)+Implements7[[#This Row],[Shed (ft^2)]]*$BP$12)/Implements7[[#This Row],[Use (ac/yr)]]</f>
        <v>2.8649986648561696</v>
      </c>
      <c r="AB27"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1.8854509332787037</v>
      </c>
      <c r="AC27" s="115">
        <f>$BP$18/(Implements7[[#This Row],[Width]]*Implements7[[#This Row],[Speed]]*Implements7[[#This Row],[Efficiency]])</f>
        <v>8.7301587301587297E-2</v>
      </c>
      <c r="AD27" s="116">
        <f>IF(Implements7[[#This Row],[Use basis]]=$N$128,Implements7[[#This Row],[Ownership costs ($/hr)]],SUM(Implements7[[#This Row],[Depr ($/ac)2]:[OH ($/ac)]]))</f>
        <v>6.1585364056145506</v>
      </c>
      <c r="AE27" s="118">
        <v>49</v>
      </c>
      <c r="AF27" s="100" t="s">
        <v>463</v>
      </c>
      <c r="AG27" s="116"/>
      <c r="AH27" s="131" t="str">
        <f t="shared" si="3"/>
        <v>375 HP Combine</v>
      </c>
      <c r="AI27" s="132">
        <v>375</v>
      </c>
      <c r="AJ27" s="106" t="s">
        <v>528</v>
      </c>
      <c r="AK27" s="108">
        <v>490000</v>
      </c>
      <c r="AL27" s="109">
        <v>0.2</v>
      </c>
      <c r="AM27" s="133">
        <f t="shared" si="4"/>
        <v>612500</v>
      </c>
      <c r="AN27" s="215">
        <f>VLOOKUP(Power20259[[#This Row],[ASABEtype]],$BC$6:$BM$52,4,FALSE)</f>
        <v>3000</v>
      </c>
      <c r="AO27" s="199"/>
      <c r="AP27" s="307">
        <f>VLOOKUP(Power20259[[#This Row],[ASABEtype]],ASABECoefficients8[],4,FALSE)/Power20259[[#This Row],[Use (hr/yr)]]*(1-Power20259[[#This Row],[Life used (%)]])</f>
        <v>7.5</v>
      </c>
      <c r="AQ27" s="106">
        <v>400</v>
      </c>
      <c r="AR27" s="216">
        <v>3.7999999999999999E-2</v>
      </c>
      <c r="AS27" s="106" t="s">
        <v>462</v>
      </c>
      <c r="AT27" s="106">
        <v>500</v>
      </c>
      <c r="AU27"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0.21681281031475025</v>
      </c>
      <c r="AV27" s="135">
        <f>Power20259[[#This Row],[TradeIn%]]*Power20259[[#This Row],[PriceL]]</f>
        <v>132797.84631778454</v>
      </c>
      <c r="AW27" s="137">
        <f>(Power20259[[#This Row],[PriceP]]-Power20259[[#This Row],[TradeIn$]])/Power20259[[#This Row],[Life (yr)]]/Power20259[[#This Row],[Use (hr/yr)]]</f>
        <v>119.0673845607385</v>
      </c>
      <c r="AX27" s="308">
        <f>((Power20259[[#This Row],[PriceP]]+Power20259[[#This Row],[TradeIn$]])/2*($BP$7+$BP$8+$BP$9)+Power20259[[#This Row],[Shed (ft^2)]]*$BP$12)/Power20259[[#This Row],[Use (hr/yr)]]</f>
        <v>70.108535452861247</v>
      </c>
      <c r="AY27"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82.035053291492005</v>
      </c>
      <c r="AZ27" s="138">
        <f>Power20259[[#This Row],[Fuel (gal/hph)]]*Power20259[[#This Row],[HP]]</f>
        <v>14.25</v>
      </c>
      <c r="BA27" s="137">
        <f t="shared" si="5"/>
        <v>189.17592001359975</v>
      </c>
      <c r="BB27" s="209"/>
      <c r="BC27" s="125" t="s">
        <v>582</v>
      </c>
      <c r="BD27" s="146">
        <v>0.16</v>
      </c>
      <c r="BE27" s="146">
        <v>1.6</v>
      </c>
      <c r="BF27" s="146">
        <v>2000</v>
      </c>
      <c r="BG27" s="146">
        <v>0.86350000000000005</v>
      </c>
      <c r="BH27" s="146">
        <v>0.1288</v>
      </c>
      <c r="BI27" s="146">
        <v>0</v>
      </c>
      <c r="BJ27" s="146">
        <v>1.6999999999999999E-3</v>
      </c>
      <c r="BK27" s="122">
        <f t="shared" si="6"/>
        <v>2.4617610000000005E-2</v>
      </c>
      <c r="BL27" s="146">
        <v>0.15690000000000001</v>
      </c>
      <c r="BM27" s="147" t="s">
        <v>583</v>
      </c>
    </row>
    <row r="28" spans="1:68">
      <c r="B28" s="100" t="str">
        <f>Implements7[[#This Row],[Implement type]]&amp;", "&amp;Implements7[[#This Row],[Width]]&amp;" "&amp;Implements7[[#This Row],[Width Unit]]&amp; ", per "&amp;Implements7[[#This Row],[Use basis]]</f>
        <v>Combine platform, 25 Ft, per acre</v>
      </c>
      <c r="C28" s="107" t="s">
        <v>467</v>
      </c>
      <c r="D28" s="106">
        <v>25</v>
      </c>
      <c r="E28" s="107" t="s">
        <v>439</v>
      </c>
      <c r="F28" s="106"/>
      <c r="G28" s="106"/>
      <c r="H28" s="108">
        <v>36000</v>
      </c>
      <c r="I28" s="109">
        <v>0.2</v>
      </c>
      <c r="J28" s="195">
        <f t="shared" si="1"/>
        <v>45000</v>
      </c>
      <c r="K28" s="306">
        <f>VLOOKUP(Implements7[[#This Row],[ASABEtype]],ASABECoefficients8[],4,FALSE)/Implements7[[#This Row],[Use (hr/yr)]]</f>
        <v>15.000000000000002</v>
      </c>
      <c r="L28" s="106">
        <v>199.99999999999997</v>
      </c>
      <c r="M28" s="111">
        <f t="shared" si="2"/>
        <v>1909.0909090909088</v>
      </c>
      <c r="N28" s="111" t="s">
        <v>706</v>
      </c>
      <c r="O28" s="106" t="s">
        <v>462</v>
      </c>
      <c r="P28" s="106">
        <v>4.5</v>
      </c>
      <c r="Q28" s="109">
        <v>0.7</v>
      </c>
      <c r="R28" s="109">
        <v>1.1100000000000001</v>
      </c>
      <c r="S28" s="106">
        <v>108</v>
      </c>
      <c r="T28"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9.8121344041342901E-2</v>
      </c>
      <c r="U28" s="113">
        <f>Implements7[[#This Row],[TradeIn%]]*Implements7[[#This Row],[PriceL]]</f>
        <v>4415.4604818604303</v>
      </c>
      <c r="V28" s="114">
        <f>(Implements7[[#This Row],[PriceP]]-Implements7[[#This Row],[TradeIn$]])/Implements7[[#This Row],[Life (yr)]]/Implements7[[#This Row],[Use (hr/yr)]]</f>
        <v>10.528179839379856</v>
      </c>
      <c r="W28" s="114">
        <f>((Implements7[[#This Row],[PriceP]]+Implements7[[#This Row],[TradeIn$]])/2*($BP$7+$BP$8+$BP$9)+Implements7[[#This Row],[Shed (ft^2)]]*$BP$12)/Implements7[[#This Row],[Use (hr/yr)]]</f>
        <v>9.465298871720762</v>
      </c>
      <c r="X28" s="114">
        <f>Implements7[[#This Row],[PriceL]]*(VLOOKUP(Implements7[[#This Row],[ASABEtype]],$BC$6:$BM$52,2)*(Implements7[[#This Row],[Life (yr)]]*Implements7[[#This Row],[Use (hr/yr)]]/1000)^VLOOKUP(Implements7[[#This Row],[ASABEtype]],$BC$6:$BM$52,3))/Implements7[[#This Row],[Life (yr)]]/Implements7[[#This Row],[Use (hr/yr)]]</f>
        <v>6.0270651397830868</v>
      </c>
      <c r="Y28" s="114">
        <f>Implements7[[#This Row],[Depr ($/hr)]]+Implements7[[#This Row],[OH ($/hr)]]</f>
        <v>19.993478711100618</v>
      </c>
      <c r="Z28" s="114">
        <f>(Implements7[[#This Row],[PriceP]]-Implements7[[#This Row],[TradeIn$]])/Implements7[[#This Row],[Life (yr)]]/Implements7[[#This Row],[Use (ac/yr)]]</f>
        <v>1.1029521736493182</v>
      </c>
      <c r="AA28" s="114">
        <f>((Implements7[[#This Row],[PriceP]]+Implements7[[#This Row],[TradeIn$]])/2*($BP$7+$BP$8+$BP$9)+Implements7[[#This Row],[Shed (ft^2)]]*$BP$12)/Implements7[[#This Row],[Use (ac/yr)]]</f>
        <v>0.9916027389421751</v>
      </c>
      <c r="AB28"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0.63140682416775196</v>
      </c>
      <c r="AC28" s="115">
        <f>$BP$18/(Implements7[[#This Row],[Width]]*Implements7[[#This Row],[Speed]]*Implements7[[#This Row],[Efficiency]])</f>
        <v>0.10476190476190476</v>
      </c>
      <c r="AD28" s="116">
        <f>IF(Implements7[[#This Row],[Use basis]]=$N$128,Implements7[[#This Row],[Ownership costs ($/hr)]],SUM(Implements7[[#This Row],[Depr ($/ac)2]:[OH ($/ac)]]))</f>
        <v>2.0945549125914935</v>
      </c>
      <c r="AE28" s="118">
        <v>43</v>
      </c>
      <c r="AF28" s="100" t="s">
        <v>463</v>
      </c>
      <c r="AG28" s="116"/>
      <c r="AH28" s="131" t="str">
        <f t="shared" si="3"/>
        <v>440 HP Combine</v>
      </c>
      <c r="AI28" s="132">
        <v>440</v>
      </c>
      <c r="AJ28" s="106" t="s">
        <v>528</v>
      </c>
      <c r="AK28" s="108">
        <v>570000</v>
      </c>
      <c r="AL28" s="109">
        <v>0.2</v>
      </c>
      <c r="AM28" s="133">
        <f t="shared" si="4"/>
        <v>712500</v>
      </c>
      <c r="AN28" s="215">
        <f>VLOOKUP(Power20259[[#This Row],[ASABEtype]],$BC$6:$BM$52,4,FALSE)</f>
        <v>3000</v>
      </c>
      <c r="AO28" s="199"/>
      <c r="AP28" s="307">
        <f>VLOOKUP(Power20259[[#This Row],[ASABEtype]],ASABECoefficients8[],4,FALSE)/Power20259[[#This Row],[Use (hr/yr)]]*(1-Power20259[[#This Row],[Life used (%)]])</f>
        <v>7.5</v>
      </c>
      <c r="AQ28" s="106">
        <v>400</v>
      </c>
      <c r="AR28" s="216">
        <v>3.7999999999999999E-2</v>
      </c>
      <c r="AS28" s="106" t="s">
        <v>462</v>
      </c>
      <c r="AT28" s="106">
        <v>500</v>
      </c>
      <c r="AU28"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0.21681281031475025</v>
      </c>
      <c r="AV28" s="135">
        <f>Power20259[[#This Row],[TradeIn%]]*Power20259[[#This Row],[PriceL]]</f>
        <v>154479.12734925956</v>
      </c>
      <c r="AW28" s="137">
        <f>(Power20259[[#This Row],[PriceP]]-Power20259[[#This Row],[TradeIn$]])/Power20259[[#This Row],[Life (yr)]]/Power20259[[#This Row],[Use (hr/yr)]]</f>
        <v>138.5069575502468</v>
      </c>
      <c r="AX28" s="308">
        <f>((Power20259[[#This Row],[PriceP]]+Power20259[[#This Row],[TradeIn$]])/2*($BP$7+$BP$8+$BP$9)+Power20259[[#This Row],[Shed (ft^2)]]*$BP$12)/Power20259[[#This Row],[Use (hr/yr)]]</f>
        <v>81.35702716696818</v>
      </c>
      <c r="AY28"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95.428531379898871</v>
      </c>
      <c r="AZ28" s="138">
        <f>Power20259[[#This Row],[Fuel (gal/hph)]]*Power20259[[#This Row],[HP]]</f>
        <v>16.72</v>
      </c>
      <c r="BA28" s="137">
        <f t="shared" si="5"/>
        <v>219.86398471721498</v>
      </c>
      <c r="BB28" s="209"/>
      <c r="BC28" s="125" t="s">
        <v>524</v>
      </c>
      <c r="BD28" s="146">
        <v>5.0000000000000001E-3</v>
      </c>
      <c r="BE28" s="146">
        <v>2</v>
      </c>
      <c r="BF28" s="146">
        <v>8000</v>
      </c>
      <c r="BG28" s="146">
        <v>0.86409999999999998</v>
      </c>
      <c r="BH28" s="146">
        <v>0.15640000000000001</v>
      </c>
      <c r="BI28" s="146">
        <v>3.3999999999999998E-3</v>
      </c>
      <c r="BJ28" s="146">
        <v>4.5999999999999999E-3</v>
      </c>
      <c r="BK28" s="122">
        <f t="shared" si="6"/>
        <v>7.3959999999999989E-3</v>
      </c>
      <c r="BL28" s="146">
        <v>8.5999999999999993E-2</v>
      </c>
      <c r="BM28" s="147" t="s">
        <v>583</v>
      </c>
    </row>
    <row r="29" spans="1:68">
      <c r="B29" s="100" t="str">
        <f>Implements7[[#This Row],[Implement type]]&amp;", "&amp;Implements7[[#This Row],[Width]]&amp;" "&amp;Implements7[[#This Row],[Width Unit]]&amp; ", per "&amp;Implements7[[#This Row],[Use basis]]</f>
        <v>Draper platform, 35 Ft, per acre</v>
      </c>
      <c r="C29" s="107" t="s">
        <v>784</v>
      </c>
      <c r="D29" s="106">
        <v>35</v>
      </c>
      <c r="E29" s="107" t="s">
        <v>439</v>
      </c>
      <c r="F29" s="106"/>
      <c r="G29" s="106"/>
      <c r="H29" s="108">
        <v>110000</v>
      </c>
      <c r="I29" s="109">
        <v>0.1</v>
      </c>
      <c r="J29" s="195">
        <f t="shared" si="1"/>
        <v>122222.22222222222</v>
      </c>
      <c r="K29" s="306">
        <f>VLOOKUP(Implements7[[#This Row],[ASABEtype]],ASABECoefficients8[],4,FALSE)/Implements7[[#This Row],[Use (hr/yr)]]</f>
        <v>15</v>
      </c>
      <c r="L29" s="106">
        <v>200</v>
      </c>
      <c r="M29" s="111">
        <f t="shared" si="2"/>
        <v>2672.7272727272725</v>
      </c>
      <c r="N29" s="111" t="s">
        <v>706</v>
      </c>
      <c r="O29" s="106" t="s">
        <v>462</v>
      </c>
      <c r="P29" s="106">
        <v>4.5</v>
      </c>
      <c r="Q29" s="109">
        <v>0.7</v>
      </c>
      <c r="R29" s="109">
        <v>1.1100000000000001</v>
      </c>
      <c r="S29" s="106">
        <v>108</v>
      </c>
      <c r="T29"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9.8121344041342901E-2</v>
      </c>
      <c r="U29" s="113">
        <f>Implements7[[#This Row],[TradeIn%]]*Implements7[[#This Row],[PriceL]]</f>
        <v>11992.608716164132</v>
      </c>
      <c r="V29" s="114">
        <f>(Implements7[[#This Row],[PriceP]]-Implements7[[#This Row],[TradeIn$]])/Implements7[[#This Row],[Life (yr)]]/Implements7[[#This Row],[Use (hr/yr)]]</f>
        <v>32.669130427945291</v>
      </c>
      <c r="W29" s="114">
        <f>((Implements7[[#This Row],[PriceP]]+Implements7[[#This Row],[TradeIn$]])/2*($BP$7+$BP$8+$BP$9)+Implements7[[#This Row],[Shed (ft^2)]]*$BP$12)/Implements7[[#This Row],[Use (hr/yr)]]</f>
        <v>27.514242918560452</v>
      </c>
      <c r="X29" s="114">
        <f>Implements7[[#This Row],[PriceL]]*(VLOOKUP(Implements7[[#This Row],[ASABEtype]],$BC$6:$BM$52,2)*(Implements7[[#This Row],[Life (yr)]]*Implements7[[#This Row],[Use (hr/yr)]]/1000)^VLOOKUP(Implements7[[#This Row],[ASABEtype]],$BC$6:$BM$52,3))/Implements7[[#This Row],[Life (yr)]]/Implements7[[#This Row],[Use (hr/yr)]]</f>
        <v>16.369806552497273</v>
      </c>
      <c r="Y29" s="114">
        <f>Implements7[[#This Row],[Depr ($/hr)]]+Implements7[[#This Row],[OH ($/hr)]]</f>
        <v>60.183373346505746</v>
      </c>
      <c r="Z29" s="114">
        <f>(Implements7[[#This Row],[PriceP]]-Implements7[[#This Row],[TradeIn$]])/Implements7[[#This Row],[Life (yr)]]/Implements7[[#This Row],[Use (ac/yr)]]</f>
        <v>2.4446288075333209</v>
      </c>
      <c r="AA29" s="114">
        <f>((Implements7[[#This Row],[PriceP]]+Implements7[[#This Row],[TradeIn$]])/2*($BP$7+$BP$8+$BP$9)+Implements7[[#This Row],[Shed (ft^2)]]*$BP$12)/Implements7[[#This Row],[Use (ac/yr)]]</f>
        <v>2.0588889258786733</v>
      </c>
      <c r="AB29"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1.2249515107310887</v>
      </c>
      <c r="AC29" s="115">
        <f>$BP$18/(Implements7[[#This Row],[Width]]*Implements7[[#This Row],[Speed]]*Implements7[[#This Row],[Efficiency]])</f>
        <v>7.4829931972789115E-2</v>
      </c>
      <c r="AD29" s="116">
        <f>IF(Implements7[[#This Row],[Use basis]]=$N$128,Implements7[[#This Row],[Ownership costs ($/hr)]],SUM(Implements7[[#This Row],[Depr ($/ac)2]:[OH ($/ac)]]))</f>
        <v>4.5035177334119947</v>
      </c>
      <c r="AE29" s="118">
        <v>44</v>
      </c>
      <c r="AF29" s="100" t="s">
        <v>463</v>
      </c>
      <c r="AG29" s="116"/>
      <c r="AH29" s="131" t="str">
        <f t="shared" si="3"/>
        <v>400 HP SP Forage Harvester Base Unit</v>
      </c>
      <c r="AI29" s="132">
        <v>400</v>
      </c>
      <c r="AJ29" s="106" t="s">
        <v>529</v>
      </c>
      <c r="AK29" s="108">
        <v>521000</v>
      </c>
      <c r="AL29" s="109">
        <v>0.1</v>
      </c>
      <c r="AM29" s="133">
        <f t="shared" si="4"/>
        <v>578888.88888888888</v>
      </c>
      <c r="AN29" s="215">
        <f>VLOOKUP(Power20259[[#This Row],[ASABEtype]],$BC$6:$BM$52,4,FALSE)</f>
        <v>4000</v>
      </c>
      <c r="AO29" s="199"/>
      <c r="AP29" s="307">
        <f>VLOOKUP(Power20259[[#This Row],[ASABEtype]],ASABECoefficients8[],4,FALSE)/Power20259[[#This Row],[Use (hr/yr)]]*(1-Power20259[[#This Row],[Life used (%)]])</f>
        <v>11.428571428571429</v>
      </c>
      <c r="AQ29" s="106">
        <v>350</v>
      </c>
      <c r="AR29" s="106">
        <v>4.3999999999999997E-2</v>
      </c>
      <c r="AS29" s="106" t="s">
        <v>457</v>
      </c>
      <c r="AT29" s="106">
        <v>500</v>
      </c>
      <c r="AU29"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0.41217679614235048</v>
      </c>
      <c r="AV29" s="135">
        <f>Power20259[[#This Row],[TradeIn%]]*Power20259[[#This Row],[PriceL]]</f>
        <v>238604.56754462732</v>
      </c>
      <c r="AW29" s="137">
        <f>(Power20259[[#This Row],[PriceP]]-Power20259[[#This Row],[TradeIn$]])/Power20259[[#This Row],[Life (yr)]]/Power20259[[#This Row],[Use (hr/yr)]]</f>
        <v>70.598858113843164</v>
      </c>
      <c r="AX29" s="308">
        <f>((Power20259[[#This Row],[PriceP]]+Power20259[[#This Row],[TradeIn$]])/2*($BP$7+$BP$8+$BP$9)+Power20259[[#This Row],[Shed (ft^2)]]*$BP$12)/Power20259[[#This Row],[Use (hr/yr)]]</f>
        <v>97.420318844092279</v>
      </c>
      <c r="AY29"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69.466666666666654</v>
      </c>
      <c r="AZ29" s="138">
        <f>Power20259[[#This Row],[Fuel (gal/hph)]]*Power20259[[#This Row],[HP]]</f>
        <v>17.599999999999998</v>
      </c>
      <c r="BA29" s="137">
        <f t="shared" si="5"/>
        <v>168.01917695793543</v>
      </c>
      <c r="BB29" s="209"/>
      <c r="BC29" s="125" t="s">
        <v>584</v>
      </c>
      <c r="BD29" s="146">
        <v>0.28999999999999998</v>
      </c>
      <c r="BE29" s="146">
        <v>1.8</v>
      </c>
      <c r="BF29" s="146">
        <v>2000</v>
      </c>
      <c r="BG29" s="146">
        <v>0.69269999999999998</v>
      </c>
      <c r="BH29" s="146">
        <v>7.0300000000000001E-2</v>
      </c>
      <c r="BI29" s="146">
        <v>0</v>
      </c>
      <c r="BJ29" s="146">
        <v>1.1999999999999999E-3</v>
      </c>
      <c r="BK29" s="122">
        <f t="shared" si="6"/>
        <v>1.4957290000000002E-2</v>
      </c>
      <c r="BL29" s="146">
        <v>0.12230000000000001</v>
      </c>
      <c r="BM29" s="147"/>
    </row>
    <row r="30" spans="1:68">
      <c r="B30" s="100" t="str">
        <f>Implements7[[#This Row],[Implement type]]&amp;", "&amp;Implements7[[#This Row],[Width]]&amp;" "&amp;Implements7[[#This Row],[Width Unit]]&amp; ", per "&amp;Implements7[[#This Row],[Use basis]]</f>
        <v>Draper platform, 45 Ft, per acre</v>
      </c>
      <c r="C30" s="107" t="s">
        <v>784</v>
      </c>
      <c r="D30" s="106">
        <v>45</v>
      </c>
      <c r="E30" s="107" t="s">
        <v>439</v>
      </c>
      <c r="F30" s="106"/>
      <c r="G30" s="106"/>
      <c r="H30" s="108">
        <v>125000</v>
      </c>
      <c r="I30" s="109">
        <v>0.1</v>
      </c>
      <c r="J30" s="195">
        <f t="shared" si="1"/>
        <v>138888.88888888888</v>
      </c>
      <c r="K30" s="306">
        <f>VLOOKUP(Implements7[[#This Row],[ASABEtype]],ASABECoefficients8[],4,FALSE)/Implements7[[#This Row],[Use (hr/yr)]]</f>
        <v>15</v>
      </c>
      <c r="L30" s="106">
        <v>200</v>
      </c>
      <c r="M30" s="111">
        <f t="shared" si="2"/>
        <v>3436.3636363636365</v>
      </c>
      <c r="N30" s="111" t="s">
        <v>706</v>
      </c>
      <c r="O30" s="106" t="s">
        <v>462</v>
      </c>
      <c r="P30" s="106">
        <v>4.5</v>
      </c>
      <c r="Q30" s="109">
        <v>0.7</v>
      </c>
      <c r="R30" s="109">
        <v>1.1100000000000001</v>
      </c>
      <c r="S30" s="106">
        <v>108</v>
      </c>
      <c r="T30"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9.8121344041342901E-2</v>
      </c>
      <c r="U30" s="113">
        <f>Implements7[[#This Row],[TradeIn%]]*Implements7[[#This Row],[PriceL]]</f>
        <v>13627.964450186513</v>
      </c>
      <c r="V30" s="114">
        <f>(Implements7[[#This Row],[PriceP]]-Implements7[[#This Row],[TradeIn$]])/Implements7[[#This Row],[Life (yr)]]/Implements7[[#This Row],[Use (hr/yr)]]</f>
        <v>37.12401184993783</v>
      </c>
      <c r="W30" s="114">
        <f>((Implements7[[#This Row],[PriceP]]+Implements7[[#This Row],[TradeIn$]])/2*($BP$7+$BP$8+$BP$9)+Implements7[[#This Row],[Shed (ft^2)]]*$BP$12)/Implements7[[#This Row],[Use (hr/yr)]]</f>
        <v>31.194815374712906</v>
      </c>
      <c r="X30" s="114">
        <f>Implements7[[#This Row],[PriceL]]*(VLOOKUP(Implements7[[#This Row],[ASABEtype]],$BC$6:$BM$52,2)*(Implements7[[#This Row],[Life (yr)]]*Implements7[[#This Row],[Use (hr/yr)]]/1000)^VLOOKUP(Implements7[[#This Row],[ASABEtype]],$BC$6:$BM$52,3))/Implements7[[#This Row],[Life (yr)]]/Implements7[[#This Row],[Use (hr/yr)]]</f>
        <v>18.602052900565081</v>
      </c>
      <c r="Y30" s="114">
        <f>Implements7[[#This Row],[Depr ($/hr)]]+Implements7[[#This Row],[OH ($/hr)]]</f>
        <v>68.318827224650732</v>
      </c>
      <c r="Z30" s="114">
        <f>(Implements7[[#This Row],[PriceP]]-Implements7[[#This Row],[TradeIn$]])/Implements7[[#This Row],[Life (yr)]]/Implements7[[#This Row],[Use (ac/yr)]]</f>
        <v>2.1606567743350058</v>
      </c>
      <c r="AA30" s="114">
        <f>((Implements7[[#This Row],[PriceP]]+Implements7[[#This Row],[TradeIn$]])/2*($BP$7+$BP$8+$BP$9)+Implements7[[#This Row],[Shed (ft^2)]]*$BP$12)/Implements7[[#This Row],[Use (ac/yr)]]</f>
        <v>1.8155712651949309</v>
      </c>
      <c r="AB30"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1.0826591635249516</v>
      </c>
      <c r="AC30" s="115">
        <f>$BP$18/(Implements7[[#This Row],[Width]]*Implements7[[#This Row],[Speed]]*Implements7[[#This Row],[Efficiency]])</f>
        <v>5.8201058201058198E-2</v>
      </c>
      <c r="AD30" s="116">
        <f>IF(Implements7[[#This Row],[Use basis]]=$N$128,Implements7[[#This Row],[Ownership costs ($/hr)]],SUM(Implements7[[#This Row],[Depr ($/ac)2]:[OH ($/ac)]]))</f>
        <v>3.9762280395299365</v>
      </c>
      <c r="AE30" s="118">
        <v>45</v>
      </c>
      <c r="AF30" s="100" t="s">
        <v>463</v>
      </c>
      <c r="AG30" s="116"/>
      <c r="AH30" s="131" t="str">
        <f t="shared" si="3"/>
        <v>625 HP SP Forage Harvester Base Unit</v>
      </c>
      <c r="AI30" s="132">
        <v>625</v>
      </c>
      <c r="AJ30" s="106" t="s">
        <v>529</v>
      </c>
      <c r="AK30" s="108">
        <v>622000</v>
      </c>
      <c r="AL30" s="109">
        <v>0.1</v>
      </c>
      <c r="AM30" s="133">
        <f t="shared" si="4"/>
        <v>691111.11111111112</v>
      </c>
      <c r="AN30" s="215">
        <f>VLOOKUP(Power20259[[#This Row],[ASABEtype]],$BC$6:$BM$52,4,FALSE)</f>
        <v>4000</v>
      </c>
      <c r="AO30" s="199"/>
      <c r="AP30" s="307">
        <f>VLOOKUP(Power20259[[#This Row],[ASABEtype]],ASABECoefficients8[],4,FALSE)/Power20259[[#This Row],[Use (hr/yr)]]*(1-Power20259[[#This Row],[Life used (%)]])</f>
        <v>11.428571428571429</v>
      </c>
      <c r="AQ30" s="106">
        <v>350</v>
      </c>
      <c r="AR30" s="106">
        <v>4.3999999999999997E-2</v>
      </c>
      <c r="AS30" s="106" t="s">
        <v>457</v>
      </c>
      <c r="AT30" s="106">
        <v>500</v>
      </c>
      <c r="AU30" s="20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0.41217679614235048</v>
      </c>
      <c r="AV30" s="135">
        <f>Power20259[[#This Row],[TradeIn%]]*Power20259[[#This Row],[PriceL]]</f>
        <v>284859.96355615777</v>
      </c>
      <c r="AW30" s="137">
        <f>(Power20259[[#This Row],[PriceP]]-Power20259[[#This Row],[TradeIn$]])/Power20259[[#This Row],[Life (yr)]]/Power20259[[#This Row],[Use (hr/yr)]]</f>
        <v>84.285009110960559</v>
      </c>
      <c r="AX30" s="308">
        <f>((Power20259[[#This Row],[PriceP]]+Power20259[[#This Row],[TradeIn$]])/2*($BP$7+$BP$8+$BP$9)+Power20259[[#This Row],[Shed (ft^2)]]*$BP$12)/Power20259[[#This Row],[Use (hr/yr)]]</f>
        <v>116.03760819697861</v>
      </c>
      <c r="AY30" s="207">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82.933333333333323</v>
      </c>
      <c r="AZ30" s="138">
        <f>Power20259[[#This Row],[Fuel (gal/hph)]]*Power20259[[#This Row],[HP]]</f>
        <v>27.5</v>
      </c>
      <c r="BA30" s="137">
        <f t="shared" si="5"/>
        <v>200.32261730793917</v>
      </c>
      <c r="BB30" s="209"/>
      <c r="BC30" s="125" t="s">
        <v>585</v>
      </c>
      <c r="BD30" s="146">
        <v>0.46</v>
      </c>
      <c r="BE30" s="146">
        <v>1.7</v>
      </c>
      <c r="BF30" s="146">
        <v>2000</v>
      </c>
      <c r="BG30" s="146">
        <v>0.90229999999999999</v>
      </c>
      <c r="BH30" s="146">
        <v>9.4299999999999995E-2</v>
      </c>
      <c r="BI30" s="146">
        <v>0</v>
      </c>
      <c r="BJ30" s="146">
        <v>-4.0000000000000002E-4</v>
      </c>
      <c r="BK30" s="122">
        <f t="shared" si="6"/>
        <v>1.1513290000000001E-2</v>
      </c>
      <c r="BL30" s="146">
        <v>0.10730000000000001</v>
      </c>
      <c r="BM30" s="147"/>
    </row>
    <row r="31" spans="1:68">
      <c r="B31" s="100" t="str">
        <f>Implements7[[#This Row],[Implement type]]&amp;", "&amp;Implements7[[#This Row],[Width]]&amp;" "&amp;Implements7[[#This Row],[Width Unit]]&amp; ", per "&amp;Implements7[[#This Row],[Use basis]]</f>
        <v>Grain cart, 1000 Bu, per hour</v>
      </c>
      <c r="C31" s="107" t="s">
        <v>719</v>
      </c>
      <c r="D31" s="106">
        <v>1000</v>
      </c>
      <c r="E31" s="107" t="s">
        <v>805</v>
      </c>
      <c r="F31" s="106"/>
      <c r="G31" s="107"/>
      <c r="H31" s="108">
        <v>131500</v>
      </c>
      <c r="I31" s="109">
        <v>0.1</v>
      </c>
      <c r="J31" s="195">
        <f t="shared" si="1"/>
        <v>146111.11111111109</v>
      </c>
      <c r="K31" s="306">
        <f>VLOOKUP(Implements7[[#This Row],[ASABEtype]],ASABECoefficients8[],4,FALSE)/Implements7[[#This Row],[Use (hr/yr)]]</f>
        <v>15</v>
      </c>
      <c r="L31" s="106">
        <v>200</v>
      </c>
      <c r="M31" s="111">
        <f t="shared" si="2"/>
        <v>45818.181818181816</v>
      </c>
      <c r="N31" s="111" t="s">
        <v>720</v>
      </c>
      <c r="O31" s="106" t="s">
        <v>468</v>
      </c>
      <c r="P31" s="106">
        <v>3</v>
      </c>
      <c r="Q31" s="109">
        <v>0.63</v>
      </c>
      <c r="R31" s="109">
        <v>1.1100000000000001</v>
      </c>
      <c r="S31" s="106">
        <v>450</v>
      </c>
      <c r="T31"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0.22376917082458905</v>
      </c>
      <c r="U31" s="113">
        <f>Implements7[[#This Row],[TradeIn%]]*Implements7[[#This Row],[PriceL]]</f>
        <v>32695.162181592732</v>
      </c>
      <c r="V31" s="114">
        <f>(Implements7[[#This Row],[PriceP]]-Implements7[[#This Row],[TradeIn$]])/Implements7[[#This Row],[Life (yr)]]/Implements7[[#This Row],[Use (hr/yr)]]</f>
        <v>32.934945939469088</v>
      </c>
      <c r="W31" s="114">
        <f>((Implements7[[#This Row],[PriceP]]+Implements7[[#This Row],[TradeIn$]])/2*($BP$7+$BP$8+$BP$9)+Implements7[[#This Row],[Shed (ft^2)]]*$BP$12)/Implements7[[#This Row],[Use (hr/yr)]]</f>
        <v>38.508922299798805</v>
      </c>
      <c r="X31" s="114">
        <f>Implements7[[#This Row],[PriceL]]*(VLOOKUP(Implements7[[#This Row],[ASABEtype]],$BC$6:$BM$52,2)*(Implements7[[#This Row],[Life (yr)]]*Implements7[[#This Row],[Use (hr/yr)]]/1000)^VLOOKUP(Implements7[[#This Row],[ASABEtype]],$BC$6:$BM$52,3))/Implements7[[#This Row],[Life (yr)]]/Implements7[[#This Row],[Use (hr/yr)]]</f>
        <v>38.598748244825543</v>
      </c>
      <c r="Y31" s="114">
        <f>Implements7[[#This Row],[Depr ($/hr)]]+Implements7[[#This Row],[OH ($/hr)]]</f>
        <v>71.443868239267886</v>
      </c>
      <c r="Z31" s="114">
        <f>(Implements7[[#This Row],[PriceP]]-Implements7[[#This Row],[TradeIn$]])/Implements7[[#This Row],[Life (yr)]]/Implements7[[#This Row],[Use (ac/yr)]]</f>
        <v>0.14376365291038096</v>
      </c>
      <c r="AA31" s="114">
        <f>((Implements7[[#This Row],[PriceP]]+Implements7[[#This Row],[TradeIn$]])/2*($BP$7+$BP$8+$BP$9)+Implements7[[#This Row],[Shed (ft^2)]]*$BP$12)/Implements7[[#This Row],[Use (ac/yr)]]</f>
        <v>0.16809450210229637</v>
      </c>
      <c r="AB31"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38.598748244825543</v>
      </c>
      <c r="AC31" s="115">
        <f>$BP$18/(Implements7[[#This Row],[Width]]*Implements7[[#This Row],[Speed]]*Implements7[[#This Row],[Efficiency]])</f>
        <v>4.3650793650793652E-3</v>
      </c>
      <c r="AD31" s="116">
        <f>IF(Implements7[[#This Row],[Use basis]]=$N$128,Implements7[[#This Row],[Ownership costs ($/hr)]],SUM(Implements7[[#This Row],[Depr ($/ac)2]:[OH ($/ac)]]))</f>
        <v>71.443868239267886</v>
      </c>
      <c r="AE31" s="118">
        <v>54</v>
      </c>
      <c r="AF31" s="100" t="s">
        <v>463</v>
      </c>
      <c r="AG31" s="116"/>
      <c r="AH31" s="131" t="str">
        <f t="shared" si="3"/>
        <v>500 HP SP Cotton Picker</v>
      </c>
      <c r="AI31" s="132">
        <v>500</v>
      </c>
      <c r="AJ31" s="106" t="s">
        <v>695</v>
      </c>
      <c r="AK31" s="186"/>
      <c r="AL31" s="187"/>
      <c r="AM31" s="133"/>
      <c r="AN31" s="195"/>
      <c r="AO31" s="187"/>
      <c r="AP31" s="309"/>
      <c r="AQ31" s="106"/>
      <c r="AR31" s="216">
        <v>3.7999999999999999E-2</v>
      </c>
      <c r="AS31" s="106" t="s">
        <v>457</v>
      </c>
      <c r="AT31" s="106">
        <v>500</v>
      </c>
      <c r="AU31" s="134"/>
      <c r="AV31" s="135"/>
      <c r="AW31" s="137"/>
      <c r="AX31" s="193"/>
      <c r="AY31" s="139"/>
      <c r="AZ31" s="138">
        <f>Power20259[[#This Row],[Fuel (gal/hph)]]*Power20259[[#This Row],[HP]]</f>
        <v>19</v>
      </c>
      <c r="BA31" s="137"/>
      <c r="BB31" s="100" t="s">
        <v>732</v>
      </c>
      <c r="BC31" s="125" t="s">
        <v>470</v>
      </c>
      <c r="BD31" s="146">
        <v>0.44</v>
      </c>
      <c r="BE31" s="146">
        <v>2</v>
      </c>
      <c r="BF31" s="146">
        <v>2000</v>
      </c>
      <c r="BG31" s="146">
        <v>0.90229999999999999</v>
      </c>
      <c r="BH31" s="146">
        <v>9.4299999999999995E-2</v>
      </c>
      <c r="BI31" s="146">
        <v>0</v>
      </c>
      <c r="BJ31" s="146">
        <v>-4.0000000000000002E-4</v>
      </c>
      <c r="BK31" s="122">
        <f t="shared" si="6"/>
        <v>1.1513290000000001E-2</v>
      </c>
      <c r="BL31" s="146">
        <v>0.10730000000000001</v>
      </c>
      <c r="BM31" s="147"/>
    </row>
    <row r="32" spans="1:68">
      <c r="B32" s="100" t="str">
        <f>Implements7[[#This Row],[Implement type]]&amp;", "&amp;Implements7[[#This Row],[Width]]&amp;" "&amp;Implements7[[#This Row],[Width Unit]]&amp; ", per "&amp;Implements7[[#This Row],[Use basis]]</f>
        <v>Disk mower, 9 Ft, per acre</v>
      </c>
      <c r="C32" s="105" t="s">
        <v>469</v>
      </c>
      <c r="D32" s="106">
        <v>9</v>
      </c>
      <c r="E32" s="107" t="str">
        <f t="shared" ref="E32:E39" si="7">IF(D32&gt;15,"Ft Folding","Ft")</f>
        <v>Ft</v>
      </c>
      <c r="F32" s="106"/>
      <c r="G32" s="105"/>
      <c r="H32" s="108">
        <v>13500</v>
      </c>
      <c r="I32" s="109">
        <v>0.1</v>
      </c>
      <c r="J32" s="195">
        <f t="shared" si="1"/>
        <v>15000</v>
      </c>
      <c r="K32" s="306">
        <f>VLOOKUP(Implements7[[#This Row],[ASABEtype]],ASABECoefficients8[],4,FALSE)/Implements7[[#This Row],[Use (hr/yr)]]</f>
        <v>13.333333333333334</v>
      </c>
      <c r="L32" s="106">
        <v>150</v>
      </c>
      <c r="M32" s="111">
        <f t="shared" si="2"/>
        <v>850.90909090909099</v>
      </c>
      <c r="N32" s="111" t="s">
        <v>706</v>
      </c>
      <c r="O32" s="106" t="s">
        <v>470</v>
      </c>
      <c r="P32" s="106">
        <v>6.5</v>
      </c>
      <c r="Q32" s="109">
        <v>0.8</v>
      </c>
      <c r="R32" s="109">
        <v>1.05</v>
      </c>
      <c r="S32" s="106">
        <v>50</v>
      </c>
      <c r="T32"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0.28641406473688458</v>
      </c>
      <c r="U32" s="113">
        <f>Implements7[[#This Row],[TradeIn%]]*Implements7[[#This Row],[PriceL]]</f>
        <v>4296.2109710532686</v>
      </c>
      <c r="V32" s="114">
        <f>(Implements7[[#This Row],[PriceP]]-Implements7[[#This Row],[TradeIn$]])/Implements7[[#This Row],[Life (yr)]]/Implements7[[#This Row],[Use (hr/yr)]]</f>
        <v>4.6018945144733658</v>
      </c>
      <c r="W32" s="114">
        <f>((Implements7[[#This Row],[PriceP]]+Implements7[[#This Row],[TradeIn$]])/2*($BP$7+$BP$8+$BP$9)+Implements7[[#This Row],[Shed (ft^2)]]*$BP$12)/Implements7[[#This Row],[Use (hr/yr)]]</f>
        <v>5.5729552241824054</v>
      </c>
      <c r="X32" s="114">
        <f>Implements7[[#This Row],[PriceL]]*(VLOOKUP(Implements7[[#This Row],[ASABEtype]],$BC$6:$BM$52,2)*(Implements7[[#This Row],[Life (yr)]]*Implements7[[#This Row],[Use (hr/yr)]]/1000)^VLOOKUP(Implements7[[#This Row],[ASABEtype]],$BC$6:$BM$52,3))/Implements7[[#This Row],[Life (yr)]]/Implements7[[#This Row],[Use (hr/yr)]]</f>
        <v>13.2</v>
      </c>
      <c r="Y32" s="114">
        <f>Implements7[[#This Row],[Depr ($/hr)]]+Implements7[[#This Row],[OH ($/hr)]]</f>
        <v>10.174849738655771</v>
      </c>
      <c r="Z32" s="114">
        <f>(Implements7[[#This Row],[PriceP]]-Implements7[[#This Row],[TradeIn$]])/Implements7[[#This Row],[Life (yr)]]/Implements7[[#This Row],[Use (ac/yr)]]</f>
        <v>0.81123140479498435</v>
      </c>
      <c r="AA32" s="114">
        <f>((Implements7[[#This Row],[PriceP]]+Implements7[[#This Row],[TradeIn$]])/2*($BP$7+$BP$8+$BP$9)+Implements7[[#This Row],[Shed (ft^2)]]*$BP$12)/Implements7[[#This Row],[Use (ac/yr)]]</f>
        <v>0.98241197862189833</v>
      </c>
      <c r="AB32"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2.3269230769230766</v>
      </c>
      <c r="AC32" s="115">
        <f>$BP$18/(Implements7[[#This Row],[Width]]*Implements7[[#This Row],[Speed]]*Implements7[[#This Row],[Efficiency]])</f>
        <v>0.17628205128205127</v>
      </c>
      <c r="AD32" s="116">
        <f>IF(Implements7[[#This Row],[Use basis]]=$N$128,Implements7[[#This Row],[Ownership costs ($/hr)]],SUM(Implements7[[#This Row],[Depr ($/ac)2]:[OH ($/ac)]]))</f>
        <v>1.7936433834168826</v>
      </c>
      <c r="AE32" s="118">
        <v>28</v>
      </c>
      <c r="AF32" s="100" t="s">
        <v>471</v>
      </c>
      <c r="AG32" s="116"/>
      <c r="AH32" s="131" t="str">
        <f>CONCATENATE(AI32&amp;" "&amp;AJ32)</f>
        <v>275 HP SP Sprayer</v>
      </c>
      <c r="AI32" s="132">
        <v>275</v>
      </c>
      <c r="AJ32" s="106" t="s">
        <v>731</v>
      </c>
      <c r="AK32" s="186"/>
      <c r="AL32" s="187"/>
      <c r="AM32" s="133"/>
      <c r="AN32" s="195"/>
      <c r="AO32" s="187"/>
      <c r="AP32" s="309"/>
      <c r="AQ32" s="106"/>
      <c r="AR32" s="216"/>
      <c r="AS32" s="106" t="s">
        <v>506</v>
      </c>
      <c r="AT32" s="106">
        <v>500</v>
      </c>
      <c r="AU32" s="134"/>
      <c r="AV32" s="135"/>
      <c r="AW32" s="137"/>
      <c r="AX32" s="137"/>
      <c r="AY32" s="139"/>
      <c r="AZ32" s="138">
        <f>Power20259[[#This Row],[Fuel (gal/hph)]]*Power20259[[#This Row],[HP]]</f>
        <v>0</v>
      </c>
      <c r="BA32" s="137">
        <f>SUM(AW32:AX32)</f>
        <v>0</v>
      </c>
      <c r="BC32" s="125" t="s">
        <v>586</v>
      </c>
      <c r="BD32" s="146">
        <v>0.18</v>
      </c>
      <c r="BE32" s="146">
        <v>1.6</v>
      </c>
      <c r="BF32" s="146">
        <v>2500</v>
      </c>
      <c r="BG32" s="146">
        <v>0.72430000000000005</v>
      </c>
      <c r="BH32" s="146">
        <v>0.11269999999999999</v>
      </c>
      <c r="BI32" s="146">
        <v>0</v>
      </c>
      <c r="BJ32" s="146">
        <v>3.3999999999999998E-3</v>
      </c>
      <c r="BK32" s="122">
        <f t="shared" si="6"/>
        <v>1.4113440000000001E-2</v>
      </c>
      <c r="BL32" s="146">
        <v>0.1188</v>
      </c>
      <c r="BM32" s="147"/>
    </row>
    <row r="33" spans="2:65">
      <c r="B33" s="100" t="str">
        <f>Implements7[[#This Row],[Implement type]]&amp;", "&amp;Implements7[[#This Row],[Width]]&amp;" "&amp;Implements7[[#This Row],[Width Unit]]&amp; ", per "&amp;Implements7[[#This Row],[Use basis]]</f>
        <v>Disk mower/conditioner, 12 Ft, per acre</v>
      </c>
      <c r="C33" s="105" t="s">
        <v>472</v>
      </c>
      <c r="D33" s="106">
        <v>12</v>
      </c>
      <c r="E33" s="107" t="str">
        <f t="shared" si="7"/>
        <v>Ft</v>
      </c>
      <c r="F33" s="106"/>
      <c r="G33" s="106"/>
      <c r="H33" s="108">
        <v>47000</v>
      </c>
      <c r="I33" s="109">
        <v>0.1</v>
      </c>
      <c r="J33" s="195">
        <f t="shared" si="1"/>
        <v>52222.222222222219</v>
      </c>
      <c r="K33" s="306">
        <f>VLOOKUP(Implements7[[#This Row],[ASABEtype]],ASABECoefficients8[],4,FALSE)/Implements7[[#This Row],[Use (hr/yr)]]</f>
        <v>16.666666666666668</v>
      </c>
      <c r="L33" s="106">
        <v>150</v>
      </c>
      <c r="M33" s="111">
        <f t="shared" si="2"/>
        <v>1134.5454545454545</v>
      </c>
      <c r="N33" s="111" t="s">
        <v>706</v>
      </c>
      <c r="O33" s="106" t="s">
        <v>473</v>
      </c>
      <c r="P33" s="106">
        <v>6.5</v>
      </c>
      <c r="Q33" s="109">
        <v>0.8</v>
      </c>
      <c r="R33" s="109">
        <v>1.05</v>
      </c>
      <c r="S33" s="106">
        <v>200</v>
      </c>
      <c r="T33"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0.23471727430694855</v>
      </c>
      <c r="U33" s="113">
        <f>Implements7[[#This Row],[TradeIn%]]*Implements7[[#This Row],[PriceL]]</f>
        <v>12257.457658251757</v>
      </c>
      <c r="V33" s="114">
        <f>(Implements7[[#This Row],[PriceP]]-Implements7[[#This Row],[TradeIn$]])/Implements7[[#This Row],[Life (yr)]]/Implements7[[#This Row],[Use (hr/yr)]]</f>
        <v>13.897016936699298</v>
      </c>
      <c r="W33" s="114">
        <f>((Implements7[[#This Row],[PriceP]]+Implements7[[#This Row],[TradeIn$]])/2*($BP$7+$BP$8+$BP$9)+Implements7[[#This Row],[Shed (ft^2)]]*$BP$12)/Implements7[[#This Row],[Use (hr/yr)]]</f>
        <v>18.773241960071033</v>
      </c>
      <c r="X33" s="114">
        <f>Implements7[[#This Row],[PriceL]]*(VLOOKUP(Implements7[[#This Row],[ASABEtype]],$BC$6:$BM$52,2)*(Implements7[[#This Row],[Life (yr)]]*Implements7[[#This Row],[Use (hr/yr)]]/1000)^VLOOKUP(Implements7[[#This Row],[ASABEtype]],$BC$6:$BM$52,3))/Implements7[[#This Row],[Life (yr)]]/Implements7[[#This Row],[Use (hr/yr)]]</f>
        <v>20.888888888888886</v>
      </c>
      <c r="Y33" s="114">
        <f>Implements7[[#This Row],[Depr ($/hr)]]+Implements7[[#This Row],[OH ($/hr)]]</f>
        <v>32.670258896770335</v>
      </c>
      <c r="Z33" s="114">
        <f>(Implements7[[#This Row],[PriceP]]-Implements7[[#This Row],[TradeIn$]])/Implements7[[#This Row],[Life (yr)]]/Implements7[[#This Row],[Use (ac/yr)]]</f>
        <v>1.8373459892270707</v>
      </c>
      <c r="AA33" s="114">
        <f>((Implements7[[#This Row],[PriceP]]+Implements7[[#This Row],[TradeIn$]])/2*($BP$7+$BP$8+$BP$9)+Implements7[[#This Row],[Shed (ft^2)]]*$BP$12)/Implements7[[#This Row],[Use (ac/yr)]]</f>
        <v>2.4820392014516992</v>
      </c>
      <c r="AB33"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2.7617521367521367</v>
      </c>
      <c r="AC33" s="115">
        <f>$BP$18/(Implements7[[#This Row],[Width]]*Implements7[[#This Row],[Speed]]*Implements7[[#This Row],[Efficiency]])</f>
        <v>0.13221153846153844</v>
      </c>
      <c r="AD33" s="116">
        <f>IF(Implements7[[#This Row],[Use basis]]=$N$128,Implements7[[#This Row],[Ownership costs ($/hr)]],SUM(Implements7[[#This Row],[Depr ($/ac)2]:[OH ($/ac)]]))</f>
        <v>4.3193851906787701</v>
      </c>
      <c r="AE33" s="118">
        <v>28</v>
      </c>
      <c r="AF33" s="100" t="s">
        <v>471</v>
      </c>
      <c r="AG33" s="116"/>
      <c r="AT33" s="140" t="s">
        <v>530</v>
      </c>
      <c r="BC33" s="125" t="s">
        <v>473</v>
      </c>
      <c r="BD33" s="146">
        <v>0.16</v>
      </c>
      <c r="BE33" s="146">
        <v>2</v>
      </c>
      <c r="BF33" s="146">
        <v>2500</v>
      </c>
      <c r="BG33" s="146">
        <v>0.72430000000000005</v>
      </c>
      <c r="BH33" s="146">
        <v>0.11269999999999999</v>
      </c>
      <c r="BI33" s="146">
        <v>0</v>
      </c>
      <c r="BJ33" s="146">
        <v>3.3999999999999998E-3</v>
      </c>
      <c r="BK33" s="122">
        <f t="shared" si="6"/>
        <v>1.4113440000000001E-2</v>
      </c>
      <c r="BL33" s="146">
        <v>0.1188</v>
      </c>
      <c r="BM33" s="147"/>
    </row>
    <row r="34" spans="2:65">
      <c r="B34" s="100" t="str">
        <f>Implements7[[#This Row],[Implement type]]&amp;", "&amp;Implements7[[#This Row],[Width]]&amp;" "&amp;Implements7[[#This Row],[Width Unit]]</f>
        <v>Sickle bar mower, 9 Ft</v>
      </c>
      <c r="C34" s="105" t="s">
        <v>729</v>
      </c>
      <c r="D34" s="106">
        <v>9</v>
      </c>
      <c r="E34" s="107" t="s">
        <v>439</v>
      </c>
      <c r="F34" s="106"/>
      <c r="G34" s="105"/>
      <c r="H34" s="108">
        <v>6710</v>
      </c>
      <c r="I34" s="109">
        <v>0.05</v>
      </c>
      <c r="J34" s="195">
        <f>H34/(1-I34)</f>
        <v>7063.1578947368425</v>
      </c>
      <c r="K34" s="306">
        <f>VLOOKUP(Implements7[[#This Row],[ASABEtype]],ASABECoefficients8[],4,FALSE)/Implements7[[#This Row],[Use (hr/yr)]]</f>
        <v>13.333333333333334</v>
      </c>
      <c r="L34" s="106">
        <v>150</v>
      </c>
      <c r="M34" s="111">
        <f>IF(AND(P34&lt;&gt;0,Q34&lt;&gt;0),L34*(D34*P34*Q34)/8.25,L34*D34)</f>
        <v>589.09090909090912</v>
      </c>
      <c r="N34" s="111" t="s">
        <v>706</v>
      </c>
      <c r="O34" s="106" t="s">
        <v>585</v>
      </c>
      <c r="P34" s="106">
        <v>4.5</v>
      </c>
      <c r="Q34" s="109">
        <v>0.8</v>
      </c>
      <c r="R34" s="109">
        <v>1.05</v>
      </c>
      <c r="S34" s="106">
        <v>30</v>
      </c>
      <c r="T34"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0.28641406473688458</v>
      </c>
      <c r="U34" s="113">
        <f>Implements7[[#This Row],[TradeIn%]]*Implements7[[#This Row],[PriceL]]</f>
        <v>2022.9877625099955</v>
      </c>
      <c r="V34" s="114">
        <f>(Implements7[[#This Row],[PriceP]]-Implements7[[#This Row],[TradeIn$]])/Implements7[[#This Row],[Life (yr)]]/Implements7[[#This Row],[Use (hr/yr)]]</f>
        <v>2.3435061187450024</v>
      </c>
      <c r="W34" s="117">
        <f>((Implements7[[#This Row],[PriceP]]+Implements7[[#This Row],[TradeIn$]])/2*($BP$7+$BP$8+$BP$9)+Implements7[[#This Row],[Shed (ft^2)]]*$BP$12)/Implements7[[#This Row],[Use (hr/yr)]]</f>
        <v>2.7700751825734633</v>
      </c>
      <c r="X34" s="114">
        <f>Implements7[[#This Row],[PriceL]]*(VLOOKUP(Implements7[[#This Row],[ASABEtype]],$BC$6:$BM$52,2)*(Implements7[[#This Row],[Life (yr)]]*Implements7[[#This Row],[Use (hr/yr)]]/1000)^VLOOKUP(Implements7[[#This Row],[ASABEtype]],$BC$6:$BM$52,3))/Implements7[[#This Row],[Life (yr)]]/Implements7[[#This Row],[Use (hr/yr)]]</f>
        <v>5.2781015717750668</v>
      </c>
      <c r="Y34" s="114">
        <f>Implements7[[#This Row],[Depr ($/hr)]]+Implements7[[#This Row],[OH ($/hr)]]</f>
        <v>5.1135813013184652</v>
      </c>
      <c r="Z34" s="114">
        <f>(Implements7[[#This Row],[PriceP]]-Implements7[[#This Row],[TradeIn$]])/Implements7[[#This Row],[Life (yr)]]/Implements7[[#This Row],[Use (ac/yr)]]</f>
        <v>0.59672609505081076</v>
      </c>
      <c r="AA34" s="117">
        <f>((Implements7[[#This Row],[PriceP]]+Implements7[[#This Row],[TradeIn$]])/2*($BP$7+$BP$8+$BP$9)+Implements7[[#This Row],[Shed (ft^2)]]*$BP$12)/Implements7[[#This Row],[Use (ac/yr)]]</f>
        <v>0.7053432177849096</v>
      </c>
      <c r="AB34"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1.343961048368651</v>
      </c>
      <c r="AC34" s="115">
        <f>$BP$18/(Implements7[[#This Row],[Width]]*Implements7[[#This Row],[Speed]]*Implements7[[#This Row],[Efficiency]])</f>
        <v>0.25462962962962965</v>
      </c>
      <c r="AD34" s="116">
        <f>IF(Implements7[[#This Row],[Use basis]]=$N$128,Implements7[[#This Row],[Ownership costs ($/hr)]],SUM(Implements7[[#This Row],[Depr ($/ac)2]:[OH ($/ac)]]))</f>
        <v>1.3020693128357204</v>
      </c>
      <c r="AE34" s="116"/>
      <c r="AF34" s="100" t="s">
        <v>471</v>
      </c>
      <c r="AG34" s="116"/>
      <c r="AT34" s="140" t="s">
        <v>531</v>
      </c>
      <c r="BC34" s="125" t="s">
        <v>445</v>
      </c>
      <c r="BD34" s="146">
        <v>0.16</v>
      </c>
      <c r="BE34" s="146">
        <v>1.3</v>
      </c>
      <c r="BF34" s="146">
        <v>2000</v>
      </c>
      <c r="BG34" s="146">
        <v>0.71940000000000004</v>
      </c>
      <c r="BH34" s="146">
        <v>0.11020000000000001</v>
      </c>
      <c r="BI34" s="146">
        <v>0</v>
      </c>
      <c r="BJ34" s="146">
        <v>3.0000000000000001E-3</v>
      </c>
      <c r="BK34" s="122">
        <f t="shared" si="6"/>
        <v>1.4713690000000001E-2</v>
      </c>
      <c r="BL34" s="146">
        <v>0.12130000000000001</v>
      </c>
      <c r="BM34" s="147"/>
    </row>
    <row r="35" spans="2:65">
      <c r="B35" s="100" t="str">
        <f>Implements7[[#This Row],[Implement type]]&amp;", "&amp;Implements7[[#This Row],[Width]]&amp;" "&amp;Implements7[[#This Row],[Width Unit]]&amp; ", per "&amp;Implements7[[#This Row],[Use basis]]</f>
        <v>Hay merger, 14 Ft, per acre</v>
      </c>
      <c r="C35" s="105" t="s">
        <v>474</v>
      </c>
      <c r="D35" s="106">
        <v>14</v>
      </c>
      <c r="E35" s="107" t="str">
        <f t="shared" si="7"/>
        <v>Ft</v>
      </c>
      <c r="F35" s="106"/>
      <c r="G35" s="106"/>
      <c r="H35" s="108">
        <f>ROUND(65000*1.1,-3)</f>
        <v>72000</v>
      </c>
      <c r="I35" s="109">
        <v>0.1</v>
      </c>
      <c r="J35" s="195">
        <f t="shared" si="1"/>
        <v>80000</v>
      </c>
      <c r="K35" s="306">
        <f>VLOOKUP(Implements7[[#This Row],[ASABEtype]],ASABECoefficients8[],4,FALSE)/Implements7[[#This Row],[Use (hr/yr)]]</f>
        <v>16.666666666666668</v>
      </c>
      <c r="L35" s="106">
        <v>150</v>
      </c>
      <c r="M35" s="111">
        <f t="shared" si="2"/>
        <v>1629.0909090909092</v>
      </c>
      <c r="N35" s="111" t="s">
        <v>706</v>
      </c>
      <c r="O35" s="106" t="s">
        <v>475</v>
      </c>
      <c r="P35" s="106">
        <v>8</v>
      </c>
      <c r="Q35" s="109">
        <v>0.8</v>
      </c>
      <c r="R35" s="109">
        <v>1.02</v>
      </c>
      <c r="S35" s="106">
        <v>345</v>
      </c>
      <c r="T35"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0.20252610272516691</v>
      </c>
      <c r="U35" s="113">
        <f>Implements7[[#This Row],[TradeIn%]]*Implements7[[#This Row],[PriceL]]</f>
        <v>16202.088218013352</v>
      </c>
      <c r="V35" s="114">
        <f>(Implements7[[#This Row],[PriceP]]-Implements7[[#This Row],[TradeIn$]])/Implements7[[#This Row],[Life (yr)]]/Implements7[[#This Row],[Use (hr/yr)]]</f>
        <v>22.31916471279466</v>
      </c>
      <c r="W35" s="114">
        <f>((Implements7[[#This Row],[PriceP]]+Implements7[[#This Row],[TradeIn$]])/2*($BP$7+$BP$8+$BP$9)+Implements7[[#This Row],[Shed (ft^2)]]*$BP$12)/Implements7[[#This Row],[Use (hr/yr)]]</f>
        <v>28.248819639593609</v>
      </c>
      <c r="X35" s="114">
        <f>Implements7[[#This Row],[PriceL]]*(VLOOKUP(Implements7[[#This Row],[ASABEtype]],$BC$6:$BM$52,2)*(Implements7[[#This Row],[Life (yr)]]*Implements7[[#This Row],[Use (hr/yr)]]/1000)^VLOOKUP(Implements7[[#This Row],[ASABEtype]],$BC$6:$BM$52,3))/Implements7[[#This Row],[Life (yr)]]/Implements7[[#This Row],[Use (hr/yr)]]</f>
        <v>19.620718720338104</v>
      </c>
      <c r="Y35" s="114">
        <f>Implements7[[#This Row],[Depr ($/hr)]]+Implements7[[#This Row],[OH ($/hr)]]</f>
        <v>50.567984352388265</v>
      </c>
      <c r="Z35" s="114">
        <f>(Implements7[[#This Row],[PriceP]]-Implements7[[#This Row],[TradeIn$]])/Implements7[[#This Row],[Life (yr)]]/Implements7[[#This Row],[Use (ac/yr)]]</f>
        <v>2.0550570187562047</v>
      </c>
      <c r="AA35" s="114">
        <f>((Implements7[[#This Row],[PriceP]]+Implements7[[#This Row],[TradeIn$]])/2*($BP$7+$BP$8+$BP$9)+Implements7[[#This Row],[Shed (ft^2)]]*$BP$12)/Implements7[[#This Row],[Use (ac/yr)]]</f>
        <v>2.6010352904759739</v>
      </c>
      <c r="AB35"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1.8065951946739882</v>
      </c>
      <c r="AC35" s="115">
        <f>$BP$18/(Implements7[[#This Row],[Width]]*Implements7[[#This Row],[Speed]]*Implements7[[#This Row],[Efficiency]])</f>
        <v>9.2075892857142849E-2</v>
      </c>
      <c r="AD35" s="116">
        <f>IF(Implements7[[#This Row],[Use basis]]=$N$128,Implements7[[#This Row],[Ownership costs ($/hr)]],SUM(Implements7[[#This Row],[Depr ($/ac)2]:[OH ($/ac)]]))</f>
        <v>4.6560923092321786</v>
      </c>
      <c r="AE35" s="118">
        <v>30</v>
      </c>
      <c r="AF35" s="100" t="s">
        <v>471</v>
      </c>
      <c r="AG35" s="116"/>
      <c r="BC35" s="122" t="s">
        <v>386</v>
      </c>
      <c r="BD35" s="146"/>
      <c r="BE35" s="146"/>
      <c r="BF35" s="146"/>
      <c r="BG35" s="146"/>
      <c r="BH35" s="146"/>
      <c r="BI35" s="106"/>
      <c r="BJ35" s="146"/>
      <c r="BK35" s="122">
        <f t="shared" si="6"/>
        <v>0</v>
      </c>
      <c r="BL35" s="146"/>
      <c r="BM35" s="147"/>
    </row>
    <row r="36" spans="2:65">
      <c r="B36" s="100" t="str">
        <f>Implements7[[#This Row],[Implement type]]&amp;", "&amp;Implements7[[#This Row],[Width]]&amp;" "&amp;Implements7[[#This Row],[Width Unit]]&amp; ", per "&amp;Implements7[[#This Row],[Use basis]]</f>
        <v>Hay merger, 34 Ft Folding, per acre</v>
      </c>
      <c r="C36" s="105" t="s">
        <v>474</v>
      </c>
      <c r="D36" s="106">
        <v>34</v>
      </c>
      <c r="E36" s="107" t="str">
        <f t="shared" si="7"/>
        <v>Ft Folding</v>
      </c>
      <c r="F36" s="106"/>
      <c r="G36" s="106"/>
      <c r="H36" s="108">
        <f>260000*1.1</f>
        <v>286000</v>
      </c>
      <c r="I36" s="109">
        <v>0.1</v>
      </c>
      <c r="J36" s="195">
        <f t="shared" si="1"/>
        <v>317777.77777777775</v>
      </c>
      <c r="K36" s="306">
        <f>VLOOKUP(Implements7[[#This Row],[ASABEtype]],ASABECoefficients8[],4,FALSE)/Implements7[[#This Row],[Use (hr/yr)]]</f>
        <v>20</v>
      </c>
      <c r="L36" s="106">
        <v>150</v>
      </c>
      <c r="M36" s="111">
        <f t="shared" si="2"/>
        <v>3956.3636363636369</v>
      </c>
      <c r="N36" s="111" t="s">
        <v>706</v>
      </c>
      <c r="O36" s="106" t="s">
        <v>476</v>
      </c>
      <c r="P36" s="106">
        <v>8</v>
      </c>
      <c r="Q36" s="109">
        <v>0.8</v>
      </c>
      <c r="R36" s="109">
        <v>1.02</v>
      </c>
      <c r="S36" s="106">
        <v>345</v>
      </c>
      <c r="T36"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0.19441624803541294</v>
      </c>
      <c r="U36" s="113">
        <f>Implements7[[#This Row],[TradeIn%]]*Implements7[[#This Row],[PriceL]]</f>
        <v>61781.163264586772</v>
      </c>
      <c r="V36" s="114">
        <f>(Implements7[[#This Row],[PriceP]]-Implements7[[#This Row],[TradeIn$]])/Implements7[[#This Row],[Life (yr)]]/Implements7[[#This Row],[Use (hr/yr)]]</f>
        <v>74.739612245137749</v>
      </c>
      <c r="W36" s="114">
        <f>((Implements7[[#This Row],[PriceP]]+Implements7[[#This Row],[TradeIn$]])/2*($BP$7+$BP$8+$BP$9)+Implements7[[#This Row],[Shed (ft^2)]]*$BP$12)/Implements7[[#This Row],[Use (hr/yr)]]</f>
        <v>104.82464677833276</v>
      </c>
      <c r="X36" s="114">
        <f>Implements7[[#This Row],[PriceL]]*(VLOOKUP(Implements7[[#This Row],[ASABEtype]],$BC$6:$BM$52,2)*(Implements7[[#This Row],[Life (yr)]]*Implements7[[#This Row],[Use (hr/yr)]]/1000)^VLOOKUP(Implements7[[#This Row],[ASABEtype]],$BC$6:$BM$52,3))/Implements7[[#This Row],[Life (yr)]]/Implements7[[#This Row],[Use (hr/yr)]]</f>
        <v>57.2</v>
      </c>
      <c r="Y36" s="114">
        <f>Implements7[[#This Row],[Depr ($/hr)]]+Implements7[[#This Row],[OH ($/hr)]]</f>
        <v>179.56425902347053</v>
      </c>
      <c r="Z36" s="114">
        <f>(Implements7[[#This Row],[PriceP]]-Implements7[[#This Row],[TradeIn$]])/Implements7[[#This Row],[Life (yr)]]/Implements7[[#This Row],[Use (ac/yr)]]</f>
        <v>2.833647982639643</v>
      </c>
      <c r="AA36" s="114">
        <f>((Implements7[[#This Row],[PriceP]]+Implements7[[#This Row],[TradeIn$]])/2*($BP$7+$BP$8+$BP$9)+Implements7[[#This Row],[Shed (ft^2)]]*$BP$12)/Implements7[[#This Row],[Use (ac/yr)]]</f>
        <v>3.974280036402781</v>
      </c>
      <c r="AB36"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2.1686580882352939</v>
      </c>
      <c r="AC36" s="115">
        <f>$BP$18/(Implements7[[#This Row],[Width]]*Implements7[[#This Row],[Speed]]*Implements7[[#This Row],[Efficiency]])</f>
        <v>3.7913602941176468E-2</v>
      </c>
      <c r="AD36" s="116">
        <f>IF(Implements7[[#This Row],[Use basis]]=$N$128,Implements7[[#This Row],[Ownership costs ($/hr)]],SUM(Implements7[[#This Row],[Depr ($/ac)2]:[OH ($/ac)]]))</f>
        <v>6.8079280190424241</v>
      </c>
      <c r="AE36" s="118">
        <v>31</v>
      </c>
      <c r="AF36" s="100" t="s">
        <v>471</v>
      </c>
      <c r="AG36" s="116"/>
      <c r="BC36" s="122" t="s">
        <v>708</v>
      </c>
      <c r="BD36" s="146">
        <v>0.35</v>
      </c>
      <c r="BE36" s="146">
        <v>1.2</v>
      </c>
      <c r="BF36" s="146">
        <v>2000</v>
      </c>
      <c r="BG36" s="146">
        <v>0.86409999999999998</v>
      </c>
      <c r="BH36" s="146">
        <v>0.11020000000000001</v>
      </c>
      <c r="BI36" s="146">
        <v>0</v>
      </c>
      <c r="BJ36" s="146">
        <v>-5.0000000000000001E-3</v>
      </c>
      <c r="BK36" s="100">
        <v>8.1199999999999994E-2</v>
      </c>
      <c r="BL36" s="146"/>
      <c r="BM36" s="147"/>
    </row>
    <row r="37" spans="2:65">
      <c r="B37" s="100" t="str">
        <f>Implements7[[#This Row],[Implement type]]&amp;", "&amp;Implements7[[#This Row],[Width]]&amp;" "&amp;Implements7[[#This Row],[Width Unit]]&amp; ", per "&amp;Implements7[[#This Row],[Use basis]]</f>
        <v>Hay rake, 20 Ft Folding, per acre</v>
      </c>
      <c r="C37" s="105" t="s">
        <v>477</v>
      </c>
      <c r="D37" s="106">
        <v>20</v>
      </c>
      <c r="E37" s="107" t="str">
        <f t="shared" si="7"/>
        <v>Ft Folding</v>
      </c>
      <c r="F37" s="106">
        <v>8</v>
      </c>
      <c r="G37" s="105" t="s">
        <v>478</v>
      </c>
      <c r="H37" s="108">
        <v>9000</v>
      </c>
      <c r="I37" s="109">
        <v>0.15</v>
      </c>
      <c r="J37" s="195">
        <f t="shared" si="1"/>
        <v>10588.235294117647</v>
      </c>
      <c r="K37" s="306">
        <f>VLOOKUP(Implements7[[#This Row],[ASABEtype]],ASABECoefficients8[],4,FALSE)/Implements7[[#This Row],[Use (hr/yr)]]</f>
        <v>13.333333333333334</v>
      </c>
      <c r="L37" s="106">
        <v>150</v>
      </c>
      <c r="M37" s="111">
        <f t="shared" si="2"/>
        <v>2327.2727272727275</v>
      </c>
      <c r="N37" s="111" t="s">
        <v>706</v>
      </c>
      <c r="O37" s="106" t="s">
        <v>591</v>
      </c>
      <c r="P37" s="106">
        <v>8</v>
      </c>
      <c r="Q37" s="109">
        <v>0.8</v>
      </c>
      <c r="R37" s="109">
        <v>1.02</v>
      </c>
      <c r="S37" s="106">
        <v>175</v>
      </c>
      <c r="T37"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0.26634813831060228</v>
      </c>
      <c r="U37" s="113">
        <f>Implements7[[#This Row],[TradeIn%]]*Implements7[[#This Row],[PriceL]]</f>
        <v>2820.1567585828475</v>
      </c>
      <c r="V37" s="114">
        <f>(Implements7[[#This Row],[PriceP]]-Implements7[[#This Row],[TradeIn$]])/Implements7[[#This Row],[Life (yr)]]/Implements7[[#This Row],[Use (hr/yr)]]</f>
        <v>3.0899216207085765</v>
      </c>
      <c r="W37" s="114">
        <f>((Implements7[[#This Row],[PriceP]]+Implements7[[#This Row],[TradeIn$]])/2*($BP$7+$BP$8+$BP$9)+Implements7[[#This Row],[Shed (ft^2)]]*$BP$12)/Implements7[[#This Row],[Use (hr/yr)]]</f>
        <v>4.61770170080786</v>
      </c>
      <c r="X37" s="114">
        <f>Implements7[[#This Row],[PriceL]]*(VLOOKUP(Implements7[[#This Row],[ASABEtype]],$BC$6:$BM$52,2)*(Implements7[[#This Row],[Life (yr)]]*Implements7[[#This Row],[Use (hr/yr)]]/1000)^VLOOKUP(Implements7[[#This Row],[ASABEtype]],$BC$6:$BM$52,3))/Implements7[[#This Row],[Life (yr)]]/Implements7[[#This Row],[Use (hr/yr)]]</f>
        <v>3.7722402625625091</v>
      </c>
      <c r="Y37" s="114">
        <f>Implements7[[#This Row],[Depr ($/hr)]]+Implements7[[#This Row],[OH ($/hr)]]</f>
        <v>7.7076233215164365</v>
      </c>
      <c r="Z37" s="114">
        <f>(Implements7[[#This Row],[PriceP]]-Implements7[[#This Row],[TradeIn$]])/Implements7[[#This Row],[Life (yr)]]/Implements7[[#This Row],[Use (ac/yr)]]</f>
        <v>0.19915510445973245</v>
      </c>
      <c r="AA37" s="114">
        <f>((Implements7[[#This Row],[PriceP]]+Implements7[[#This Row],[TradeIn$]])/2*($BP$7+$BP$8+$BP$9)+Implements7[[#This Row],[Shed (ft^2)]]*$BP$12)/Implements7[[#This Row],[Use (ac/yr)]]</f>
        <v>0.2976253049348816</v>
      </c>
      <c r="AB37"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0.24313267317297418</v>
      </c>
      <c r="AC37" s="115">
        <f>$BP$18/(Implements7[[#This Row],[Width]]*Implements7[[#This Row],[Speed]]*Implements7[[#This Row],[Efficiency]])</f>
        <v>6.4453125E-2</v>
      </c>
      <c r="AD37" s="116">
        <f>IF(Implements7[[#This Row],[Use basis]]=$N$128,Implements7[[#This Row],[Ownership costs ($/hr)]],SUM(Implements7[[#This Row],[Depr ($/ac)2]:[OH ($/ac)]]))</f>
        <v>0.49678040939461404</v>
      </c>
      <c r="AE37" s="116"/>
      <c r="AF37" s="100" t="s">
        <v>471</v>
      </c>
      <c r="AG37" s="116"/>
      <c r="AH37" s="116" t="s">
        <v>730</v>
      </c>
      <c r="BC37" s="125" t="s">
        <v>587</v>
      </c>
      <c r="BD37" s="146">
        <v>0.19</v>
      </c>
      <c r="BE37" s="146">
        <v>1.4</v>
      </c>
      <c r="BF37" s="146">
        <v>2500</v>
      </c>
      <c r="BG37" s="146">
        <v>0.80910000000000004</v>
      </c>
      <c r="BH37" s="146">
        <v>0.1109</v>
      </c>
      <c r="BI37" s="146">
        <v>0</v>
      </c>
      <c r="BJ37" s="146">
        <v>1.4E-3</v>
      </c>
      <c r="BK37" s="122">
        <f t="shared" si="6"/>
        <v>1.605289E-2</v>
      </c>
      <c r="BL37" s="146">
        <v>0.12670000000000001</v>
      </c>
      <c r="BM37" s="147"/>
    </row>
    <row r="38" spans="2:65">
      <c r="B38" s="100" t="str">
        <f>Implements7[[#This Row],[Implement type]]&amp;", "&amp;Implements7[[#This Row],[Width]]&amp;" "&amp;Implements7[[#This Row],[Width Unit]]&amp; ", per "&amp;Implements7[[#This Row],[Use basis]]</f>
        <v>Hay rake, 30 Ft Folding, per acre</v>
      </c>
      <c r="C38" s="105" t="s">
        <v>477</v>
      </c>
      <c r="D38" s="106">
        <v>30</v>
      </c>
      <c r="E38" s="107" t="str">
        <f t="shared" si="7"/>
        <v>Ft Folding</v>
      </c>
      <c r="F38" s="106">
        <v>12</v>
      </c>
      <c r="G38" s="106" t="s">
        <v>478</v>
      </c>
      <c r="H38" s="108">
        <v>17500</v>
      </c>
      <c r="I38" s="109">
        <v>0.1</v>
      </c>
      <c r="J38" s="195">
        <f t="shared" si="1"/>
        <v>19444.444444444445</v>
      </c>
      <c r="K38" s="306">
        <f>VLOOKUP(Implements7[[#This Row],[ASABEtype]],ASABECoefficients8[],4,FALSE)/Implements7[[#This Row],[Use (hr/yr)]]</f>
        <v>13.333333333333334</v>
      </c>
      <c r="L38" s="106">
        <v>150</v>
      </c>
      <c r="M38" s="111">
        <f t="shared" si="2"/>
        <v>3490.909090909091</v>
      </c>
      <c r="N38" s="111" t="s">
        <v>706</v>
      </c>
      <c r="O38" s="106" t="s">
        <v>591</v>
      </c>
      <c r="P38" s="106">
        <v>8</v>
      </c>
      <c r="Q38" s="109">
        <v>0.8</v>
      </c>
      <c r="R38" s="109">
        <v>1.02</v>
      </c>
      <c r="S38" s="106">
        <v>250</v>
      </c>
      <c r="T38"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0.26634813831060228</v>
      </c>
      <c r="U38" s="113">
        <f>Implements7[[#This Row],[TradeIn%]]*Implements7[[#This Row],[PriceL]]</f>
        <v>5178.9915782617109</v>
      </c>
      <c r="V38" s="114">
        <f>(Implements7[[#This Row],[PriceP]]-Implements7[[#This Row],[TradeIn$]])/Implements7[[#This Row],[Life (yr)]]/Implements7[[#This Row],[Use (hr/yr)]]</f>
        <v>6.1605042108691448</v>
      </c>
      <c r="W38" s="114">
        <f>((Implements7[[#This Row],[PriceP]]+Implements7[[#This Row],[TradeIn$]])/2*($BP$7+$BP$8+$BP$9)+Implements7[[#This Row],[Shed (ft^2)]]*$BP$12)/Implements7[[#This Row],[Use (hr/yr)]]</f>
        <v>8.3056674541956621</v>
      </c>
      <c r="X38" s="114">
        <f>Implements7[[#This Row],[PriceL]]*(VLOOKUP(Implements7[[#This Row],[ASABEtype]],$BC$6:$BM$52,2)*(Implements7[[#This Row],[Life (yr)]]*Implements7[[#This Row],[Use (hr/yr)]]/1000)^VLOOKUP(Implements7[[#This Row],[ASABEtype]],$BC$6:$BM$52,3))/Implements7[[#This Row],[Life (yr)]]/Implements7[[#This Row],[Use (hr/yr)]]</f>
        <v>6.9274165315576948</v>
      </c>
      <c r="Y38" s="114">
        <f>Implements7[[#This Row],[Depr ($/hr)]]+Implements7[[#This Row],[OH ($/hr)]]</f>
        <v>14.466171665064806</v>
      </c>
      <c r="Z38" s="114">
        <f>(Implements7[[#This Row],[PriceP]]-Implements7[[#This Row],[TradeIn$]])/Implements7[[#This Row],[Life (yr)]]/Implements7[[#This Row],[Use (ac/yr)]]</f>
        <v>0.26470916531078359</v>
      </c>
      <c r="AA38" s="114">
        <f>((Implements7[[#This Row],[PriceP]]+Implements7[[#This Row],[TradeIn$]])/2*($BP$7+$BP$8+$BP$9)+Implements7[[#This Row],[Shed (ft^2)]]*$BP$12)/Implements7[[#This Row],[Use (ac/yr)]]</f>
        <v>0.35688414842246985</v>
      </c>
      <c r="AB38"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0.29766242909036972</v>
      </c>
      <c r="AC38" s="115">
        <f>$BP$18/(Implements7[[#This Row],[Width]]*Implements7[[#This Row],[Speed]]*Implements7[[#This Row],[Efficiency]])</f>
        <v>4.296875E-2</v>
      </c>
      <c r="AD38" s="116">
        <f>IF(Implements7[[#This Row],[Use basis]]=$N$128,Implements7[[#This Row],[Ownership costs ($/hr)]],SUM(Implements7[[#This Row],[Depr ($/ac)2]:[OH ($/ac)]]))</f>
        <v>0.62159331373325344</v>
      </c>
      <c r="AE38" s="118">
        <v>29</v>
      </c>
      <c r="AF38" s="100" t="s">
        <v>471</v>
      </c>
      <c r="AG38" s="116"/>
      <c r="BC38" s="125" t="s">
        <v>491</v>
      </c>
      <c r="BD38" s="146">
        <v>0.23</v>
      </c>
      <c r="BE38" s="146">
        <v>1.8</v>
      </c>
      <c r="BF38" s="146">
        <v>2000</v>
      </c>
      <c r="BG38" s="146">
        <v>0.80910000000000004</v>
      </c>
      <c r="BH38" s="146">
        <v>0.1109</v>
      </c>
      <c r="BI38" s="146">
        <v>0</v>
      </c>
      <c r="BJ38" s="146">
        <v>1.4E-3</v>
      </c>
      <c r="BK38" s="122">
        <f t="shared" si="6"/>
        <v>1.605289E-2</v>
      </c>
      <c r="BL38" s="146">
        <v>0.12670000000000001</v>
      </c>
      <c r="BM38" s="147"/>
    </row>
    <row r="39" spans="2:65">
      <c r="B39" s="100" t="str">
        <f>Implements7[[#This Row],[Implement type]]&amp;", "&amp;Implements7[[#This Row],[Width]]&amp;" "&amp;Implements7[[#This Row],[Width Unit]]&amp; ", per "&amp;Implements7[[#This Row],[Use basis]]</f>
        <v>Hay tedder, 16 Ft Folding, per acre</v>
      </c>
      <c r="C39" s="105" t="s">
        <v>479</v>
      </c>
      <c r="D39" s="106">
        <v>16</v>
      </c>
      <c r="E39" s="107" t="str">
        <f t="shared" si="7"/>
        <v>Ft Folding</v>
      </c>
      <c r="F39" s="106">
        <v>4</v>
      </c>
      <c r="G39" s="105" t="s">
        <v>480</v>
      </c>
      <c r="H39" s="108">
        <v>7000</v>
      </c>
      <c r="I39" s="109">
        <v>0.1</v>
      </c>
      <c r="J39" s="195">
        <f t="shared" si="1"/>
        <v>7777.7777777777774</v>
      </c>
      <c r="K39" s="306">
        <f>VLOOKUP(Implements7[[#This Row],[ASABEtype]],ASABECoefficients8[],4,FALSE)/Implements7[[#This Row],[Use (hr/yr)]]</f>
        <v>16.666666666666668</v>
      </c>
      <c r="L39" s="106">
        <v>150</v>
      </c>
      <c r="M39" s="111">
        <f t="shared" si="2"/>
        <v>2472.7272727272725</v>
      </c>
      <c r="N39" s="111" t="s">
        <v>706</v>
      </c>
      <c r="O39" s="106" t="s">
        <v>475</v>
      </c>
      <c r="P39" s="106">
        <v>10</v>
      </c>
      <c r="Q39" s="109">
        <v>0.85</v>
      </c>
      <c r="R39" s="109">
        <v>1.02</v>
      </c>
      <c r="S39" s="106">
        <v>70</v>
      </c>
      <c r="T39"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0.20252610272516691</v>
      </c>
      <c r="U39" s="113">
        <f>Implements7[[#This Row],[TradeIn%]]*Implements7[[#This Row],[PriceL]]</f>
        <v>1575.2030211957426</v>
      </c>
      <c r="V39" s="114">
        <f>(Implements7[[#This Row],[PriceP]]-Implements7[[#This Row],[TradeIn$]])/Implements7[[#This Row],[Life (yr)]]/Implements7[[#This Row],[Use (hr/yr)]]</f>
        <v>2.1699187915217029</v>
      </c>
      <c r="W39" s="114">
        <f>((Implements7[[#This Row],[PriceP]]+Implements7[[#This Row],[TradeIn$]])/2*($BP$7+$BP$8+$BP$9)+Implements7[[#This Row],[Shed (ft^2)]]*$BP$12)/Implements7[[#This Row],[Use (hr/yr)]]</f>
        <v>2.9819870740631123</v>
      </c>
      <c r="X39" s="114">
        <f>Implements7[[#This Row],[PriceL]]*(VLOOKUP(Implements7[[#This Row],[ASABEtype]],$BC$6:$BM$52,2)*(Implements7[[#This Row],[Life (yr)]]*Implements7[[#This Row],[Use (hr/yr)]]/1000)^VLOOKUP(Implements7[[#This Row],[ASABEtype]],$BC$6:$BM$52,3))/Implements7[[#This Row],[Life (yr)]]/Implements7[[#This Row],[Use (hr/yr)]]</f>
        <v>1.9075698755884263</v>
      </c>
      <c r="Y39" s="114">
        <f>Implements7[[#This Row],[Depr ($/hr)]]+Implements7[[#This Row],[OH ($/hr)]]</f>
        <v>5.1519058655848156</v>
      </c>
      <c r="Z39" s="114">
        <f>(Implements7[[#This Row],[PriceP]]-Implements7[[#This Row],[TradeIn$]])/Implements7[[#This Row],[Life (yr)]]/Implements7[[#This Row],[Use (ac/yr)]]</f>
        <v>0.13163110316216214</v>
      </c>
      <c r="AA39" s="114">
        <f>((Implements7[[#This Row],[PriceP]]+Implements7[[#This Row],[TradeIn$]])/2*($BP$7+$BP$8+$BP$9)+Implements7[[#This Row],[Shed (ft^2)]]*$BP$12)/Implements7[[#This Row],[Use (ac/yr)]]</f>
        <v>0.1808925982427991</v>
      </c>
      <c r="AB39"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0.11571655495297441</v>
      </c>
      <c r="AC39" s="115">
        <f>$BP$18/(Implements7[[#This Row],[Width]]*Implements7[[#This Row],[Speed]]*Implements7[[#This Row],[Efficiency]])</f>
        <v>6.0661764705882353E-2</v>
      </c>
      <c r="AD39" s="116">
        <f>IF(Implements7[[#This Row],[Use basis]]=$N$128,Implements7[[#This Row],[Ownership costs ($/hr)]],SUM(Implements7[[#This Row],[Depr ($/ac)2]:[OH ($/ac)]]))</f>
        <v>0.31252370140496122</v>
      </c>
      <c r="AE39" s="116"/>
      <c r="AF39" s="100" t="s">
        <v>471</v>
      </c>
      <c r="AG39" s="116"/>
      <c r="BC39" s="125" t="s">
        <v>588</v>
      </c>
      <c r="BD39" s="146">
        <v>0.16</v>
      </c>
      <c r="BE39" s="146">
        <v>1.3</v>
      </c>
      <c r="BF39" s="146">
        <v>2000</v>
      </c>
      <c r="BG39" s="146">
        <v>0.71940000000000004</v>
      </c>
      <c r="BH39" s="146">
        <v>0.11020000000000001</v>
      </c>
      <c r="BI39" s="146">
        <v>0</v>
      </c>
      <c r="BJ39" s="146">
        <v>3.0000000000000001E-3</v>
      </c>
      <c r="BK39" s="122">
        <f t="shared" si="6"/>
        <v>1.4713690000000001E-2</v>
      </c>
      <c r="BL39" s="146">
        <v>0.12130000000000001</v>
      </c>
      <c r="BM39" s="147"/>
    </row>
    <row r="40" spans="2:65">
      <c r="B40" s="100" t="str">
        <f>Implements7[[#This Row],[Implement type]]&amp;", "&amp;Implements7[[#This Row],[Width]]&amp;" "&amp;Implements7[[#This Row],[Width Unit]]&amp; ", per "&amp;Implements7[[#This Row],[Use basis]]</f>
        <v>Inline bale wrapper, 60 Ft, per hour</v>
      </c>
      <c r="C40" s="105" t="s">
        <v>481</v>
      </c>
      <c r="D40" s="106">
        <v>60</v>
      </c>
      <c r="E40" s="107" t="s">
        <v>439</v>
      </c>
      <c r="F40" s="106"/>
      <c r="G40" s="105"/>
      <c r="H40" s="108">
        <v>32500</v>
      </c>
      <c r="I40" s="109">
        <v>0.1</v>
      </c>
      <c r="J40" s="195">
        <f t="shared" si="1"/>
        <v>36111.111111111109</v>
      </c>
      <c r="K40" s="306">
        <f>VLOOKUP(Implements7[[#This Row],[ASABEtype]],ASABECoefficients8[],4,FALSE)/Implements7[[#This Row],[Use (hr/yr)]]</f>
        <v>33.333333333333336</v>
      </c>
      <c r="L40" s="106">
        <v>150</v>
      </c>
      <c r="M40" s="111">
        <f t="shared" si="2"/>
        <v>7854.545454545455</v>
      </c>
      <c r="N40" s="111" t="s">
        <v>720</v>
      </c>
      <c r="O40" s="106" t="s">
        <v>482</v>
      </c>
      <c r="P40" s="106">
        <v>8</v>
      </c>
      <c r="Q40" s="109">
        <v>0.9</v>
      </c>
      <c r="R40" s="109">
        <v>1.1000000000000001</v>
      </c>
      <c r="S40" s="106">
        <v>200</v>
      </c>
      <c r="T40"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7.0584316860703017E-2</v>
      </c>
      <c r="U40" s="113">
        <f>Implements7[[#This Row],[TradeIn%]]*Implements7[[#This Row],[PriceL]]</f>
        <v>2548.8781088587198</v>
      </c>
      <c r="V40" s="114">
        <f>(Implements7[[#This Row],[PriceP]]-Implements7[[#This Row],[TradeIn$]])/Implements7[[#This Row],[Life (yr)]]/Implements7[[#This Row],[Use (hr/yr)]]</f>
        <v>5.9902243782282554</v>
      </c>
      <c r="W40" s="114">
        <f>((Implements7[[#This Row],[PriceP]]+Implements7[[#This Row],[TradeIn$]])/2*($BP$7+$BP$8+$BP$9)+Implements7[[#This Row],[Shed (ft^2)]]*$BP$12)/Implements7[[#This Row],[Use (hr/yr)]]</f>
        <v>11.631710993000089</v>
      </c>
      <c r="X40" s="114">
        <f>Implements7[[#This Row],[PriceL]]*(VLOOKUP(Implements7[[#This Row],[ASABEtype]],$BC$6:$BM$52,2)*(Implements7[[#This Row],[Life (yr)]]*Implements7[[#This Row],[Use (hr/yr)]]/1000)^VLOOKUP(Implements7[[#This Row],[ASABEtype]],$BC$6:$BM$52,3))/Implements7[[#This Row],[Life (yr)]]/Implements7[[#This Row],[Use (hr/yr)]]</f>
        <v>1.4227025607187072</v>
      </c>
      <c r="Y40" s="114">
        <f>Implements7[[#This Row],[Depr ($/hr)]]+Implements7[[#This Row],[OH ($/hr)]]</f>
        <v>17.621935371228346</v>
      </c>
      <c r="Z40" s="114">
        <f>(Implements7[[#This Row],[PriceP]]-Implements7[[#This Row],[TradeIn$]])/Implements7[[#This Row],[Life (yr)]]/Implements7[[#This Row],[Use (ac/yr)]]</f>
        <v>0.11439664611199793</v>
      </c>
      <c r="AA40" s="114">
        <f>((Implements7[[#This Row],[PriceP]]+Implements7[[#This Row],[TradeIn$]])/2*($BP$7+$BP$8+$BP$9)+Implements7[[#This Row],[Shed (ft^2)]]*$BP$12)/Implements7[[#This Row],[Use (ac/yr)]]</f>
        <v>0.2221333696579878</v>
      </c>
      <c r="AB40"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1.4227025607187072</v>
      </c>
      <c r="AC40" s="115">
        <f>$BP$18/(Implements7[[#This Row],[Width]]*Implements7[[#This Row],[Speed]]*Implements7[[#This Row],[Efficiency]])</f>
        <v>1.9097222222222224E-2</v>
      </c>
      <c r="AD40" s="116">
        <f>IF(Implements7[[#This Row],[Use basis]]=$N$128,Implements7[[#This Row],[Ownership costs ($/hr)]],SUM(Implements7[[#This Row],[Depr ($/ac)2]:[OH ($/ac)]]))</f>
        <v>17.621935371228346</v>
      </c>
      <c r="AE40" s="116"/>
      <c r="AF40" s="100" t="s">
        <v>471</v>
      </c>
      <c r="AG40" s="116"/>
      <c r="BC40" s="125" t="s">
        <v>589</v>
      </c>
      <c r="BD40" s="146">
        <v>0.23</v>
      </c>
      <c r="BE40" s="146">
        <v>1.4</v>
      </c>
      <c r="BF40" s="146">
        <v>2000</v>
      </c>
      <c r="BG40" s="146">
        <v>0.69269999999999998</v>
      </c>
      <c r="BH40" s="146">
        <v>7.0300000000000001E-2</v>
      </c>
      <c r="BI40" s="146">
        <v>0</v>
      </c>
      <c r="BJ40" s="146">
        <v>1.1999999999999999E-3</v>
      </c>
      <c r="BK40" s="122">
        <f t="shared" si="6"/>
        <v>1.4957290000000002E-2</v>
      </c>
      <c r="BL40" s="146">
        <v>0.12230000000000001</v>
      </c>
      <c r="BM40" s="147"/>
    </row>
    <row r="41" spans="2:65">
      <c r="B41" s="100" t="str">
        <f>Implements7[[#This Row],[Implement type]]&amp;", "&amp;Implements7[[#This Row],[Width]]&amp;" "&amp;Implements7[[#This Row],[Width Unit]]&amp; ", per "&amp;Implements7[[#This Row],[Use basis]]</f>
        <v>Large rectangular baler, 30 Ft, per acre</v>
      </c>
      <c r="C41" s="105" t="s">
        <v>483</v>
      </c>
      <c r="D41" s="106">
        <v>30</v>
      </c>
      <c r="E41" s="107" t="s">
        <v>439</v>
      </c>
      <c r="F41" s="106" t="s">
        <v>484</v>
      </c>
      <c r="G41" s="106"/>
      <c r="H41" s="108">
        <v>155500</v>
      </c>
      <c r="I41" s="109">
        <v>0.1</v>
      </c>
      <c r="J41" s="195">
        <f t="shared" si="1"/>
        <v>172777.77777777778</v>
      </c>
      <c r="K41" s="306">
        <f>VLOOKUP(Implements7[[#This Row],[ASABEtype]],ASABECoefficients8[],4,FALSE)/Implements7[[#This Row],[Use (hr/yr)]]</f>
        <v>20</v>
      </c>
      <c r="L41" s="106">
        <v>150</v>
      </c>
      <c r="M41" s="111">
        <f t="shared" si="2"/>
        <v>2618.181818181818</v>
      </c>
      <c r="N41" s="111" t="s">
        <v>706</v>
      </c>
      <c r="O41" s="106" t="s">
        <v>483</v>
      </c>
      <c r="P41" s="106">
        <v>6</v>
      </c>
      <c r="Q41" s="109">
        <v>0.8</v>
      </c>
      <c r="R41" s="109">
        <v>1.1100000000000001</v>
      </c>
      <c r="S41" s="106">
        <v>250</v>
      </c>
      <c r="T41"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0.16588693183050801</v>
      </c>
      <c r="U41" s="113">
        <f>Implements7[[#This Row],[TradeIn%]]*Implements7[[#This Row],[PriceL]]</f>
        <v>28661.575444048885</v>
      </c>
      <c r="V41" s="114">
        <f>(Implements7[[#This Row],[PriceP]]-Implements7[[#This Row],[TradeIn$]])/Implements7[[#This Row],[Life (yr)]]/Implements7[[#This Row],[Use (hr/yr)]]</f>
        <v>42.279474851983707</v>
      </c>
      <c r="W41" s="114">
        <f>((Implements7[[#This Row],[PriceP]]+Implements7[[#This Row],[TradeIn$]])/2*($BP$7+$BP$8+$BP$9)+Implements7[[#This Row],[Shed (ft^2)]]*$BP$12)/Implements7[[#This Row],[Use (hr/yr)]]</f>
        <v>55.94302969460287</v>
      </c>
      <c r="X41" s="114">
        <f>Implements7[[#This Row],[PriceL]]*(VLOOKUP(Implements7[[#This Row],[ASABEtype]],$BC$6:$BM$52,2)*(Implements7[[#This Row],[Life (yr)]]*Implements7[[#This Row],[Use (hr/yr)]]/1000)^VLOOKUP(Implements7[[#This Row],[ASABEtype]],$BC$6:$BM$52,3))/Implements7[[#This Row],[Life (yr)]]/Implements7[[#This Row],[Use (hr/yr)]]</f>
        <v>41.60877095123864</v>
      </c>
      <c r="Y41" s="114">
        <f>Implements7[[#This Row],[Depr ($/hr)]]+Implements7[[#This Row],[OH ($/hr)]]</f>
        <v>98.222504546586578</v>
      </c>
      <c r="Z41" s="114">
        <f>(Implements7[[#This Row],[PriceP]]-Implements7[[#This Row],[TradeIn$]])/Implements7[[#This Row],[Life (yr)]]/Implements7[[#This Row],[Use (ac/yr)]]</f>
        <v>2.4222615800615666</v>
      </c>
      <c r="AA41" s="114">
        <f>((Implements7[[#This Row],[PriceP]]+Implements7[[#This Row],[TradeIn$]])/2*($BP$7+$BP$8+$BP$9)+Implements7[[#This Row],[Shed (ft^2)]]*$BP$12)/Implements7[[#This Row],[Use (ac/yr)]]</f>
        <v>3.2050694095866232</v>
      </c>
      <c r="AB41"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2.3838358357480471</v>
      </c>
      <c r="AC41" s="115">
        <f>$BP$18/(Implements7[[#This Row],[Width]]*Implements7[[#This Row],[Speed]]*Implements7[[#This Row],[Efficiency]])</f>
        <v>5.7291666666666664E-2</v>
      </c>
      <c r="AD41" s="116">
        <f>IF(Implements7[[#This Row],[Use basis]]=$N$128,Implements7[[#This Row],[Ownership costs ($/hr)]],SUM(Implements7[[#This Row],[Depr ($/ac)2]:[OH ($/ac)]]))</f>
        <v>5.6273309896481898</v>
      </c>
      <c r="AE41" s="118">
        <v>35</v>
      </c>
      <c r="AF41" s="100" t="s">
        <v>471</v>
      </c>
      <c r="AG41" s="116"/>
      <c r="BC41" s="125" t="s">
        <v>590</v>
      </c>
      <c r="BD41" s="146">
        <v>0.36</v>
      </c>
      <c r="BE41" s="146">
        <v>2</v>
      </c>
      <c r="BF41" s="146">
        <v>1500</v>
      </c>
      <c r="BG41" s="146">
        <v>0.71940000000000004</v>
      </c>
      <c r="BH41" s="146">
        <v>0.11020000000000001</v>
      </c>
      <c r="BI41" s="146">
        <v>0</v>
      </c>
      <c r="BJ41" s="146">
        <v>3.0000000000000001E-3</v>
      </c>
      <c r="BK41" s="122">
        <f t="shared" si="6"/>
        <v>1.4713690000000001E-2</v>
      </c>
      <c r="BL41" s="146">
        <v>0.12130000000000001</v>
      </c>
      <c r="BM41" s="147"/>
    </row>
    <row r="42" spans="2:65">
      <c r="B42" s="100" t="str">
        <f>Implements7[[#This Row],[Implement type]]&amp;", "&amp;Implements7[[#This Row],[Width]]&amp;" "&amp;Implements7[[#This Row],[Width Unit]]&amp; ", per "&amp;Implements7[[#This Row],[Use basis]]</f>
        <v>Large rectangular baler, 30 Ft, per acre</v>
      </c>
      <c r="C42" s="105" t="s">
        <v>483</v>
      </c>
      <c r="D42" s="106">
        <v>30</v>
      </c>
      <c r="E42" s="107" t="s">
        <v>439</v>
      </c>
      <c r="F42" s="106" t="s">
        <v>485</v>
      </c>
      <c r="G42" s="106"/>
      <c r="H42" s="108">
        <v>188000</v>
      </c>
      <c r="I42" s="109">
        <v>0.1</v>
      </c>
      <c r="J42" s="195">
        <f t="shared" si="1"/>
        <v>208888.88888888888</v>
      </c>
      <c r="K42" s="306">
        <f>VLOOKUP(Implements7[[#This Row],[ASABEtype]],ASABECoefficients8[],4,FALSE)/Implements7[[#This Row],[Use (hr/yr)]]</f>
        <v>20</v>
      </c>
      <c r="L42" s="106">
        <v>150</v>
      </c>
      <c r="M42" s="111">
        <f t="shared" si="2"/>
        <v>2618.181818181818</v>
      </c>
      <c r="N42" s="111" t="s">
        <v>706</v>
      </c>
      <c r="O42" s="106" t="s">
        <v>483</v>
      </c>
      <c r="P42" s="106">
        <v>6</v>
      </c>
      <c r="Q42" s="109">
        <v>0.8</v>
      </c>
      <c r="R42" s="109">
        <v>1.1100000000000001</v>
      </c>
      <c r="S42" s="106">
        <v>250</v>
      </c>
      <c r="T42"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0.16588693183050801</v>
      </c>
      <c r="U42" s="113">
        <f>Implements7[[#This Row],[TradeIn%]]*Implements7[[#This Row],[PriceL]]</f>
        <v>34651.936871261671</v>
      </c>
      <c r="V42" s="114">
        <f>(Implements7[[#This Row],[PriceP]]-Implements7[[#This Row],[TradeIn$]])/Implements7[[#This Row],[Life (yr)]]/Implements7[[#This Row],[Use (hr/yr)]]</f>
        <v>51.116021042912777</v>
      </c>
      <c r="W42" s="114">
        <f>((Implements7[[#This Row],[PriceP]]+Implements7[[#This Row],[TradeIn$]])/2*($BP$7+$BP$8+$BP$9)+Implements7[[#This Row],[Shed (ft^2)]]*$BP$12)/Implements7[[#This Row],[Use (hr/yr)]]</f>
        <v>67.297686315630656</v>
      </c>
      <c r="X42" s="114">
        <f>Implements7[[#This Row],[PriceL]]*(VLOOKUP(Implements7[[#This Row],[ASABEtype]],$BC$6:$BM$52,2)*(Implements7[[#This Row],[Life (yr)]]*Implements7[[#This Row],[Use (hr/yr)]]/1000)^VLOOKUP(Implements7[[#This Row],[ASABEtype]],$BC$6:$BM$52,3))/Implements7[[#This Row],[Life (yr)]]/Implements7[[#This Row],[Use (hr/yr)]]</f>
        <v>50.305137870307796</v>
      </c>
      <c r="Y42" s="114">
        <f>Implements7[[#This Row],[Depr ($/hr)]]+Implements7[[#This Row],[OH ($/hr)]]</f>
        <v>118.41370735854343</v>
      </c>
      <c r="Z42" s="114">
        <f>(Implements7[[#This Row],[PriceP]]-Implements7[[#This Row],[TradeIn$]])/Implements7[[#This Row],[Life (yr)]]/Implements7[[#This Row],[Use (ac/yr)]]</f>
        <v>2.9285220389168778</v>
      </c>
      <c r="AA42" s="114">
        <f>((Implements7[[#This Row],[PriceP]]+Implements7[[#This Row],[TradeIn$]])/2*($BP$7+$BP$8+$BP$9)+Implements7[[#This Row],[Shed (ft^2)]]*$BP$12)/Implements7[[#This Row],[Use (ac/yr)]]</f>
        <v>3.8555966118330067</v>
      </c>
      <c r="AB42"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2.8820651904863843</v>
      </c>
      <c r="AC42" s="115">
        <f>$BP$18/(Implements7[[#This Row],[Width]]*Implements7[[#This Row],[Speed]]*Implements7[[#This Row],[Efficiency]])</f>
        <v>5.7291666666666664E-2</v>
      </c>
      <c r="AD42" s="116">
        <f>IF(Implements7[[#This Row],[Use basis]]=$N$128,Implements7[[#This Row],[Ownership costs ($/hr)]],SUM(Implements7[[#This Row],[Depr ($/ac)2]:[OH ($/ac)]]))</f>
        <v>6.7841186507498845</v>
      </c>
      <c r="AE42" s="118">
        <v>36</v>
      </c>
      <c r="AF42" s="100" t="s">
        <v>471</v>
      </c>
      <c r="AG42" s="116"/>
      <c r="AU42" s="140"/>
      <c r="BC42" s="125" t="s">
        <v>510</v>
      </c>
      <c r="BD42" s="146">
        <v>0.17</v>
      </c>
      <c r="BE42" s="146">
        <v>2.2000000000000002</v>
      </c>
      <c r="BF42" s="146">
        <v>2000</v>
      </c>
      <c r="BG42" s="146">
        <v>0.69269999999999998</v>
      </c>
      <c r="BH42" s="146">
        <v>7.0300000000000001E-2</v>
      </c>
      <c r="BI42" s="146">
        <v>0</v>
      </c>
      <c r="BJ42" s="146">
        <v>1.1999999999999999E-3</v>
      </c>
      <c r="BK42" s="122">
        <f t="shared" si="6"/>
        <v>1.4957290000000002E-2</v>
      </c>
      <c r="BL42" s="146">
        <v>0.12230000000000001</v>
      </c>
      <c r="BM42" s="147"/>
    </row>
    <row r="43" spans="2:65">
      <c r="B43" s="100" t="str">
        <f>Implements7[[#This Row],[Implement type]]&amp;", "&amp;Implements7[[#This Row],[Width]]&amp;" "&amp;Implements7[[#This Row],[Width Unit]]&amp; ", per "&amp;Implements7[[#This Row],[Use basis]]</f>
        <v>Round baler w/net wrap, 30 Ft, per acre</v>
      </c>
      <c r="C43" s="107" t="s">
        <v>486</v>
      </c>
      <c r="D43" s="106">
        <v>30</v>
      </c>
      <c r="E43" s="107" t="s">
        <v>439</v>
      </c>
      <c r="F43" s="106" t="s">
        <v>487</v>
      </c>
      <c r="G43" s="106"/>
      <c r="H43" s="108">
        <v>110000</v>
      </c>
      <c r="I43" s="109">
        <v>0.1</v>
      </c>
      <c r="J43" s="195">
        <f t="shared" si="1"/>
        <v>122222.22222222222</v>
      </c>
      <c r="K43" s="306">
        <f>VLOOKUP(Implements7[[#This Row],[ASABEtype]],ASABECoefficients8[],4,FALSE)/Implements7[[#This Row],[Use (hr/yr)]]</f>
        <v>10</v>
      </c>
      <c r="L43" s="106">
        <v>150</v>
      </c>
      <c r="M43" s="111">
        <f t="shared" si="2"/>
        <v>1772.7272727272727</v>
      </c>
      <c r="N43" s="111" t="s">
        <v>706</v>
      </c>
      <c r="O43" s="106" t="s">
        <v>488</v>
      </c>
      <c r="P43" s="106">
        <v>5</v>
      </c>
      <c r="Q43" s="109">
        <v>0.65</v>
      </c>
      <c r="R43" s="109">
        <v>1.1100000000000001</v>
      </c>
      <c r="S43" s="106">
        <v>120</v>
      </c>
      <c r="T43"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0.30387745405545891</v>
      </c>
      <c r="U43" s="113">
        <f>Implements7[[#This Row],[TradeIn%]]*Implements7[[#This Row],[PriceL]]</f>
        <v>37140.57771788942</v>
      </c>
      <c r="V43" s="114">
        <f>(Implements7[[#This Row],[PriceP]]-Implements7[[#This Row],[TradeIn$]])/Implements7[[#This Row],[Life (yr)]]/Implements7[[#This Row],[Use (hr/yr)]]</f>
        <v>48.572948188073724</v>
      </c>
      <c r="W43" s="114">
        <f>((Implements7[[#This Row],[PriceP]]+Implements7[[#This Row],[TradeIn$]])/2*($BP$7+$BP$8+$BP$9)+Implements7[[#This Row],[Shed (ft^2)]]*$BP$12)/Implements7[[#This Row],[Use (hr/yr)]]</f>
        <v>44.18184559730944</v>
      </c>
      <c r="X43" s="114">
        <f>Implements7[[#This Row],[PriceL]]*(VLOOKUP(Implements7[[#This Row],[ASABEtype]],$BC$6:$BM$52,2)*(Implements7[[#This Row],[Life (yr)]]*Implements7[[#This Row],[Use (hr/yr)]]/1000)^VLOOKUP(Implements7[[#This Row],[ASABEtype]],$BC$6:$BM$52,3))/Implements7[[#This Row],[Life (yr)]]/Implements7[[#This Row],[Use (hr/yr)]]</f>
        <v>72.692840355142863</v>
      </c>
      <c r="Y43" s="114">
        <f>Implements7[[#This Row],[Depr ($/hr)]]+Implements7[[#This Row],[OH ($/hr)]]</f>
        <v>92.754793785383157</v>
      </c>
      <c r="Z43" s="114">
        <f>(Implements7[[#This Row],[PriceP]]-Implements7[[#This Row],[TradeIn$]])/Implements7[[#This Row],[Life (yr)]]/Implements7[[#This Row],[Use (ac/yr)]]</f>
        <v>4.1100186928370075</v>
      </c>
      <c r="AA43" s="114">
        <f>((Implements7[[#This Row],[PriceP]]+Implements7[[#This Row],[TradeIn$]])/2*($BP$7+$BP$8+$BP$9)+Implements7[[#This Row],[Shed (ft^2)]]*$BP$12)/Implements7[[#This Row],[Use (ac/yr)]]</f>
        <v>3.7384638582338754</v>
      </c>
      <c r="AB43"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6.1509326454351649</v>
      </c>
      <c r="AC43" s="115">
        <f>$BP$18/(Implements7[[#This Row],[Width]]*Implements7[[#This Row],[Speed]]*Implements7[[#This Row],[Efficiency]])</f>
        <v>8.461538461538462E-2</v>
      </c>
      <c r="AD43" s="116">
        <f>IF(Implements7[[#This Row],[Use basis]]=$N$128,Implements7[[#This Row],[Ownership costs ($/hr)]],SUM(Implements7[[#This Row],[Depr ($/ac)2]:[OH ($/ac)]]))</f>
        <v>7.8484825510708829</v>
      </c>
      <c r="AE43" s="118">
        <v>34</v>
      </c>
      <c r="AF43" s="100" t="s">
        <v>471</v>
      </c>
      <c r="AG43" s="116"/>
      <c r="AU43" s="166"/>
      <c r="BC43" s="125" t="s">
        <v>500</v>
      </c>
      <c r="BD43" s="146">
        <v>0.32</v>
      </c>
      <c r="BE43" s="146">
        <v>2.1</v>
      </c>
      <c r="BF43" s="146">
        <v>1500</v>
      </c>
      <c r="BG43" s="146">
        <v>0.85540000000000005</v>
      </c>
      <c r="BH43" s="146">
        <v>0.1177</v>
      </c>
      <c r="BI43" s="146">
        <v>0</v>
      </c>
      <c r="BJ43" s="146">
        <v>2.8999999999999998E-3</v>
      </c>
      <c r="BK43" s="122">
        <f t="shared" si="6"/>
        <v>1.6230760000000004E-2</v>
      </c>
      <c r="BL43" s="146">
        <v>0.12740000000000001</v>
      </c>
      <c r="BM43" s="147"/>
    </row>
    <row r="44" spans="2:65">
      <c r="B44" s="100" t="str">
        <f>Implements7[[#This Row],[Implement type]]&amp;", "&amp;Implements7[[#This Row],[Width]]&amp;" "&amp;Implements7[[#This Row],[Width Unit]]&amp; ", per "&amp;Implements7[[#This Row],[Use basis]]</f>
        <v>Round baler, 30 Ft, per acre</v>
      </c>
      <c r="C44" s="107" t="s">
        <v>489</v>
      </c>
      <c r="D44" s="106">
        <v>30</v>
      </c>
      <c r="E44" s="107" t="s">
        <v>439</v>
      </c>
      <c r="F44" s="106" t="s">
        <v>487</v>
      </c>
      <c r="G44" s="106"/>
      <c r="H44" s="108">
        <v>100500</v>
      </c>
      <c r="I44" s="109">
        <v>0.1</v>
      </c>
      <c r="J44" s="195">
        <f t="shared" si="1"/>
        <v>111666.66666666666</v>
      </c>
      <c r="K44" s="306">
        <f>VLOOKUP(Implements7[[#This Row],[ASABEtype]],ASABECoefficients8[],4,FALSE)/Implements7[[#This Row],[Use (hr/yr)]]</f>
        <v>10</v>
      </c>
      <c r="L44" s="106">
        <v>150</v>
      </c>
      <c r="M44" s="111">
        <f t="shared" si="2"/>
        <v>1772.7272727272727</v>
      </c>
      <c r="N44" s="111" t="s">
        <v>706</v>
      </c>
      <c r="O44" s="106" t="s">
        <v>488</v>
      </c>
      <c r="P44" s="106">
        <v>5</v>
      </c>
      <c r="Q44" s="109">
        <v>0.65</v>
      </c>
      <c r="R44" s="109">
        <v>1.1100000000000001</v>
      </c>
      <c r="S44" s="106">
        <v>120</v>
      </c>
      <c r="T44"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0.30387745405545891</v>
      </c>
      <c r="U44" s="113">
        <f>Implements7[[#This Row],[TradeIn%]]*Implements7[[#This Row],[PriceL]]</f>
        <v>33932.982369526238</v>
      </c>
      <c r="V44" s="114">
        <f>(Implements7[[#This Row],[PriceP]]-Implements7[[#This Row],[TradeIn$]])/Implements7[[#This Row],[Life (yr)]]/Implements7[[#This Row],[Use (hr/yr)]]</f>
        <v>44.378011753649176</v>
      </c>
      <c r="W44" s="114">
        <f>((Implements7[[#This Row],[PriceP]]+Implements7[[#This Row],[TradeIn$]])/2*($BP$7+$BP$8+$BP$9)+Implements7[[#This Row],[Shed (ft^2)]]*$BP$12)/Implements7[[#This Row],[Use (hr/yr)]]</f>
        <v>40.433104969542299</v>
      </c>
      <c r="X44" s="114">
        <f>Implements7[[#This Row],[PriceL]]*(VLOOKUP(Implements7[[#This Row],[ASABEtype]],$BC$6:$BM$52,2)*(Implements7[[#This Row],[Life (yr)]]*Implements7[[#This Row],[Use (hr/yr)]]/1000)^VLOOKUP(Implements7[[#This Row],[ASABEtype]],$BC$6:$BM$52,3))/Implements7[[#This Row],[Life (yr)]]/Implements7[[#This Row],[Use (hr/yr)]]</f>
        <v>66.41482232447143</v>
      </c>
      <c r="Y44" s="114">
        <f>Implements7[[#This Row],[Depr ($/hr)]]+Implements7[[#This Row],[OH ($/hr)]]</f>
        <v>84.811116723191475</v>
      </c>
      <c r="Z44" s="114">
        <f>(Implements7[[#This Row],[PriceP]]-Implements7[[#This Row],[TradeIn$]])/Implements7[[#This Row],[Life (yr)]]/Implements7[[#This Row],[Use (ac/yr)]]</f>
        <v>3.7550625330010843</v>
      </c>
      <c r="AA44" s="114">
        <f>((Implements7[[#This Row],[PriceP]]+Implements7[[#This Row],[TradeIn$]])/2*($BP$7+$BP$8+$BP$9)+Implements7[[#This Row],[Shed (ft^2)]]*$BP$12)/Implements7[[#This Row],[Use (ac/yr)]]</f>
        <v>3.4212627281920405</v>
      </c>
      <c r="AB44"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5.619715735147583</v>
      </c>
      <c r="AC44" s="115">
        <f>$BP$18/(Implements7[[#This Row],[Width]]*Implements7[[#This Row],[Speed]]*Implements7[[#This Row],[Efficiency]])</f>
        <v>8.461538461538462E-2</v>
      </c>
      <c r="AD44" s="116">
        <f>IF(Implements7[[#This Row],[Use basis]]=$N$128,Implements7[[#This Row],[Ownership costs ($/hr)]],SUM(Implements7[[#This Row],[Depr ($/ac)2]:[OH ($/ac)]]))</f>
        <v>7.1763252611931243</v>
      </c>
      <c r="AE44" s="118">
        <v>33</v>
      </c>
      <c r="AF44" s="100" t="s">
        <v>471</v>
      </c>
      <c r="AG44" s="116"/>
      <c r="AU44" s="166"/>
      <c r="BC44" s="125" t="s">
        <v>475</v>
      </c>
      <c r="BD44" s="146">
        <v>0.17</v>
      </c>
      <c r="BE44" s="146">
        <v>1.4</v>
      </c>
      <c r="BF44" s="146">
        <v>2500</v>
      </c>
      <c r="BG44" s="146">
        <v>0.80910000000000004</v>
      </c>
      <c r="BH44" s="146">
        <v>0.1109</v>
      </c>
      <c r="BI44" s="146">
        <v>0</v>
      </c>
      <c r="BJ44" s="146">
        <v>1.4E-3</v>
      </c>
      <c r="BK44" s="122">
        <f t="shared" si="6"/>
        <v>1.605289E-2</v>
      </c>
      <c r="BL44" s="146">
        <v>0.12670000000000001</v>
      </c>
      <c r="BM44" s="147"/>
    </row>
    <row r="45" spans="2:65">
      <c r="B45" s="100" t="str">
        <f>Implements7[[#This Row],[Implement type]]&amp;", "&amp;Implements7[[#This Row],[Width]]&amp;" "&amp;Implements7[[#This Row],[Width Unit]]&amp; ", per "&amp;Implements7[[#This Row],[Use basis]]</f>
        <v>Small square baler, twine tie, 20 Ft, per acre</v>
      </c>
      <c r="C45" s="105" t="s">
        <v>490</v>
      </c>
      <c r="D45" s="106">
        <v>20</v>
      </c>
      <c r="E45" s="107" t="s">
        <v>439</v>
      </c>
      <c r="F45" s="106" t="s">
        <v>66</v>
      </c>
      <c r="G45" s="106" t="s">
        <v>66</v>
      </c>
      <c r="H45" s="108">
        <v>36000</v>
      </c>
      <c r="I45" s="109">
        <v>0.1</v>
      </c>
      <c r="J45" s="195">
        <f t="shared" si="1"/>
        <v>40000</v>
      </c>
      <c r="K45" s="306">
        <f>VLOOKUP(Implements7[[#This Row],[ASABEtype]],ASABECoefficients8[],4,FALSE)/Implements7[[#This Row],[Use (hr/yr)]]</f>
        <v>20</v>
      </c>
      <c r="L45" s="106">
        <v>100</v>
      </c>
      <c r="M45" s="111">
        <f t="shared" si="2"/>
        <v>727.27272727272725</v>
      </c>
      <c r="N45" s="111" t="s">
        <v>706</v>
      </c>
      <c r="O45" s="106" t="s">
        <v>491</v>
      </c>
      <c r="P45" s="106">
        <v>4</v>
      </c>
      <c r="Q45" s="109">
        <v>0.75</v>
      </c>
      <c r="R45" s="109">
        <v>1.1100000000000001</v>
      </c>
      <c r="S45" s="106">
        <v>184</v>
      </c>
      <c r="T45"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0.16588693183050801</v>
      </c>
      <c r="U45" s="113">
        <f>Implements7[[#This Row],[TradeIn%]]*Implements7[[#This Row],[PriceL]]</f>
        <v>6635.4772732203201</v>
      </c>
      <c r="V45" s="114">
        <f>(Implements7[[#This Row],[PriceP]]-Implements7[[#This Row],[TradeIn$]])/Implements7[[#This Row],[Life (yr)]]/Implements7[[#This Row],[Use (hr/yr)]]</f>
        <v>14.68226136338984</v>
      </c>
      <c r="W45" s="114">
        <f>((Implements7[[#This Row],[PriceP]]+Implements7[[#This Row],[TradeIn$]])/2*($BP$7+$BP$8+$BP$9)+Implements7[[#This Row],[Shed (ft^2)]]*$BP$12)/Implements7[[#This Row],[Use (hr/yr)]]</f>
        <v>20.649561585623729</v>
      </c>
      <c r="X45" s="114">
        <f>Implements7[[#This Row],[PriceL]]*(VLOOKUP(Implements7[[#This Row],[ASABEtype]],$BC$6:$BM$52,2)*(Implements7[[#This Row],[Life (yr)]]*Implements7[[#This Row],[Use (hr/yr)]]/1000)^VLOOKUP(Implements7[[#This Row],[ASABEtype]],$BC$6:$BM$52,3))/Implements7[[#This Row],[Life (yr)]]/Implements7[[#This Row],[Use (hr/yr)]]</f>
        <v>16.018130364648684</v>
      </c>
      <c r="Y45" s="114">
        <f>Implements7[[#This Row],[Depr ($/hr)]]+Implements7[[#This Row],[OH ($/hr)]]</f>
        <v>35.331822949013571</v>
      </c>
      <c r="Z45" s="114">
        <f>(Implements7[[#This Row],[PriceP]]-Implements7[[#This Row],[TradeIn$]])/Implements7[[#This Row],[Life (yr)]]/Implements7[[#This Row],[Use (ac/yr)]]</f>
        <v>2.0188109374661027</v>
      </c>
      <c r="AA45" s="114">
        <f>((Implements7[[#This Row],[PriceP]]+Implements7[[#This Row],[TradeIn$]])/2*($BP$7+$BP$8+$BP$9)+Implements7[[#This Row],[Shed (ft^2)]]*$BP$12)/Implements7[[#This Row],[Use (ac/yr)]]</f>
        <v>2.8393147180232625</v>
      </c>
      <c r="AB45"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2.202492925139194</v>
      </c>
      <c r="AC45" s="115">
        <f>$BP$18/(Implements7[[#This Row],[Width]]*Implements7[[#This Row],[Speed]]*Implements7[[#This Row],[Efficiency]])</f>
        <v>0.13750000000000001</v>
      </c>
      <c r="AD45" s="116">
        <f>IF(Implements7[[#This Row],[Use basis]]=$N$128,Implements7[[#This Row],[Ownership costs ($/hr)]],SUM(Implements7[[#This Row],[Depr ($/ac)2]:[OH ($/ac)]]))</f>
        <v>4.8581256554893653</v>
      </c>
      <c r="AE45" s="118">
        <v>32</v>
      </c>
      <c r="AF45" s="100" t="s">
        <v>471</v>
      </c>
      <c r="AG45" s="116"/>
      <c r="BC45" s="100" t="s">
        <v>440</v>
      </c>
      <c r="BD45" s="101">
        <v>7.0000000000000001E-3</v>
      </c>
      <c r="BE45" s="101">
        <v>2</v>
      </c>
      <c r="BF45" s="101">
        <v>3000</v>
      </c>
      <c r="BG45" s="101">
        <v>0.72750000000000004</v>
      </c>
      <c r="BH45" s="101">
        <v>8.0600000000000005E-2</v>
      </c>
      <c r="BI45" s="101">
        <v>2.5000000000000001E-3</v>
      </c>
      <c r="BJ45" s="101">
        <v>4.0000000000000001E-3</v>
      </c>
      <c r="BK45" s="100">
        <v>8.1199999999999994E-2</v>
      </c>
      <c r="BL45" s="146"/>
      <c r="BM45" s="147"/>
    </row>
    <row r="46" spans="2:65">
      <c r="B46" s="100" t="str">
        <f>Implements7[[#This Row],[Implement type]]&amp;", "&amp;Implements7[[#This Row],[Width]]&amp;" "&amp;Implements7[[#This Row],[Width Unit]]&amp; ", per "&amp;Implements7[[#This Row],[Use basis]]</f>
        <v>Rotary Mower (brush hog), 15 Ft Folding, per acre</v>
      </c>
      <c r="C46" s="105" t="s">
        <v>492</v>
      </c>
      <c r="D46" s="106">
        <v>15</v>
      </c>
      <c r="E46" s="107" t="s">
        <v>458</v>
      </c>
      <c r="F46" s="106"/>
      <c r="G46" s="105"/>
      <c r="H46" s="108">
        <v>28000</v>
      </c>
      <c r="I46" s="109">
        <v>0.1</v>
      </c>
      <c r="J46" s="195">
        <f t="shared" si="1"/>
        <v>31111.111111111109</v>
      </c>
      <c r="K46" s="306">
        <f>VLOOKUP(Implements7[[#This Row],[ASABEtype]],ASABECoefficients8[],4,FALSE)/Implements7[[#This Row],[Use (hr/yr)]]</f>
        <v>20</v>
      </c>
      <c r="L46" s="106">
        <v>100</v>
      </c>
      <c r="M46" s="111">
        <f t="shared" si="2"/>
        <v>772.72727272727275</v>
      </c>
      <c r="N46" s="111" t="s">
        <v>706</v>
      </c>
      <c r="O46" s="106" t="s">
        <v>470</v>
      </c>
      <c r="P46" s="106">
        <v>5</v>
      </c>
      <c r="Q46" s="109">
        <v>0.85</v>
      </c>
      <c r="R46" s="109">
        <v>1.04</v>
      </c>
      <c r="S46" s="106">
        <v>130</v>
      </c>
      <c r="T46"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0.20998817728607747</v>
      </c>
      <c r="U46" s="113">
        <f>Implements7[[#This Row],[TradeIn%]]*Implements7[[#This Row],[PriceL]]</f>
        <v>6532.9655155668543</v>
      </c>
      <c r="V46" s="114">
        <f>(Implements7[[#This Row],[PriceP]]-Implements7[[#This Row],[TradeIn$]])/Implements7[[#This Row],[Life (yr)]]/Implements7[[#This Row],[Use (hr/yr)]]</f>
        <v>10.733517242216571</v>
      </c>
      <c r="W46" s="114">
        <f>((Implements7[[#This Row],[PriceP]]+Implements7[[#This Row],[TradeIn$]])/2*($BP$7+$BP$8+$BP$9)+Implements7[[#This Row],[Shed (ft^2)]]*$BP$12)/Implements7[[#This Row],[Use (hr/yr)]]</f>
        <v>16.54082189275293</v>
      </c>
      <c r="X46" s="114">
        <f>Implements7[[#This Row],[PriceL]]*(VLOOKUP(Implements7[[#This Row],[ASABEtype]],$BC$6:$BM$52,2)*(Implements7[[#This Row],[Life (yr)]]*Implements7[[#This Row],[Use (hr/yr)]]/1000)^VLOOKUP(Implements7[[#This Row],[ASABEtype]],$BC$6:$BM$52,3))/Implements7[[#This Row],[Life (yr)]]/Implements7[[#This Row],[Use (hr/yr)]]</f>
        <v>27.37777777777778</v>
      </c>
      <c r="Y46" s="114">
        <f>Implements7[[#This Row],[Depr ($/hr)]]+Implements7[[#This Row],[OH ($/hr)]]</f>
        <v>27.274339134969502</v>
      </c>
      <c r="Z46" s="114">
        <f>(Implements7[[#This Row],[PriceP]]-Implements7[[#This Row],[TradeIn$]])/Implements7[[#This Row],[Life (yr)]]/Implements7[[#This Row],[Use (ac/yr)]]</f>
        <v>1.3890434078162621</v>
      </c>
      <c r="AA46" s="114">
        <f>((Implements7[[#This Row],[PriceP]]+Implements7[[#This Row],[TradeIn$]])/2*($BP$7+$BP$8+$BP$9)+Implements7[[#This Row],[Shed (ft^2)]]*$BP$12)/Implements7[[#This Row],[Use (ac/yr)]]</f>
        <v>2.1405769508268495</v>
      </c>
      <c r="AB46"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3.5430065359477125</v>
      </c>
      <c r="AC46" s="115">
        <f>$BP$18/(Implements7[[#This Row],[Width]]*Implements7[[#This Row],[Speed]]*Implements7[[#This Row],[Efficiency]])</f>
        <v>0.12941176470588237</v>
      </c>
      <c r="AD46" s="116">
        <f>IF(Implements7[[#This Row],[Use basis]]=$N$128,Implements7[[#This Row],[Ownership costs ($/hr)]],SUM(Implements7[[#This Row],[Depr ($/ac)2]:[OH ($/ac)]]))</f>
        <v>3.5296203586431116</v>
      </c>
      <c r="AE46" s="116"/>
      <c r="AF46" s="100" t="s">
        <v>493</v>
      </c>
      <c r="AG46" s="116"/>
      <c r="AU46" s="166"/>
      <c r="BC46" s="125" t="s">
        <v>591</v>
      </c>
      <c r="BD46" s="146">
        <v>0.27</v>
      </c>
      <c r="BE46" s="146">
        <v>1.4</v>
      </c>
      <c r="BF46" s="146">
        <v>2000</v>
      </c>
      <c r="BG46" s="146">
        <v>0.69269999999999998</v>
      </c>
      <c r="BH46" s="146">
        <v>7.0300000000000001E-2</v>
      </c>
      <c r="BI46" s="146">
        <v>0</v>
      </c>
      <c r="BJ46" s="146">
        <v>1.1999999999999999E-3</v>
      </c>
      <c r="BK46" s="122">
        <f t="shared" ref="BK46:BK52" si="8">BL46^2</f>
        <v>1.4957290000000002E-2</v>
      </c>
      <c r="BL46" s="146">
        <v>0.12230000000000001</v>
      </c>
      <c r="BM46" s="147"/>
    </row>
    <row r="47" spans="2:65">
      <c r="B47" s="100" t="str">
        <f>Implements7[[#This Row],[Implement type]]&amp;", "&amp;Implements7[[#This Row],[Width]]&amp;" "&amp;Implements7[[#This Row],[Width Unit]]&amp; ", per "&amp;Implements7[[#This Row],[Use basis]]</f>
        <v>Stalk shredder, 20 Ft, per acre</v>
      </c>
      <c r="C47" s="105" t="s">
        <v>494</v>
      </c>
      <c r="D47" s="106">
        <v>20</v>
      </c>
      <c r="E47" s="107" t="s">
        <v>439</v>
      </c>
      <c r="F47" s="106"/>
      <c r="G47" s="106"/>
      <c r="H47" s="108">
        <v>39000</v>
      </c>
      <c r="I47" s="109">
        <v>0.1</v>
      </c>
      <c r="J47" s="195">
        <f t="shared" si="1"/>
        <v>43333.333333333336</v>
      </c>
      <c r="K47" s="306">
        <f>VLOOKUP(Implements7[[#This Row],[ASABEtype]],ASABECoefficients8[],4,FALSE)/Implements7[[#This Row],[Use (hr/yr)]]</f>
        <v>12</v>
      </c>
      <c r="L47" s="106">
        <v>100</v>
      </c>
      <c r="M47" s="111">
        <f t="shared" si="2"/>
        <v>775.75757575757575</v>
      </c>
      <c r="N47" s="111" t="s">
        <v>706</v>
      </c>
      <c r="O47" s="106" t="s">
        <v>465</v>
      </c>
      <c r="P47" s="106">
        <v>4</v>
      </c>
      <c r="Q47" s="109">
        <v>0.8</v>
      </c>
      <c r="R47" s="109">
        <v>1.1000000000000001</v>
      </c>
      <c r="S47" s="106">
        <v>231</v>
      </c>
      <c r="T47"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0.28329577093478608</v>
      </c>
      <c r="U47" s="113">
        <f>Implements7[[#This Row],[TradeIn%]]*Implements7[[#This Row],[PriceL]]</f>
        <v>12276.15007384073</v>
      </c>
      <c r="V47" s="114">
        <f>(Implements7[[#This Row],[PriceP]]-Implements7[[#This Row],[TradeIn$]])/Implements7[[#This Row],[Life (yr)]]/Implements7[[#This Row],[Use (hr/yr)]]</f>
        <v>22.26987493846606</v>
      </c>
      <c r="W47" s="114">
        <f>((Implements7[[#This Row],[PriceP]]+Implements7[[#This Row],[TradeIn$]])/2*($BP$7+$BP$8+$BP$9)+Implements7[[#This Row],[Shed (ft^2)]]*$BP$12)/Implements7[[#This Row],[Use (hr/yr)]]</f>
        <v>24.928592212585844</v>
      </c>
      <c r="X47" s="114">
        <f>Implements7[[#This Row],[PriceL]]*(VLOOKUP(Implements7[[#This Row],[ASABEtype]],$BC$6:$BM$52,2)*(Implements7[[#This Row],[Life (yr)]]*Implements7[[#This Row],[Use (hr/yr)]]/1000)^VLOOKUP(Implements7[[#This Row],[ASABEtype]],$BC$6:$BM$52,3))/Implements7[[#This Row],[Life (yr)]]/Implements7[[#This Row],[Use (hr/yr)]]</f>
        <v>13.051265584115185</v>
      </c>
      <c r="Y47" s="114">
        <f>Implements7[[#This Row],[Depr ($/hr)]]+Implements7[[#This Row],[OH ($/hr)]]</f>
        <v>47.198467151051901</v>
      </c>
      <c r="Z47" s="114">
        <f>(Implements7[[#This Row],[PriceP]]-Implements7[[#This Row],[TradeIn$]])/Implements7[[#This Row],[Life (yr)]]/Implements7[[#This Row],[Use (ac/yr)]]</f>
        <v>2.8707260662866405</v>
      </c>
      <c r="AA47" s="114">
        <f>((Implements7[[#This Row],[PriceP]]+Implements7[[#This Row],[TradeIn$]])/2*($BP$7+$BP$8+$BP$9)+Implements7[[#This Row],[Shed (ft^2)]]*$BP$12)/Implements7[[#This Row],[Use (ac/yr)]]</f>
        <v>3.213451339903644</v>
      </c>
      <c r="AB47"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1.6823897042023481</v>
      </c>
      <c r="AC47" s="115">
        <f>$BP$18/(Implements7[[#This Row],[Width]]*Implements7[[#This Row],[Speed]]*Implements7[[#This Row],[Efficiency]])</f>
        <v>0.12890625</v>
      </c>
      <c r="AD47" s="116">
        <f>IF(Implements7[[#This Row],[Use basis]]=$N$128,Implements7[[#This Row],[Ownership costs ($/hr)]],SUM(Implements7[[#This Row],[Depr ($/ac)2]:[OH ($/ac)]]))</f>
        <v>6.0841774061902845</v>
      </c>
      <c r="AE47" s="118">
        <v>27</v>
      </c>
      <c r="AF47" s="100" t="s">
        <v>493</v>
      </c>
      <c r="AG47" s="116"/>
      <c r="AU47" s="166"/>
      <c r="BC47" s="125" t="s">
        <v>592</v>
      </c>
      <c r="BD47" s="146">
        <v>0.59</v>
      </c>
      <c r="BE47" s="146">
        <v>1.3</v>
      </c>
      <c r="BF47" s="146">
        <v>1500</v>
      </c>
      <c r="BG47" s="146">
        <v>0.71940000000000004</v>
      </c>
      <c r="BH47" s="146">
        <v>0.11020000000000001</v>
      </c>
      <c r="BI47" s="146">
        <v>0</v>
      </c>
      <c r="BJ47" s="146">
        <v>3.0000000000000001E-3</v>
      </c>
      <c r="BK47" s="122">
        <f t="shared" si="8"/>
        <v>1.4713690000000001E-2</v>
      </c>
      <c r="BL47" s="146">
        <v>0.12130000000000001</v>
      </c>
      <c r="BM47" s="147"/>
    </row>
    <row r="48" spans="2:65">
      <c r="B48" s="100" t="str">
        <f>Implements7[[#This Row],[Implement type]]&amp;", "&amp;Implements7[[#This Row],[Width]]&amp;" "&amp;Implements7[[#This Row],[Width Unit]]&amp; ", per "&amp;Implements7[[#This Row],[Use basis]]</f>
        <v>Air seeder drill w/cart, 52 Ft Folding, per acre</v>
      </c>
      <c r="C48" s="105" t="s">
        <v>495</v>
      </c>
      <c r="D48" s="106">
        <v>52</v>
      </c>
      <c r="E48" s="107" t="str">
        <f>IF(D48&gt;15,"Ft Folding","Ft")</f>
        <v>Ft Folding</v>
      </c>
      <c r="F48" s="106"/>
      <c r="G48" s="106"/>
      <c r="H48" s="108">
        <v>339000</v>
      </c>
      <c r="I48" s="109">
        <v>0.1</v>
      </c>
      <c r="J48" s="195">
        <f t="shared" si="1"/>
        <v>376666.66666666669</v>
      </c>
      <c r="K48" s="306">
        <f>VLOOKUP(Implements7[[#This Row],[ASABEtype]],ASABECoefficients8[],4,FALSE)/Implements7[[#This Row],[Use (hr/yr)]]</f>
        <v>15</v>
      </c>
      <c r="L48" s="106">
        <v>100</v>
      </c>
      <c r="M48" s="111">
        <f t="shared" si="2"/>
        <v>2206.060606060606</v>
      </c>
      <c r="N48" s="111" t="s">
        <v>706</v>
      </c>
      <c r="O48" s="106" t="s">
        <v>496</v>
      </c>
      <c r="P48" s="106">
        <v>5</v>
      </c>
      <c r="Q48" s="109">
        <v>0.7</v>
      </c>
      <c r="R48" s="109">
        <v>1.1100000000000001</v>
      </c>
      <c r="S48" s="106">
        <v>270</v>
      </c>
      <c r="T48"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0.19764206158392389</v>
      </c>
      <c r="U48" s="113">
        <f>Implements7[[#This Row],[TradeIn%]]*Implements7[[#This Row],[PriceL]]</f>
        <v>74445.176529944671</v>
      </c>
      <c r="V48" s="114">
        <f>(Implements7[[#This Row],[PriceP]]-Implements7[[#This Row],[TradeIn$]])/Implements7[[#This Row],[Life (yr)]]/Implements7[[#This Row],[Use (hr/yr)]]</f>
        <v>176.36988231337025</v>
      </c>
      <c r="W48" s="114">
        <f>((Implements7[[#This Row],[PriceP]]+Implements7[[#This Row],[TradeIn$]])/2*($BP$7+$BP$8+$BP$9)+Implements7[[#This Row],[Shed (ft^2)]]*$BP$12)/Implements7[[#This Row],[Use (hr/yr)]]</f>
        <v>185.56638181504619</v>
      </c>
      <c r="X48" s="114">
        <f>Implements7[[#This Row],[PriceL]]*(VLOOKUP(Implements7[[#This Row],[ASABEtype]],$BC$6:$BM$52,2)*(Implements7[[#This Row],[Life (yr)]]*Implements7[[#This Row],[Use (hr/yr)]]/1000)^VLOOKUP(Implements7[[#This Row],[ASABEtype]],$BC$6:$BM$52,3))/Implements7[[#This Row],[Life (yr)]]/Implements7[[#This Row],[Use (hr/yr)]]</f>
        <v>188.28145771382788</v>
      </c>
      <c r="Y48" s="114">
        <f>Implements7[[#This Row],[Depr ($/hr)]]+Implements7[[#This Row],[OH ($/hr)]]</f>
        <v>361.93626412841644</v>
      </c>
      <c r="Z48" s="114">
        <f>(Implements7[[#This Row],[PriceP]]-Implements7[[#This Row],[TradeIn$]])/Implements7[[#This Row],[Life (yr)]]/Implements7[[#This Row],[Use (ac/yr)]]</f>
        <v>7.9947886213478272</v>
      </c>
      <c r="AA48" s="114">
        <f>((Implements7[[#This Row],[PriceP]]+Implements7[[#This Row],[TradeIn$]])/2*($BP$7+$BP$8+$BP$9)+Implements7[[#This Row],[Shed (ft^2)]]*$BP$12)/Implements7[[#This Row],[Use (ac/yr)]]</f>
        <v>8.4116629119457755</v>
      </c>
      <c r="AB48"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8.5347364073575829</v>
      </c>
      <c r="AC48" s="115">
        <f>$BP$18/(Implements7[[#This Row],[Width]]*Implements7[[#This Row],[Speed]]*Implements7[[#This Row],[Efficiency]])</f>
        <v>4.5329670329670328E-2</v>
      </c>
      <c r="AD48" s="116">
        <f>IF(Implements7[[#This Row],[Use basis]]=$N$128,Implements7[[#This Row],[Ownership costs ($/hr)]],SUM(Implements7[[#This Row],[Depr ($/ac)2]:[OH ($/ac)]]))</f>
        <v>16.406451533293602</v>
      </c>
      <c r="AE48" s="118">
        <v>22</v>
      </c>
      <c r="AF48" s="100" t="s">
        <v>497</v>
      </c>
      <c r="AG48" s="116"/>
      <c r="AU48" s="140"/>
      <c r="BC48" s="125" t="s">
        <v>450</v>
      </c>
      <c r="BD48" s="146">
        <v>0.18</v>
      </c>
      <c r="BE48" s="146">
        <v>1.7</v>
      </c>
      <c r="BF48" s="146">
        <v>2000</v>
      </c>
      <c r="BG48" s="146">
        <v>0.71940000000000004</v>
      </c>
      <c r="BH48" s="146">
        <v>0.11020000000000001</v>
      </c>
      <c r="BI48" s="146">
        <v>0</v>
      </c>
      <c r="BJ48" s="146">
        <v>3.0000000000000001E-3</v>
      </c>
      <c r="BK48" s="122">
        <f t="shared" si="8"/>
        <v>1.4713690000000001E-2</v>
      </c>
      <c r="BL48" s="146">
        <v>0.12130000000000001</v>
      </c>
      <c r="BM48" s="147"/>
    </row>
    <row r="49" spans="2:65">
      <c r="B49" s="100" t="str">
        <f>Implements7[[#This Row],[Implement type]]&amp;", "&amp;Implements7[[#This Row],[Width]]&amp;" "&amp;Implements7[[#This Row],[Width Unit]]&amp; ", per "&amp;Implements7[[#This Row],[Use basis]]</f>
        <v>No-till drill, 15 Ft, per acre</v>
      </c>
      <c r="C49" s="105" t="s">
        <v>498</v>
      </c>
      <c r="D49" s="106">
        <v>15</v>
      </c>
      <c r="E49" s="107" t="str">
        <f>IF(D49&gt;15,"Ft Folding","Ft")</f>
        <v>Ft</v>
      </c>
      <c r="F49" s="106"/>
      <c r="G49" s="106"/>
      <c r="H49" s="108">
        <v>75500</v>
      </c>
      <c r="I49" s="109">
        <v>0.1</v>
      </c>
      <c r="J49" s="195">
        <f t="shared" si="1"/>
        <v>83888.888888888891</v>
      </c>
      <c r="K49" s="306">
        <f>VLOOKUP(Implements7[[#This Row],[ASABEtype]],ASABECoefficients8[],4,FALSE)/Implements7[[#This Row],[Use (hr/yr)]]</f>
        <v>15</v>
      </c>
      <c r="L49" s="106">
        <v>100</v>
      </c>
      <c r="M49" s="111">
        <f t="shared" si="2"/>
        <v>636.36363636363637</v>
      </c>
      <c r="N49" s="111" t="s">
        <v>706</v>
      </c>
      <c r="O49" s="106" t="s">
        <v>496</v>
      </c>
      <c r="P49" s="106">
        <v>5</v>
      </c>
      <c r="Q49" s="109">
        <v>0.7</v>
      </c>
      <c r="R49" s="109">
        <v>1.1100000000000001</v>
      </c>
      <c r="S49" s="106">
        <v>160</v>
      </c>
      <c r="T49"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0.19764206158392389</v>
      </c>
      <c r="U49" s="113">
        <f>Implements7[[#This Row],[TradeIn%]]*Implements7[[#This Row],[PriceL]]</f>
        <v>16579.972943984725</v>
      </c>
      <c r="V49" s="114">
        <f>(Implements7[[#This Row],[PriceP]]-Implements7[[#This Row],[TradeIn$]])/Implements7[[#This Row],[Life (yr)]]/Implements7[[#This Row],[Use (hr/yr)]]</f>
        <v>39.280018037343517</v>
      </c>
      <c r="W49" s="114">
        <f>((Implements7[[#This Row],[PriceP]]+Implements7[[#This Row],[TradeIn$]])/2*($BP$7+$BP$8+$BP$9)+Implements7[[#This Row],[Shed (ft^2)]]*$BP$12)/Implements7[[#This Row],[Use (hr/yr)]]</f>
        <v>42.296138368777356</v>
      </c>
      <c r="X49" s="114">
        <f>Implements7[[#This Row],[PriceL]]*(VLOOKUP(Implements7[[#This Row],[ASABEtype]],$BC$6:$BM$52,2)*(Implements7[[#This Row],[Life (yr)]]*Implements7[[#This Row],[Use (hr/yr)]]/1000)^VLOOKUP(Implements7[[#This Row],[ASABEtype]],$BC$6:$BM$52,3))/Implements7[[#This Row],[Life (yr)]]/Implements7[[#This Row],[Use (hr/yr)]]</f>
        <v>41.932891024761076</v>
      </c>
      <c r="Y49" s="114">
        <f>Implements7[[#This Row],[Depr ($/hr)]]+Implements7[[#This Row],[OH ($/hr)]]</f>
        <v>81.576156406120873</v>
      </c>
      <c r="Z49" s="114">
        <f>(Implements7[[#This Row],[PriceP]]-Implements7[[#This Row],[TradeIn$]])/Implements7[[#This Row],[Life (yr)]]/Implements7[[#This Row],[Use (ac/yr)]]</f>
        <v>6.172574263011124</v>
      </c>
      <c r="AA49" s="114">
        <f>((Implements7[[#This Row],[PriceP]]+Implements7[[#This Row],[TradeIn$]])/2*($BP$7+$BP$8+$BP$9)+Implements7[[#This Row],[Shed (ft^2)]]*$BP$12)/Implements7[[#This Row],[Use (ac/yr)]]</f>
        <v>6.6465360293792983</v>
      </c>
      <c r="AB49"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6.589454303891026</v>
      </c>
      <c r="AC49" s="115">
        <f>$BP$18/(Implements7[[#This Row],[Width]]*Implements7[[#This Row],[Speed]]*Implements7[[#This Row],[Efficiency]])</f>
        <v>0.15714285714285714</v>
      </c>
      <c r="AD49" s="116">
        <f>IF(Implements7[[#This Row],[Use basis]]=$N$128,Implements7[[#This Row],[Ownership costs ($/hr)]],SUM(Implements7[[#This Row],[Depr ($/ac)2]:[OH ($/ac)]]))</f>
        <v>12.819110292390423</v>
      </c>
      <c r="AE49" s="118">
        <v>23</v>
      </c>
      <c r="AF49" s="100" t="s">
        <v>497</v>
      </c>
      <c r="AG49" s="116"/>
      <c r="AU49" s="166"/>
      <c r="BC49" s="125" t="s">
        <v>482</v>
      </c>
      <c r="BD49" s="146">
        <v>1.4999999999999999E-2</v>
      </c>
      <c r="BE49" s="146">
        <v>1.6</v>
      </c>
      <c r="BF49" s="146">
        <v>5000</v>
      </c>
      <c r="BG49" s="146">
        <v>0.80910000000000004</v>
      </c>
      <c r="BH49" s="146">
        <v>0.1109</v>
      </c>
      <c r="BI49" s="146">
        <v>0</v>
      </c>
      <c r="BJ49" s="146">
        <v>1.4E-3</v>
      </c>
      <c r="BK49" s="122">
        <f t="shared" si="8"/>
        <v>1.605289E-2</v>
      </c>
      <c r="BL49" s="146">
        <v>0.12670000000000001</v>
      </c>
      <c r="BM49" s="147" t="s">
        <v>583</v>
      </c>
    </row>
    <row r="50" spans="2:65">
      <c r="B50" s="100" t="str">
        <f>Implements7[[#This Row],[Implement type]]&amp;", "&amp;Implements7[[#This Row],[Width]]&amp;" "&amp;Implements7[[#This Row],[Width Unit]]&amp; ", per "&amp;Implements7[[#This Row],[Use basis]]</f>
        <v>Presswheel drill, 16 Ft, per acre</v>
      </c>
      <c r="C50" s="105" t="s">
        <v>499</v>
      </c>
      <c r="D50" s="106">
        <v>16</v>
      </c>
      <c r="E50" s="107" t="str">
        <f>IF(D50&gt;20,"Ft Folding","Ft")</f>
        <v>Ft</v>
      </c>
      <c r="F50" s="106"/>
      <c r="G50" s="106"/>
      <c r="H50" s="108">
        <v>29500</v>
      </c>
      <c r="I50" s="109">
        <v>0.1</v>
      </c>
      <c r="J50" s="195">
        <f t="shared" si="1"/>
        <v>32777.777777777774</v>
      </c>
      <c r="K50" s="306">
        <f>VLOOKUP(Implements7[[#This Row],[ASABEtype]],ASABECoefficients8[],4,FALSE)/Implements7[[#This Row],[Use (hr/yr)]]</f>
        <v>20</v>
      </c>
      <c r="L50" s="106">
        <v>75</v>
      </c>
      <c r="M50" s="111">
        <f t="shared" si="2"/>
        <v>509.09090909090907</v>
      </c>
      <c r="N50" s="111" t="s">
        <v>706</v>
      </c>
      <c r="O50" s="106" t="s">
        <v>496</v>
      </c>
      <c r="P50" s="106">
        <v>5</v>
      </c>
      <c r="Q50" s="109">
        <v>0.7</v>
      </c>
      <c r="R50" s="109">
        <v>1.1100000000000001</v>
      </c>
      <c r="S50" s="106">
        <v>150</v>
      </c>
      <c r="T50"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0.1168778293117908</v>
      </c>
      <c r="U50" s="113">
        <f>Implements7[[#This Row],[TradeIn%]]*Implements7[[#This Row],[PriceL]]</f>
        <v>3830.9955163309205</v>
      </c>
      <c r="V50" s="114">
        <f>(Implements7[[#This Row],[PriceP]]-Implements7[[#This Row],[TradeIn$]])/Implements7[[#This Row],[Life (yr)]]/Implements7[[#This Row],[Use (hr/yr)]]</f>
        <v>17.112669655779385</v>
      </c>
      <c r="W50" s="114">
        <f>((Implements7[[#This Row],[PriceP]]+Implements7[[#This Row],[TradeIn$]])/2*($BP$7+$BP$8+$BP$9)+Implements7[[#This Row],[Shed (ft^2)]]*$BP$12)/Implements7[[#This Row],[Use (hr/yr)]]</f>
        <v>21.603725280965392</v>
      </c>
      <c r="X50" s="114">
        <f>Implements7[[#This Row],[PriceL]]*(VLOOKUP(Implements7[[#This Row],[ASABEtype]],$BC$6:$BM$52,2)*(Implements7[[#This Row],[Life (yr)]]*Implements7[[#This Row],[Use (hr/yr)]]/1000)^VLOOKUP(Implements7[[#This Row],[ASABEtype]],$BC$6:$BM$52,3))/Implements7[[#This Row],[Life (yr)]]/Implements7[[#This Row],[Use (hr/yr)]]</f>
        <v>16.384374638813927</v>
      </c>
      <c r="Y50" s="114">
        <f>Implements7[[#This Row],[Depr ($/hr)]]+Implements7[[#This Row],[OH ($/hr)]]</f>
        <v>38.716394936744777</v>
      </c>
      <c r="Z50" s="114">
        <f>(Implements7[[#This Row],[PriceP]]-Implements7[[#This Row],[TradeIn$]])/Implements7[[#This Row],[Life (yr)]]/Implements7[[#This Row],[Use (ac/yr)]]</f>
        <v>2.5210629403603559</v>
      </c>
      <c r="AA50" s="114">
        <f>((Implements7[[#This Row],[PriceP]]+Implements7[[#This Row],[TradeIn$]])/2*($BP$7+$BP$8+$BP$9)+Implements7[[#This Row],[Shed (ft^2)]]*$BP$12)/Implements7[[#This Row],[Use (ac/yr)]]</f>
        <v>3.1826916708565087</v>
      </c>
      <c r="AB50"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2.4137694780395518</v>
      </c>
      <c r="AC50" s="115">
        <f>$BP$18/(Implements7[[#This Row],[Width]]*Implements7[[#This Row],[Speed]]*Implements7[[#This Row],[Efficiency]])</f>
        <v>0.14732142857142858</v>
      </c>
      <c r="AD50" s="116">
        <f>IF(Implements7[[#This Row],[Use basis]]=$N$128,Implements7[[#This Row],[Ownership costs ($/hr)]],SUM(Implements7[[#This Row],[Depr ($/ac)2]:[OH ($/ac)]]))</f>
        <v>5.7037546112168647</v>
      </c>
      <c r="AE50" s="118">
        <v>18</v>
      </c>
      <c r="AF50" s="100" t="s">
        <v>497</v>
      </c>
      <c r="AG50" s="116"/>
      <c r="BC50" s="125" t="s">
        <v>522</v>
      </c>
      <c r="BD50" s="146">
        <v>7.0000000000000001E-3</v>
      </c>
      <c r="BE50" s="146">
        <v>2</v>
      </c>
      <c r="BF50" s="146">
        <v>8000</v>
      </c>
      <c r="BG50" s="146">
        <v>0.84930000000000005</v>
      </c>
      <c r="BH50" s="146">
        <v>9.6600000000000005E-2</v>
      </c>
      <c r="BI50" s="146">
        <v>5.8999999999999999E-3</v>
      </c>
      <c r="BJ50" s="146">
        <v>3.8E-3</v>
      </c>
      <c r="BK50" s="122">
        <f t="shared" si="8"/>
        <v>1.1278440000000001E-2</v>
      </c>
      <c r="BL50" s="146">
        <v>0.1062</v>
      </c>
      <c r="BM50" s="147"/>
    </row>
    <row r="51" spans="2:65">
      <c r="B51" s="100" t="str">
        <f>Implements7[[#This Row],[Implement type]]&amp;", "&amp;Implements7[[#This Row],[Width]]&amp;" "&amp;Implements7[[#This Row],[Width Unit]]&amp; ", per "&amp;Implements7[[#This Row],[Use basis]]</f>
        <v>Presswheel drill, 20 Ft, per acre</v>
      </c>
      <c r="C51" s="105" t="s">
        <v>499</v>
      </c>
      <c r="D51" s="106">
        <v>20</v>
      </c>
      <c r="E51" s="107" t="str">
        <f>IF(D51&gt;20,"Ft Folding","Ft")</f>
        <v>Ft</v>
      </c>
      <c r="F51" s="106"/>
      <c r="G51" s="106"/>
      <c r="H51" s="108">
        <v>35000</v>
      </c>
      <c r="I51" s="109">
        <v>0.1</v>
      </c>
      <c r="J51" s="195">
        <f t="shared" si="1"/>
        <v>38888.888888888891</v>
      </c>
      <c r="K51" s="306">
        <f>VLOOKUP(Implements7[[#This Row],[ASABEtype]],ASABECoefficients8[],4,FALSE)/Implements7[[#This Row],[Use (hr/yr)]]</f>
        <v>20</v>
      </c>
      <c r="L51" s="106">
        <v>75</v>
      </c>
      <c r="M51" s="111">
        <f t="shared" si="2"/>
        <v>636.36363636363637</v>
      </c>
      <c r="N51" s="111" t="s">
        <v>706</v>
      </c>
      <c r="O51" s="106" t="s">
        <v>496</v>
      </c>
      <c r="P51" s="106">
        <v>5</v>
      </c>
      <c r="Q51" s="109">
        <v>0.7</v>
      </c>
      <c r="R51" s="109">
        <v>1.1100000000000001</v>
      </c>
      <c r="S51" s="106">
        <v>185</v>
      </c>
      <c r="T51"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0.1168778293117908</v>
      </c>
      <c r="U51" s="113">
        <f>Implements7[[#This Row],[TradeIn%]]*Implements7[[#This Row],[PriceL]]</f>
        <v>4545.2489176807539</v>
      </c>
      <c r="V51" s="114">
        <f>(Implements7[[#This Row],[PriceP]]-Implements7[[#This Row],[TradeIn$]])/Implements7[[#This Row],[Life (yr)]]/Implements7[[#This Row],[Use (hr/yr)]]</f>
        <v>20.303167388212831</v>
      </c>
      <c r="W51" s="114">
        <f>((Implements7[[#This Row],[PriceP]]+Implements7[[#This Row],[TradeIn$]])/2*($BP$7+$BP$8+$BP$9)+Implements7[[#This Row],[Shed (ft^2)]]*$BP$12)/Implements7[[#This Row],[Use (hr/yr)]]</f>
        <v>25.722436970572165</v>
      </c>
      <c r="X51" s="114">
        <f>Implements7[[#This Row],[PriceL]]*(VLOOKUP(Implements7[[#This Row],[ASABEtype]],$BC$6:$BM$52,2)*(Implements7[[#This Row],[Life (yr)]]*Implements7[[#This Row],[Use (hr/yr)]]/1000)^VLOOKUP(Implements7[[#This Row],[ASABEtype]],$BC$6:$BM$52,3))/Implements7[[#This Row],[Life (yr)]]/Implements7[[#This Row],[Use (hr/yr)]]</f>
        <v>19.439088554525</v>
      </c>
      <c r="Y51" s="114">
        <f>Implements7[[#This Row],[Depr ($/hr)]]+Implements7[[#This Row],[OH ($/hr)]]</f>
        <v>46.025604358784996</v>
      </c>
      <c r="Z51" s="114">
        <f>(Implements7[[#This Row],[PriceP]]-Implements7[[#This Row],[TradeIn$]])/Implements7[[#This Row],[Life (yr)]]/Implements7[[#This Row],[Use (ac/yr)]]</f>
        <v>2.3928732993250836</v>
      </c>
      <c r="AA51" s="114">
        <f>((Implements7[[#This Row],[PriceP]]+Implements7[[#This Row],[TradeIn$]])/2*($BP$7+$BP$8+$BP$9)+Implements7[[#This Row],[Shed (ft^2)]]*$BP$12)/Implements7[[#This Row],[Use (ac/yr)]]</f>
        <v>3.0315729286745765</v>
      </c>
      <c r="AB51"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2.2910354367833037</v>
      </c>
      <c r="AC51" s="115">
        <f>$BP$18/(Implements7[[#This Row],[Width]]*Implements7[[#This Row],[Speed]]*Implements7[[#This Row],[Efficiency]])</f>
        <v>0.11785714285714285</v>
      </c>
      <c r="AD51" s="116">
        <f>IF(Implements7[[#This Row],[Use basis]]=$N$128,Implements7[[#This Row],[Ownership costs ($/hr)]],SUM(Implements7[[#This Row],[Depr ($/ac)2]:[OH ($/ac)]]))</f>
        <v>5.4244462279996597</v>
      </c>
      <c r="AE51" s="118">
        <v>19</v>
      </c>
      <c r="AF51" s="100" t="s">
        <v>497</v>
      </c>
      <c r="AG51" s="116"/>
      <c r="BC51" s="125" t="s">
        <v>468</v>
      </c>
      <c r="BD51" s="146">
        <v>0.19</v>
      </c>
      <c r="BE51" s="146">
        <v>1.3</v>
      </c>
      <c r="BF51" s="146">
        <v>3000</v>
      </c>
      <c r="BG51" s="146">
        <v>0.80910000000000004</v>
      </c>
      <c r="BH51" s="146">
        <v>0.1109</v>
      </c>
      <c r="BI51" s="146">
        <v>0</v>
      </c>
      <c r="BJ51" s="146">
        <v>1.4E-3</v>
      </c>
      <c r="BK51" s="122">
        <f t="shared" si="8"/>
        <v>1.605289E-2</v>
      </c>
      <c r="BL51" s="146">
        <v>0.12670000000000001</v>
      </c>
      <c r="BM51" s="147"/>
    </row>
    <row r="52" spans="2:65">
      <c r="B52" s="100" t="str">
        <f>Implements7[[#This Row],[Implement type]]&amp;", "&amp;Implements7[[#This Row],[Width]]&amp;" "&amp;Implements7[[#This Row],[Width Unit]]&amp; ", per "&amp;Implements7[[#This Row],[Use basis]]</f>
        <v>Presswheel drill, 25 Ft Folding, per acre</v>
      </c>
      <c r="C52" s="105" t="s">
        <v>499</v>
      </c>
      <c r="D52" s="106">
        <v>25</v>
      </c>
      <c r="E52" s="107" t="str">
        <f t="shared" ref="E52:E106" si="9">IF(D52&gt;15,"Ft Folding","Ft")</f>
        <v>Ft Folding</v>
      </c>
      <c r="F52" s="106"/>
      <c r="G52" s="106"/>
      <c r="H52" s="108">
        <v>67500</v>
      </c>
      <c r="I52" s="109">
        <v>0.1</v>
      </c>
      <c r="J52" s="195">
        <f t="shared" si="1"/>
        <v>75000</v>
      </c>
      <c r="K52" s="306">
        <f>VLOOKUP(Implements7[[#This Row],[ASABEtype]],ASABECoefficients8[],4,FALSE)/Implements7[[#This Row],[Use (hr/yr)]]</f>
        <v>20</v>
      </c>
      <c r="L52" s="106">
        <v>75</v>
      </c>
      <c r="M52" s="111">
        <f t="shared" si="2"/>
        <v>795.4545454545455</v>
      </c>
      <c r="N52" s="111" t="s">
        <v>706</v>
      </c>
      <c r="O52" s="106" t="s">
        <v>496</v>
      </c>
      <c r="P52" s="106">
        <v>5</v>
      </c>
      <c r="Q52" s="109">
        <v>0.7</v>
      </c>
      <c r="R52" s="109">
        <v>1.1100000000000001</v>
      </c>
      <c r="S52" s="106">
        <v>230</v>
      </c>
      <c r="T52"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0.1168778293117908</v>
      </c>
      <c r="U52" s="113">
        <f>Implements7[[#This Row],[TradeIn%]]*Implements7[[#This Row],[PriceL]]</f>
        <v>8765.8371983843099</v>
      </c>
      <c r="V52" s="114">
        <f>(Implements7[[#This Row],[PriceP]]-Implements7[[#This Row],[TradeIn$]])/Implements7[[#This Row],[Life (yr)]]/Implements7[[#This Row],[Use (hr/yr)]]</f>
        <v>39.156108534410464</v>
      </c>
      <c r="W52" s="114">
        <f>((Implements7[[#This Row],[PriceP]]+Implements7[[#This Row],[TradeIn$]])/2*($BP$7+$BP$8+$BP$9)+Implements7[[#This Row],[Shed (ft^2)]]*$BP$12)/Implements7[[#This Row],[Use (hr/yr)]]</f>
        <v>47.969115434086298</v>
      </c>
      <c r="X52" s="114">
        <f>Implements7[[#This Row],[PriceL]]*(VLOOKUP(Implements7[[#This Row],[ASABEtype]],$BC$6:$BM$52,2)*(Implements7[[#This Row],[Life (yr)]]*Implements7[[#This Row],[Use (hr/yr)]]/1000)^VLOOKUP(Implements7[[#This Row],[ASABEtype]],$BC$6:$BM$52,3))/Implements7[[#This Row],[Life (yr)]]/Implements7[[#This Row],[Use (hr/yr)]]</f>
        <v>37.489670783726787</v>
      </c>
      <c r="Y52" s="114">
        <f>Implements7[[#This Row],[Depr ($/hr)]]+Implements7[[#This Row],[OH ($/hr)]]</f>
        <v>87.125223968496755</v>
      </c>
      <c r="Z52" s="114">
        <f>(Implements7[[#This Row],[PriceP]]-Implements7[[#This Row],[TradeIn$]])/Implements7[[#This Row],[Life (yr)]]/Implements7[[#This Row],[Use (ac/yr)]]</f>
        <v>3.6918616618158433</v>
      </c>
      <c r="AA52" s="114">
        <f>((Implements7[[#This Row],[PriceP]]+Implements7[[#This Row],[TradeIn$]])/2*($BP$7+$BP$8+$BP$9)+Implements7[[#This Row],[Shed (ft^2)]]*$BP$12)/Implements7[[#This Row],[Use (ac/yr)]]</f>
        <v>4.522802312356708</v>
      </c>
      <c r="AB52"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3.5347403881799537</v>
      </c>
      <c r="AC52" s="115">
        <f>$BP$18/(Implements7[[#This Row],[Width]]*Implements7[[#This Row],[Speed]]*Implements7[[#This Row],[Efficiency]])</f>
        <v>9.4285714285714292E-2</v>
      </c>
      <c r="AD52" s="116">
        <f>IF(Implements7[[#This Row],[Use basis]]=$N$128,Implements7[[#This Row],[Ownership costs ($/hr)]],SUM(Implements7[[#This Row],[Depr ($/ac)2]:[OH ($/ac)]]))</f>
        <v>8.2146639741725522</v>
      </c>
      <c r="AE52" s="118">
        <v>20</v>
      </c>
      <c r="AF52" s="100" t="s">
        <v>497</v>
      </c>
      <c r="AG52" s="116"/>
      <c r="BC52" s="125" t="s">
        <v>476</v>
      </c>
      <c r="BD52" s="146">
        <v>0.06</v>
      </c>
      <c r="BE52" s="146">
        <v>2</v>
      </c>
      <c r="BF52" s="146">
        <v>3000</v>
      </c>
      <c r="BG52" s="146">
        <v>0.72430000000000005</v>
      </c>
      <c r="BH52" s="146">
        <v>0.11269999999999999</v>
      </c>
      <c r="BI52" s="146">
        <v>0</v>
      </c>
      <c r="BJ52" s="146">
        <v>3.3999999999999998E-3</v>
      </c>
      <c r="BK52" s="122">
        <f t="shared" si="8"/>
        <v>1.4113440000000001E-2</v>
      </c>
      <c r="BL52" s="146">
        <v>0.1188</v>
      </c>
      <c r="BM52" s="147"/>
    </row>
    <row r="53" spans="2:65">
      <c r="B53" s="100" t="str">
        <f>Implements7[[#This Row],[Implement type]]&amp;", "&amp;Implements7[[#This Row],[Width]]&amp;" "&amp;Implements7[[#This Row],[Width Unit]]&amp; ", per "&amp;Implements7[[#This Row],[Use basis]]</f>
        <v>Presswheel drill, 30 Ft Folding, per acre</v>
      </c>
      <c r="C53" s="105" t="s">
        <v>499</v>
      </c>
      <c r="D53" s="106">
        <v>30</v>
      </c>
      <c r="E53" s="107" t="str">
        <f t="shared" si="9"/>
        <v>Ft Folding</v>
      </c>
      <c r="F53" s="106"/>
      <c r="G53" s="106"/>
      <c r="H53" s="108">
        <v>85000</v>
      </c>
      <c r="I53" s="109">
        <v>0.1</v>
      </c>
      <c r="J53" s="195">
        <f t="shared" si="1"/>
        <v>94444.444444444438</v>
      </c>
      <c r="K53" s="306">
        <f>VLOOKUP(Implements7[[#This Row],[ASABEtype]],ASABECoefficients8[],4,FALSE)/Implements7[[#This Row],[Use (hr/yr)]]</f>
        <v>20</v>
      </c>
      <c r="L53" s="106">
        <v>75</v>
      </c>
      <c r="M53" s="111">
        <f t="shared" si="2"/>
        <v>954.5454545454545</v>
      </c>
      <c r="N53" s="111" t="s">
        <v>706</v>
      </c>
      <c r="O53" s="106" t="s">
        <v>496</v>
      </c>
      <c r="P53" s="106">
        <v>5</v>
      </c>
      <c r="Q53" s="109">
        <v>0.7</v>
      </c>
      <c r="R53" s="109">
        <v>1.1100000000000001</v>
      </c>
      <c r="S53" s="106">
        <v>240</v>
      </c>
      <c r="T53"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0.1168778293117908</v>
      </c>
      <c r="U53" s="113">
        <f>Implements7[[#This Row],[TradeIn%]]*Implements7[[#This Row],[PriceL]]</f>
        <v>11038.461657224687</v>
      </c>
      <c r="V53" s="114">
        <f>(Implements7[[#This Row],[PriceP]]-Implements7[[#This Row],[TradeIn$]])/Implements7[[#This Row],[Life (yr)]]/Implements7[[#This Row],[Use (hr/yr)]]</f>
        <v>49.307692228516878</v>
      </c>
      <c r="W53" s="114">
        <f>((Implements7[[#This Row],[PriceP]]+Implements7[[#This Row],[TradeIn$]])/2*($BP$7+$BP$8+$BP$9)+Implements7[[#This Row],[Shed (ft^2)]]*$BP$12)/Implements7[[#This Row],[Use (hr/yr)]]</f>
        <v>59.764193059890808</v>
      </c>
      <c r="X53" s="114">
        <f>Implements7[[#This Row],[PriceL]]*(VLOOKUP(Implements7[[#This Row],[ASABEtype]],$BC$6:$BM$52,2)*(Implements7[[#This Row],[Life (yr)]]*Implements7[[#This Row],[Use (hr/yr)]]/1000)^VLOOKUP(Implements7[[#This Row],[ASABEtype]],$BC$6:$BM$52,3))/Implements7[[#This Row],[Life (yr)]]/Implements7[[#This Row],[Use (hr/yr)]]</f>
        <v>47.209215060989287</v>
      </c>
      <c r="Y53" s="114">
        <f>Implements7[[#This Row],[Depr ($/hr)]]+Implements7[[#This Row],[OH ($/hr)]]</f>
        <v>109.07188528840769</v>
      </c>
      <c r="Z53" s="114">
        <f>(Implements7[[#This Row],[PriceP]]-Implements7[[#This Row],[TradeIn$]])/Implements7[[#This Row],[Life (yr)]]/Implements7[[#This Row],[Use (ac/yr)]]</f>
        <v>3.8741758179548973</v>
      </c>
      <c r="AA53" s="114">
        <f>((Implements7[[#This Row],[PriceP]]+Implements7[[#This Row],[TradeIn$]])/2*($BP$7+$BP$8+$BP$9)+Implements7[[#This Row],[Shed (ft^2)]]*$BP$12)/Implements7[[#This Row],[Use (ac/yr)]]</f>
        <v>4.6957580261342784</v>
      </c>
      <c r="AB53"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3.70929546907773</v>
      </c>
      <c r="AC53" s="115">
        <f>$BP$18/(Implements7[[#This Row],[Width]]*Implements7[[#This Row],[Speed]]*Implements7[[#This Row],[Efficiency]])</f>
        <v>7.857142857142857E-2</v>
      </c>
      <c r="AD53" s="116">
        <f>IF(Implements7[[#This Row],[Use basis]]=$N$128,Implements7[[#This Row],[Ownership costs ($/hr)]],SUM(Implements7[[#This Row],[Depr ($/ac)2]:[OH ($/ac)]]))</f>
        <v>8.5699338440891761</v>
      </c>
      <c r="AE53" s="118">
        <v>21</v>
      </c>
      <c r="AF53" s="100" t="s">
        <v>497</v>
      </c>
      <c r="AG53" s="116"/>
    </row>
    <row r="54" spans="2:65">
      <c r="B54" s="100" t="str">
        <f>Implements7[[#This Row],[Implement type]]&amp;", "&amp;Implements7[[#This Row],[Width]]&amp;" "&amp;Implements7[[#This Row],[Width Unit]]&amp; ", per "&amp;Implements7[[#This Row],[Use basis]]</f>
        <v>Row crop planter, 15 Ft, per acre</v>
      </c>
      <c r="C54" s="107" t="s">
        <v>500</v>
      </c>
      <c r="D54" s="106">
        <v>15</v>
      </c>
      <c r="E54" s="107" t="str">
        <f t="shared" si="9"/>
        <v>Ft</v>
      </c>
      <c r="F54" s="106">
        <v>6</v>
      </c>
      <c r="G54" s="106" t="s">
        <v>453</v>
      </c>
      <c r="H54" s="108">
        <v>48000</v>
      </c>
      <c r="I54" s="109">
        <v>0.1</v>
      </c>
      <c r="J54" s="195">
        <f t="shared" si="1"/>
        <v>53333.333333333328</v>
      </c>
      <c r="K54" s="306">
        <f>VLOOKUP(Implements7[[#This Row],[ASABEtype]],ASABECoefficients8[],4,FALSE)/Implements7[[#This Row],[Use (hr/yr)]]</f>
        <v>21.428571428571427</v>
      </c>
      <c r="L54" s="106">
        <v>70</v>
      </c>
      <c r="M54" s="111">
        <f t="shared" si="2"/>
        <v>489.99999999999994</v>
      </c>
      <c r="N54" s="111" t="s">
        <v>706</v>
      </c>
      <c r="O54" s="106" t="s">
        <v>500</v>
      </c>
      <c r="P54" s="106">
        <v>5.5</v>
      </c>
      <c r="Q54" s="109">
        <v>0.7</v>
      </c>
      <c r="R54" s="109">
        <v>1.1599999999999999</v>
      </c>
      <c r="S54" s="106">
        <v>200</v>
      </c>
      <c r="T54"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0.24939597720205059</v>
      </c>
      <c r="U54" s="113">
        <f>Implements7[[#This Row],[TradeIn%]]*Implements7[[#This Row],[PriceL]]</f>
        <v>13301.118784109363</v>
      </c>
      <c r="V54" s="114">
        <f>(Implements7[[#This Row],[PriceP]]-Implements7[[#This Row],[TradeIn$]])/Implements7[[#This Row],[Life (yr)]]/Implements7[[#This Row],[Use (hr/yr)]]</f>
        <v>23.132587477260426</v>
      </c>
      <c r="W54" s="114">
        <f>((Implements7[[#This Row],[PriceP]]+Implements7[[#This Row],[TradeIn$]])/2*($BP$7+$BP$8+$BP$9)+Implements7[[#This Row],[Shed (ft^2)]]*$BP$12)/Implements7[[#This Row],[Use (hr/yr)]]</f>
        <v>41.52026141185506</v>
      </c>
      <c r="X54" s="114">
        <f>Implements7[[#This Row],[PriceL]]*(VLOOKUP(Implements7[[#This Row],[ASABEtype]],$BC$6:$BM$52,2)*(Implements7[[#This Row],[Life (yr)]]*Implements7[[#This Row],[Use (hr/yr)]]/1000)^VLOOKUP(Implements7[[#This Row],[ASABEtype]],$BC$6:$BM$52,3))/Implements7[[#This Row],[Life (yr)]]/Implements7[[#This Row],[Use (hr/yr)]]</f>
        <v>26.659321446205713</v>
      </c>
      <c r="Y54" s="114">
        <f>Implements7[[#This Row],[Depr ($/hr)]]+Implements7[[#This Row],[OH ($/hr)]]</f>
        <v>64.652848889115489</v>
      </c>
      <c r="Z54" s="114">
        <f>(Implements7[[#This Row],[PriceP]]-Implements7[[#This Row],[TradeIn$]])/Implements7[[#This Row],[Life (yr)]]/Implements7[[#This Row],[Use (ac/yr)]]</f>
        <v>3.3046553538943471</v>
      </c>
      <c r="AA54" s="114">
        <f>((Implements7[[#This Row],[PriceP]]+Implements7[[#This Row],[TradeIn$]])/2*($BP$7+$BP$8+$BP$9)+Implements7[[#This Row],[Shed (ft^2)]]*$BP$12)/Implements7[[#This Row],[Use (ac/yr)]]</f>
        <v>5.9314659159792953</v>
      </c>
      <c r="AB54"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3.8084744923151024</v>
      </c>
      <c r="AC54" s="115">
        <f>$BP$18/(Implements7[[#This Row],[Width]]*Implements7[[#This Row],[Speed]]*Implements7[[#This Row],[Efficiency]])</f>
        <v>0.14285714285714288</v>
      </c>
      <c r="AD54" s="116">
        <f>IF(Implements7[[#This Row],[Use basis]]=$N$128,Implements7[[#This Row],[Ownership costs ($/hr)]],SUM(Implements7[[#This Row],[Depr ($/ac)2]:[OH ($/ac)]]))</f>
        <v>9.2361212698736423</v>
      </c>
      <c r="AE54" s="118">
        <v>13</v>
      </c>
      <c r="AF54" s="100" t="s">
        <v>497</v>
      </c>
      <c r="AG54" s="116"/>
    </row>
    <row r="55" spans="2:65">
      <c r="B55" s="100" t="str">
        <f>Implements7[[#This Row],[Implement type]]&amp;", "&amp;Implements7[[#This Row],[Width]]&amp;" "&amp;Implements7[[#This Row],[Width Unit]]&amp; ", per "&amp;Implements7[[#This Row],[Use basis]]</f>
        <v>Row crop planter, 20 Ft Folding, per acre</v>
      </c>
      <c r="C55" s="107" t="s">
        <v>500</v>
      </c>
      <c r="D55" s="106">
        <v>20</v>
      </c>
      <c r="E55" s="107" t="str">
        <f t="shared" si="9"/>
        <v>Ft Folding</v>
      </c>
      <c r="F55" s="106">
        <v>8</v>
      </c>
      <c r="G55" s="106" t="s">
        <v>453</v>
      </c>
      <c r="H55" s="108">
        <v>59000</v>
      </c>
      <c r="I55" s="109">
        <v>0.1</v>
      </c>
      <c r="J55" s="195">
        <f t="shared" si="1"/>
        <v>65555.555555555547</v>
      </c>
      <c r="K55" s="306">
        <f>VLOOKUP(Implements7[[#This Row],[ASABEtype]],ASABECoefficients8[],4,FALSE)/Implements7[[#This Row],[Use (hr/yr)]]</f>
        <v>21.428571428571427</v>
      </c>
      <c r="L55" s="106">
        <v>70</v>
      </c>
      <c r="M55" s="111">
        <f t="shared" si="2"/>
        <v>653.33333333333337</v>
      </c>
      <c r="N55" s="111" t="s">
        <v>706</v>
      </c>
      <c r="O55" s="106" t="s">
        <v>500</v>
      </c>
      <c r="P55" s="106">
        <v>5.5</v>
      </c>
      <c r="Q55" s="109">
        <v>0.7</v>
      </c>
      <c r="R55" s="109">
        <v>1.1599999999999999</v>
      </c>
      <c r="S55" s="106">
        <v>200</v>
      </c>
      <c r="T55"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0.24939597720205059</v>
      </c>
      <c r="U55" s="113">
        <f>Implements7[[#This Row],[TradeIn%]]*Implements7[[#This Row],[PriceL]]</f>
        <v>16349.291838801093</v>
      </c>
      <c r="V55" s="114">
        <f>(Implements7[[#This Row],[PriceP]]-Implements7[[#This Row],[TradeIn$]])/Implements7[[#This Row],[Life (yr)]]/Implements7[[#This Row],[Use (hr/yr)]]</f>
        <v>28.433805440799272</v>
      </c>
      <c r="W55" s="114">
        <f>((Implements7[[#This Row],[PriceP]]+Implements7[[#This Row],[TradeIn$]])/2*($BP$7+$BP$8+$BP$9)+Implements7[[#This Row],[Shed (ft^2)]]*$BP$12)/Implements7[[#This Row],[Use (hr/yr)]]</f>
        <v>50.400713664285185</v>
      </c>
      <c r="X55" s="114">
        <f>Implements7[[#This Row],[PriceL]]*(VLOOKUP(Implements7[[#This Row],[ASABEtype]],$BC$6:$BM$52,2)*(Implements7[[#This Row],[Life (yr)]]*Implements7[[#This Row],[Use (hr/yr)]]/1000)^VLOOKUP(Implements7[[#This Row],[ASABEtype]],$BC$6:$BM$52,3))/Implements7[[#This Row],[Life (yr)]]/Implements7[[#This Row],[Use (hr/yr)]]</f>
        <v>32.768749277627855</v>
      </c>
      <c r="Y55" s="114">
        <f>Implements7[[#This Row],[Depr ($/hr)]]+Implements7[[#This Row],[OH ($/hr)]]</f>
        <v>78.834519105084453</v>
      </c>
      <c r="Z55" s="114">
        <f>(Implements7[[#This Row],[PriceP]]-Implements7[[#This Row],[TradeIn$]])/Implements7[[#This Row],[Life (yr)]]/Implements7[[#This Row],[Use (ac/yr)]]</f>
        <v>3.0464791543713505</v>
      </c>
      <c r="AA55" s="114">
        <f>((Implements7[[#This Row],[PriceP]]+Implements7[[#This Row],[TradeIn$]])/2*($BP$7+$BP$8+$BP$9)+Implements7[[#This Row],[Shed (ft^2)]]*$BP$12)/Implements7[[#This Row],[Use (ac/yr)]]</f>
        <v>5.4000764640305547</v>
      </c>
      <c r="AB55"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3.5109374226029844</v>
      </c>
      <c r="AC55" s="115">
        <f>$BP$18/(Implements7[[#This Row],[Width]]*Implements7[[#This Row],[Speed]]*Implements7[[#This Row],[Efficiency]])</f>
        <v>0.10714285714285714</v>
      </c>
      <c r="AD55" s="116">
        <f>IF(Implements7[[#This Row],[Use basis]]=$N$128,Implements7[[#This Row],[Ownership costs ($/hr)]],SUM(Implements7[[#This Row],[Depr ($/ac)2]:[OH ($/ac)]]))</f>
        <v>8.4465556184019057</v>
      </c>
      <c r="AE55" s="118">
        <v>14</v>
      </c>
      <c r="AF55" s="100" t="s">
        <v>497</v>
      </c>
      <c r="AG55" s="116"/>
    </row>
    <row r="56" spans="2:65">
      <c r="B56" s="100" t="str">
        <f>Implements7[[#This Row],[Implement type]]&amp;", "&amp;Implements7[[#This Row],[Width]]&amp;" "&amp;Implements7[[#This Row],[Width Unit]]&amp; ", per "&amp;Implements7[[#This Row],[Use basis]]</f>
        <v>Row crop planter, 30 Ft Folding, per acre</v>
      </c>
      <c r="C56" s="107" t="s">
        <v>500</v>
      </c>
      <c r="D56" s="106">
        <v>30</v>
      </c>
      <c r="E56" s="107" t="str">
        <f t="shared" si="9"/>
        <v>Ft Folding</v>
      </c>
      <c r="F56" s="106">
        <v>12</v>
      </c>
      <c r="G56" s="106" t="s">
        <v>453</v>
      </c>
      <c r="H56" s="108">
        <v>135000</v>
      </c>
      <c r="I56" s="109">
        <v>0.1</v>
      </c>
      <c r="J56" s="195">
        <f t="shared" si="1"/>
        <v>150000</v>
      </c>
      <c r="K56" s="306">
        <f>VLOOKUP(Implements7[[#This Row],[ASABEtype]],ASABECoefficients8[],4,FALSE)/Implements7[[#This Row],[Use (hr/yr)]]</f>
        <v>15</v>
      </c>
      <c r="L56" s="106">
        <v>100</v>
      </c>
      <c r="M56" s="111">
        <f t="shared" si="2"/>
        <v>1399.9999999999998</v>
      </c>
      <c r="N56" s="111" t="s">
        <v>706</v>
      </c>
      <c r="O56" s="106" t="s">
        <v>500</v>
      </c>
      <c r="P56" s="106">
        <v>5.5</v>
      </c>
      <c r="Q56" s="109">
        <v>0.7</v>
      </c>
      <c r="R56" s="109">
        <v>1.1599999999999999</v>
      </c>
      <c r="S56" s="106">
        <v>300</v>
      </c>
      <c r="T56"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0.34547743146614446</v>
      </c>
      <c r="U56" s="113">
        <f>Implements7[[#This Row],[TradeIn%]]*Implements7[[#This Row],[PriceL]]</f>
        <v>51821.614719921672</v>
      </c>
      <c r="V56" s="114">
        <f>(Implements7[[#This Row],[PriceP]]-Implements7[[#This Row],[TradeIn$]])/Implements7[[#This Row],[Life (yr)]]/Implements7[[#This Row],[Use (hr/yr)]]</f>
        <v>55.452256853385563</v>
      </c>
      <c r="W56" s="114">
        <f>((Implements7[[#This Row],[PriceP]]+Implements7[[#This Row],[TradeIn$]])/2*($BP$7+$BP$8+$BP$9)+Implements7[[#This Row],[Shed (ft^2)]]*$BP$12)/Implements7[[#This Row],[Use (hr/yr)]]</f>
        <v>85.576221403060558</v>
      </c>
      <c r="X56" s="114">
        <f>Implements7[[#This Row],[PriceL]]*(VLOOKUP(Implements7[[#This Row],[ASABEtype]],$BC$6:$BM$52,2)*(Implements7[[#This Row],[Life (yr)]]*Implements7[[#This Row],[Use (hr/yr)]]/1000)^VLOOKUP(Implements7[[#This Row],[ASABEtype]],$BC$6:$BM$52,3))/Implements7[[#This Row],[Life (yr)]]/Implements7[[#This Row],[Use (hr/yr)]]</f>
        <v>74.979341567453559</v>
      </c>
      <c r="Y56" s="114">
        <f>Implements7[[#This Row],[Depr ($/hr)]]+Implements7[[#This Row],[OH ($/hr)]]</f>
        <v>141.02847825644614</v>
      </c>
      <c r="Z56" s="114">
        <f>(Implements7[[#This Row],[PriceP]]-Implements7[[#This Row],[TradeIn$]])/Implements7[[#This Row],[Life (yr)]]/Implements7[[#This Row],[Use (ac/yr)]]</f>
        <v>3.9608754895275409</v>
      </c>
      <c r="AA56" s="114">
        <f>((Implements7[[#This Row],[PriceP]]+Implements7[[#This Row],[TradeIn$]])/2*($BP$7+$BP$8+$BP$9)+Implements7[[#This Row],[Shed (ft^2)]]*$BP$12)/Implements7[[#This Row],[Use (ac/yr)]]</f>
        <v>6.1125872430757546</v>
      </c>
      <c r="AB56"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5.3556672548181128</v>
      </c>
      <c r="AC56" s="115">
        <f>$BP$18/(Implements7[[#This Row],[Width]]*Implements7[[#This Row],[Speed]]*Implements7[[#This Row],[Efficiency]])</f>
        <v>7.1428571428571438E-2</v>
      </c>
      <c r="AD56" s="116">
        <f>IF(Implements7[[#This Row],[Use basis]]=$N$128,Implements7[[#This Row],[Ownership costs ($/hr)]],SUM(Implements7[[#This Row],[Depr ($/ac)2]:[OH ($/ac)]]))</f>
        <v>10.073462732603296</v>
      </c>
      <c r="AE56" s="118">
        <v>15</v>
      </c>
      <c r="AF56" s="100" t="s">
        <v>497</v>
      </c>
      <c r="AG56" s="116"/>
    </row>
    <row r="57" spans="2:65">
      <c r="B57" s="100" t="str">
        <f>Implements7[[#This Row],[Implement type]]&amp;", "&amp;Implements7[[#This Row],[Width]]&amp;" "&amp;Implements7[[#This Row],[Width Unit]]&amp; ", per "&amp;Implements7[[#This Row],[Use basis]]</f>
        <v>Row crop planter, 40 Ft Folding, per acre</v>
      </c>
      <c r="C57" s="107" t="s">
        <v>500</v>
      </c>
      <c r="D57" s="106">
        <v>40</v>
      </c>
      <c r="E57" s="107" t="str">
        <f t="shared" si="9"/>
        <v>Ft Folding</v>
      </c>
      <c r="F57" s="106">
        <v>16</v>
      </c>
      <c r="G57" s="106" t="s">
        <v>453</v>
      </c>
      <c r="H57" s="108">
        <v>199000</v>
      </c>
      <c r="I57" s="109">
        <v>0.1</v>
      </c>
      <c r="J57" s="195">
        <f t="shared" si="1"/>
        <v>221111.11111111109</v>
      </c>
      <c r="K57" s="306">
        <f>VLOOKUP(Implements7[[#This Row],[ASABEtype]],ASABECoefficients8[],4,FALSE)/Implements7[[#This Row],[Use (hr/yr)]]</f>
        <v>15</v>
      </c>
      <c r="L57" s="106">
        <v>100</v>
      </c>
      <c r="M57" s="111">
        <f t="shared" si="2"/>
        <v>1866.6666666666667</v>
      </c>
      <c r="N57" s="111" t="s">
        <v>706</v>
      </c>
      <c r="O57" s="106" t="s">
        <v>500</v>
      </c>
      <c r="P57" s="106">
        <v>5.5</v>
      </c>
      <c r="Q57" s="109">
        <v>0.7</v>
      </c>
      <c r="R57" s="109">
        <v>1.1599999999999999</v>
      </c>
      <c r="S57" s="106">
        <v>300</v>
      </c>
      <c r="T57"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0.34547743146614446</v>
      </c>
      <c r="U57" s="113">
        <f>Implements7[[#This Row],[TradeIn%]]*Implements7[[#This Row],[PriceL]]</f>
        <v>76388.898735291936</v>
      </c>
      <c r="V57" s="114">
        <f>(Implements7[[#This Row],[PriceP]]-Implements7[[#This Row],[TradeIn$]])/Implements7[[#This Row],[Life (yr)]]/Implements7[[#This Row],[Use (hr/yr)]]</f>
        <v>81.740734176472046</v>
      </c>
      <c r="W57" s="114">
        <f>((Implements7[[#This Row],[PriceP]]+Implements7[[#This Row],[TradeIn$]])/2*($BP$7+$BP$8+$BP$9)+Implements7[[#This Row],[Shed (ft^2)]]*$BP$12)/Implements7[[#This Row],[Use (hr/yr)]]</f>
        <v>124.7672445798619</v>
      </c>
      <c r="X57" s="114">
        <f>Implements7[[#This Row],[PriceL]]*(VLOOKUP(Implements7[[#This Row],[ASABEtype]],$BC$6:$BM$52,2)*(Implements7[[#This Row],[Life (yr)]]*Implements7[[#This Row],[Use (hr/yr)]]/1000)^VLOOKUP(Implements7[[#This Row],[ASABEtype]],$BC$6:$BM$52,3))/Implements7[[#This Row],[Life (yr)]]/Implements7[[#This Row],[Use (hr/yr)]]</f>
        <v>110.52510349572785</v>
      </c>
      <c r="Y57" s="114">
        <f>Implements7[[#This Row],[Depr ($/hr)]]+Implements7[[#This Row],[OH ($/hr)]]</f>
        <v>206.50797875633396</v>
      </c>
      <c r="Z57" s="114">
        <f>(Implements7[[#This Row],[PriceP]]-Implements7[[#This Row],[TradeIn$]])/Implements7[[#This Row],[Life (yr)]]/Implements7[[#This Row],[Use (ac/yr)]]</f>
        <v>4.3789679023110022</v>
      </c>
      <c r="AA57" s="114">
        <f>((Implements7[[#This Row],[PriceP]]+Implements7[[#This Row],[TradeIn$]])/2*($BP$7+$BP$8+$BP$9)+Implements7[[#This Row],[Shed (ft^2)]]*$BP$12)/Implements7[[#This Row],[Use (ac/yr)]]</f>
        <v>6.6839595310640298</v>
      </c>
      <c r="AB57"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5.9209876872711344</v>
      </c>
      <c r="AC57" s="115">
        <f>$BP$18/(Implements7[[#This Row],[Width]]*Implements7[[#This Row],[Speed]]*Implements7[[#This Row],[Efficiency]])</f>
        <v>5.3571428571428568E-2</v>
      </c>
      <c r="AD57" s="116">
        <f>IF(Implements7[[#This Row],[Use basis]]=$N$128,Implements7[[#This Row],[Ownership costs ($/hr)]],SUM(Implements7[[#This Row],[Depr ($/ac)2]:[OH ($/ac)]]))</f>
        <v>11.062927433375032</v>
      </c>
      <c r="AE57" s="118">
        <v>16</v>
      </c>
      <c r="AF57" s="100" t="s">
        <v>497</v>
      </c>
      <c r="AG57" s="116"/>
    </row>
    <row r="58" spans="2:65">
      <c r="B58" s="100" t="str">
        <f>Implements7[[#This Row],[Implement type]]&amp;", "&amp;Implements7[[#This Row],[Width]]&amp;" "&amp;Implements7[[#This Row],[Width Unit]]&amp; ", per "&amp;Implements7[[#This Row],[Use basis]]</f>
        <v>Row crop planter, 60 Ft Folding, per acre</v>
      </c>
      <c r="C58" s="107" t="s">
        <v>500</v>
      </c>
      <c r="D58" s="106">
        <v>60</v>
      </c>
      <c r="E58" s="107" t="str">
        <f t="shared" si="9"/>
        <v>Ft Folding</v>
      </c>
      <c r="F58" s="106">
        <v>24</v>
      </c>
      <c r="G58" s="106" t="s">
        <v>453</v>
      </c>
      <c r="H58" s="108">
        <v>321500</v>
      </c>
      <c r="I58" s="109">
        <v>0.1</v>
      </c>
      <c r="J58" s="195">
        <f t="shared" si="1"/>
        <v>357222.22222222219</v>
      </c>
      <c r="K58" s="306">
        <f>VLOOKUP(Implements7[[#This Row],[ASABEtype]],ASABECoefficients8[],4,FALSE)/Implements7[[#This Row],[Use (hr/yr)]]</f>
        <v>15</v>
      </c>
      <c r="L58" s="106">
        <v>100</v>
      </c>
      <c r="M58" s="111">
        <f t="shared" si="2"/>
        <v>2799.9999999999995</v>
      </c>
      <c r="N58" s="111" t="s">
        <v>706</v>
      </c>
      <c r="O58" s="106" t="s">
        <v>500</v>
      </c>
      <c r="P58" s="106">
        <v>5.5</v>
      </c>
      <c r="Q58" s="109">
        <v>0.7</v>
      </c>
      <c r="R58" s="109">
        <v>1.1599999999999999</v>
      </c>
      <c r="S58" s="106">
        <v>300</v>
      </c>
      <c r="T58"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0.34547743146614446</v>
      </c>
      <c r="U58" s="113">
        <f>Implements7[[#This Row],[TradeIn%]]*Implements7[[#This Row],[PriceL]]</f>
        <v>123412.21579596159</v>
      </c>
      <c r="V58" s="114">
        <f>(Implements7[[#This Row],[PriceP]]-Implements7[[#This Row],[TradeIn$]])/Implements7[[#This Row],[Life (yr)]]/Implements7[[#This Row],[Use (hr/yr)]]</f>
        <v>132.05852280269227</v>
      </c>
      <c r="W58" s="114">
        <f>((Implements7[[#This Row],[PriceP]]+Implements7[[#This Row],[TradeIn$]])/2*($BP$7+$BP$8+$BP$9)+Implements7[[#This Row],[Shed (ft^2)]]*$BP$12)/Implements7[[#This Row],[Use (hr/yr)]]</f>
        <v>199.7813123792082</v>
      </c>
      <c r="X58" s="114">
        <f>Implements7[[#This Row],[PriceL]]*(VLOOKUP(Implements7[[#This Row],[ASABEtype]],$BC$6:$BM$52,2)*(Implements7[[#This Row],[Life (yr)]]*Implements7[[#This Row],[Use (hr/yr)]]/1000)^VLOOKUP(Implements7[[#This Row],[ASABEtype]],$BC$6:$BM$52,3))/Implements7[[#This Row],[Life (yr)]]/Implements7[[#This Row],[Use (hr/yr)]]</f>
        <v>178.56191343656533</v>
      </c>
      <c r="Y58" s="114">
        <f>Implements7[[#This Row],[Depr ($/hr)]]+Implements7[[#This Row],[OH ($/hr)]]</f>
        <v>331.83983518190047</v>
      </c>
      <c r="Z58" s="114">
        <f>(Implements7[[#This Row],[PriceP]]-Implements7[[#This Row],[TradeIn$]])/Implements7[[#This Row],[Life (yr)]]/Implements7[[#This Row],[Use (ac/yr)]]</f>
        <v>4.7163758143818679</v>
      </c>
      <c r="AA58" s="114">
        <f>((Implements7[[#This Row],[PriceP]]+Implements7[[#This Row],[TradeIn$]])/2*($BP$7+$BP$8+$BP$9)+Implements7[[#This Row],[Shed (ft^2)]]*$BP$12)/Implements7[[#This Row],[Use (ac/yr)]]</f>
        <v>7.1350468706860086</v>
      </c>
      <c r="AB58"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6.3772111941630492</v>
      </c>
      <c r="AC58" s="115">
        <f>$BP$18/(Implements7[[#This Row],[Width]]*Implements7[[#This Row],[Speed]]*Implements7[[#This Row],[Efficiency]])</f>
        <v>3.5714285714285719E-2</v>
      </c>
      <c r="AD58" s="116">
        <f>IF(Implements7[[#This Row],[Use basis]]=$N$128,Implements7[[#This Row],[Ownership costs ($/hr)]],SUM(Implements7[[#This Row],[Depr ($/ac)2]:[OH ($/ac)]]))</f>
        <v>11.851422685067877</v>
      </c>
      <c r="AE58" s="118">
        <v>17</v>
      </c>
      <c r="AF58" s="100" t="s">
        <v>497</v>
      </c>
      <c r="AG58" s="116"/>
    </row>
    <row r="59" spans="2:65">
      <c r="B59" s="100" t="str">
        <f>Implements7[[#This Row],[Implement type]]&amp;", "&amp;Implements7[[#This Row],[Width]]&amp;" "&amp;Implements7[[#This Row],[Width Unit]]&amp; ", per "&amp;Implements7[[#This Row],[Use basis]]</f>
        <v>Chisel plow, 22 Ft Folding, per acre</v>
      </c>
      <c r="C59" s="107" t="s">
        <v>451</v>
      </c>
      <c r="D59" s="106">
        <v>22</v>
      </c>
      <c r="E59" s="107" t="str">
        <f t="shared" si="9"/>
        <v>Ft Folding</v>
      </c>
      <c r="F59" s="106"/>
      <c r="G59" s="106"/>
      <c r="H59" s="108">
        <v>57500</v>
      </c>
      <c r="I59" s="109">
        <v>0.1</v>
      </c>
      <c r="J59" s="195">
        <f t="shared" si="1"/>
        <v>63888.888888888891</v>
      </c>
      <c r="K59" s="306">
        <f>VLOOKUP(Implements7[[#This Row],[ASABEtype]],ASABECoefficients8[],4,FALSE)/Implements7[[#This Row],[Use (hr/yr)]]</f>
        <v>33.333333333333336</v>
      </c>
      <c r="L59" s="106">
        <v>60</v>
      </c>
      <c r="M59" s="111">
        <f t="shared" si="2"/>
        <v>680</v>
      </c>
      <c r="N59" s="111" t="s">
        <v>706</v>
      </c>
      <c r="O59" s="106" t="s">
        <v>451</v>
      </c>
      <c r="P59" s="106">
        <v>5</v>
      </c>
      <c r="Q59" s="109">
        <v>0.85</v>
      </c>
      <c r="R59" s="109">
        <v>1.02</v>
      </c>
      <c r="S59" s="106">
        <v>250</v>
      </c>
      <c r="T59"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0.13570861969981018</v>
      </c>
      <c r="U59" s="119">
        <f>Implements7[[#This Row],[TradeIn%]]*Implements7[[#This Row],[PriceL]]</f>
        <v>8670.2729252656518</v>
      </c>
      <c r="V59" s="120">
        <f>(Implements7[[#This Row],[PriceP]]-Implements7[[#This Row],[TradeIn$]])/Implements7[[#This Row],[Life (yr)]]/Implements7[[#This Row],[Use (hr/yr)]]</f>
        <v>24.414863537367175</v>
      </c>
      <c r="W59" s="211">
        <f>((Implements7[[#This Row],[PriceP]]+Implements7[[#This Row],[TradeIn$]])/2*($BP$7+$BP$8+$BP$9)+Implements7[[#This Row],[Shed (ft^2)]]*$BP$12)/Implements7[[#This Row],[Use (hr/yr)]]</f>
        <v>52.838988628904559</v>
      </c>
      <c r="X59" s="120">
        <f>Implements7[[#This Row],[PriceL]]*(VLOOKUP(Implements7[[#This Row],[ASABEtype]],$BC$6:$BM$52,2)*(Implements7[[#This Row],[Life (yr)]]*Implements7[[#This Row],[Use (hr/yr)]]/1000)^VLOOKUP(Implements7[[#This Row],[ASABEtype]],$BC$6:$BM$52,3))/Implements7[[#This Row],[Life (yr)]]/Implements7[[#This Row],[Use (hr/yr)]]</f>
        <v>23.604530403826228</v>
      </c>
      <c r="Y59" s="120">
        <f>Implements7[[#This Row],[Depr ($/hr)]]+Implements7[[#This Row],[OH ($/hr)]]</f>
        <v>77.253852166271741</v>
      </c>
      <c r="Z59" s="120">
        <f>(Implements7[[#This Row],[PriceP]]-Implements7[[#This Row],[TradeIn$]])/Implements7[[#This Row],[Life (yr)]]/Implements7[[#This Row],[Use (ac/yr)]]</f>
        <v>2.1542526650618097</v>
      </c>
      <c r="AA59" s="114">
        <f>((Implements7[[#This Row],[PriceP]]+Implements7[[#This Row],[TradeIn$]])/2*($BP$7+$BP$8+$BP$9)+Implements7[[#This Row],[Shed (ft^2)]]*$BP$12)/Implements7[[#This Row],[Use (ac/yr)]]</f>
        <v>4.6622637025504021</v>
      </c>
      <c r="AB59"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2.0827526826905496</v>
      </c>
      <c r="AC59" s="115">
        <f>$BP$18/(Implements7[[#This Row],[Width]]*Implements7[[#This Row],[Speed]]*Implements7[[#This Row],[Efficiency]])</f>
        <v>8.8235294117647065E-2</v>
      </c>
      <c r="AD59" s="116">
        <f>IF(Implements7[[#This Row],[Use basis]]=$N$128,Implements7[[#This Row],[Ownership costs ($/hr)]],SUM(Implements7[[#This Row],[Depr ($/ac)2]:[OH ($/ac)]]))</f>
        <v>6.8165163676122118</v>
      </c>
      <c r="AE59" s="118">
        <v>1</v>
      </c>
      <c r="AF59" s="100" t="s">
        <v>501</v>
      </c>
      <c r="AG59" s="116"/>
    </row>
    <row r="60" spans="2:65">
      <c r="B60" s="100" t="str">
        <f>Implements7[[#This Row],[Implement type]]&amp;", "&amp;Implements7[[#This Row],[Width]]&amp;" "&amp;Implements7[[#This Row],[Width Unit]]&amp; ", per "&amp;Implements7[[#This Row],[Use basis]]</f>
        <v>Chisel plow, 36 Ft Folding, per acre</v>
      </c>
      <c r="C60" s="107" t="s">
        <v>451</v>
      </c>
      <c r="D60" s="106">
        <v>36</v>
      </c>
      <c r="E60" s="107" t="str">
        <f t="shared" si="9"/>
        <v>Ft Folding</v>
      </c>
      <c r="F60" s="106"/>
      <c r="G60" s="106"/>
      <c r="H60" s="108">
        <v>80500</v>
      </c>
      <c r="I60" s="109">
        <v>0.1</v>
      </c>
      <c r="J60" s="195">
        <f t="shared" si="1"/>
        <v>89444.444444444438</v>
      </c>
      <c r="K60" s="306">
        <f>VLOOKUP(Implements7[[#This Row],[ASABEtype]],ASABECoefficients8[],4,FALSE)/Implements7[[#This Row],[Use (hr/yr)]]</f>
        <v>33.333333333333336</v>
      </c>
      <c r="L60" s="106">
        <v>60</v>
      </c>
      <c r="M60" s="111">
        <f t="shared" si="2"/>
        <v>1112.7272727272727</v>
      </c>
      <c r="N60" s="111" t="s">
        <v>706</v>
      </c>
      <c r="O60" s="106" t="s">
        <v>451</v>
      </c>
      <c r="P60" s="106">
        <v>5</v>
      </c>
      <c r="Q60" s="109">
        <v>0.85</v>
      </c>
      <c r="R60" s="109">
        <v>1.02</v>
      </c>
      <c r="S60" s="106">
        <v>370</v>
      </c>
      <c r="T60"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0.13570861969981018</v>
      </c>
      <c r="U60" s="113">
        <f>Implements7[[#This Row],[TradeIn%]]*Implements7[[#This Row],[PriceL]]</f>
        <v>12138.38209537191</v>
      </c>
      <c r="V60" s="114">
        <f>(Implements7[[#This Row],[PriceP]]-Implements7[[#This Row],[TradeIn$]])/Implements7[[#This Row],[Life (yr)]]/Implements7[[#This Row],[Use (hr/yr)]]</f>
        <v>34.180808952314038</v>
      </c>
      <c r="W60" s="114">
        <f>((Implements7[[#This Row],[PriceP]]+Implements7[[#This Row],[TradeIn$]])/2*($BP$7+$BP$8+$BP$9)+Implements7[[#This Row],[Shed (ft^2)]]*$BP$12)/Implements7[[#This Row],[Use (hr/yr)]]</f>
        <v>74.297657068188087</v>
      </c>
      <c r="X60" s="114">
        <f>Implements7[[#This Row],[PriceL]]*(VLOOKUP(Implements7[[#This Row],[ASABEtype]],$BC$6:$BM$52,2)*(Implements7[[#This Row],[Life (yr)]]*Implements7[[#This Row],[Use (hr/yr)]]/1000)^VLOOKUP(Implements7[[#This Row],[ASABEtype]],$BC$6:$BM$52,3))/Implements7[[#This Row],[Life (yr)]]/Implements7[[#This Row],[Use (hr/yr)]]</f>
        <v>33.046342565356717</v>
      </c>
      <c r="Y60" s="114">
        <f>Implements7[[#This Row],[Depr ($/hr)]]+Implements7[[#This Row],[OH ($/hr)]]</f>
        <v>108.47846602050213</v>
      </c>
      <c r="Z60" s="114">
        <f>(Implements7[[#This Row],[PriceP]]-Implements7[[#This Row],[TradeIn$]])/Implements7[[#This Row],[Life (yr)]]/Implements7[[#This Row],[Use (ac/yr)]]</f>
        <v>1.8430828356639923</v>
      </c>
      <c r="AA60" s="114">
        <f>((Implements7[[#This Row],[PriceP]]+Implements7[[#This Row],[TradeIn$]])/2*($BP$7+$BP$8+$BP$9)+Implements7[[#This Row],[Shed (ft^2)]]*$BP$12)/Implements7[[#This Row],[Use (ac/yr)]]</f>
        <v>4.0062462144611226</v>
      </c>
      <c r="AB60"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1.7819106285241366</v>
      </c>
      <c r="AC60" s="115">
        <f>$BP$18/(Implements7[[#This Row],[Width]]*Implements7[[#This Row],[Speed]]*Implements7[[#This Row],[Efficiency]])</f>
        <v>5.3921568627450983E-2</v>
      </c>
      <c r="AD60" s="116">
        <f>IF(Implements7[[#This Row],[Use basis]]=$N$128,Implements7[[#This Row],[Ownership costs ($/hr)]],SUM(Implements7[[#This Row],[Depr ($/ac)2]:[OH ($/ac)]]))</f>
        <v>5.8493290501251147</v>
      </c>
      <c r="AE60" s="118">
        <v>2</v>
      </c>
      <c r="AF60" s="100" t="s">
        <v>501</v>
      </c>
      <c r="AG60" s="116"/>
    </row>
    <row r="61" spans="2:65">
      <c r="B61" s="100" t="str">
        <f>Implements7[[#This Row],[Implement type]]&amp;", "&amp;Implements7[[#This Row],[Width]]&amp;" "&amp;Implements7[[#This Row],[Width Unit]]</f>
        <v>Grain auger, 13 In</v>
      </c>
      <c r="C61" s="107" t="s">
        <v>795</v>
      </c>
      <c r="D61" s="106">
        <v>13</v>
      </c>
      <c r="E61" s="107" t="s">
        <v>796</v>
      </c>
      <c r="F61" s="106">
        <v>84</v>
      </c>
      <c r="G61" s="105" t="s">
        <v>797</v>
      </c>
      <c r="H61" s="108">
        <v>31500</v>
      </c>
      <c r="I61" s="109">
        <v>0.1</v>
      </c>
      <c r="J61" s="195">
        <f>H61/(1-I61)</f>
        <v>35000</v>
      </c>
      <c r="K61" s="306">
        <f>VLOOKUP(Implements7[[#This Row],[ASABEtype]],ASABECoefficients8[],4,FALSE)/Implements7[[#This Row],[Use (hr/yr)]]</f>
        <v>7.5</v>
      </c>
      <c r="L61" s="106">
        <v>200</v>
      </c>
      <c r="M61" s="111">
        <f>IF(AND(P61&lt;&gt;0,Q61&lt;&gt;0),L61*(D61*P61*Q61)/8.25,L61*D61)</f>
        <v>28.363636363636367</v>
      </c>
      <c r="N61" s="111" t="s">
        <v>720</v>
      </c>
      <c r="O61" s="106" t="s">
        <v>575</v>
      </c>
      <c r="P61" s="106">
        <v>0.1</v>
      </c>
      <c r="Q61" s="109">
        <v>0.9</v>
      </c>
      <c r="R61" s="109">
        <v>1.02</v>
      </c>
      <c r="S61" s="106">
        <v>0</v>
      </c>
      <c r="T61"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0.54556835097230594</v>
      </c>
      <c r="U61" s="113">
        <f>Implements7[[#This Row],[TradeIn%]]*Implements7[[#This Row],[PriceL]]</f>
        <v>19094.89228403071</v>
      </c>
      <c r="V61" s="114">
        <f>(Implements7[[#This Row],[PriceP]]-Implements7[[#This Row],[TradeIn$]])/Implements7[[#This Row],[Life (yr)]]/Implements7[[#This Row],[Use (hr/yr)]]</f>
        <v>8.2700718106461935</v>
      </c>
      <c r="W61" s="117">
        <f>((Implements7[[#This Row],[PriceP]]+Implements7[[#This Row],[TradeIn$]])/2*($BP$7+$BP$8+$BP$9)+Implements7[[#This Row],[Shed (ft^2)]]*$BP$12)/Implements7[[#This Row],[Use (hr/yr)]]</f>
        <v>11.194119917841792</v>
      </c>
      <c r="X61" s="114">
        <f>Implements7[[#This Row],[PriceL]]*(VLOOKUP(Implements7[[#This Row],[ASABEtype]],$BC$6:$BM$52,2)*(Implements7[[#This Row],[Life (yr)]]*Implements7[[#This Row],[Use (hr/yr)]]/1000)^VLOOKUP(Implements7[[#This Row],[ASABEtype]],$BC$6:$BM$52,3))/Implements7[[#This Row],[Life (yr)]]/Implements7[[#This Row],[Use (hr/yr)]]</f>
        <v>10.650346377613955</v>
      </c>
      <c r="Y61" s="114">
        <f>Implements7[[#This Row],[Depr ($/hr)]]+Implements7[[#This Row],[OH ($/hr)]]</f>
        <v>19.464191728487986</v>
      </c>
      <c r="Z61" s="114">
        <f>(Implements7[[#This Row],[PriceP]]-Implements7[[#This Row],[TradeIn$]])/Implements7[[#This Row],[Life (yr)]]/Implements7[[#This Row],[Use (ac/yr)]]</f>
        <v>58.314608921223147</v>
      </c>
      <c r="AA61" s="117">
        <f>((Implements7[[#This Row],[PriceP]]+Implements7[[#This Row],[TradeIn$]])/2*($BP$7+$BP$8+$BP$9)+Implements7[[#This Row],[Shed (ft^2)]]*$BP$12)/Implements7[[#This Row],[Use (ac/yr)]]</f>
        <v>78.932896856576733</v>
      </c>
      <c r="AB61"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10.650346377613955</v>
      </c>
      <c r="AC61" s="115">
        <f>$BP$18/(Implements7[[#This Row],[Width]]*Implements7[[#This Row],[Speed]]*Implements7[[#This Row],[Efficiency]])</f>
        <v>7.0512820512820502</v>
      </c>
      <c r="AD61" s="116">
        <f>IF(Implements7[[#This Row],[Use basis]]=$N$128,Implements7[[#This Row],[Ownership costs ($/hr)]],SUM(Implements7[[#This Row],[Depr ($/ac)2]:[OH ($/ac)]]))</f>
        <v>19.464191728487986</v>
      </c>
      <c r="AE61" s="116"/>
      <c r="AF61" s="116" t="s">
        <v>463</v>
      </c>
      <c r="AG61" s="116"/>
    </row>
    <row r="62" spans="2:65">
      <c r="B62" s="100" t="str">
        <f>Implements7[[#This Row],[Implement type]]&amp;", "&amp;Implements7[[#This Row],[Width]]&amp;" "&amp;Implements7[[#This Row],[Width Unit]]</f>
        <v>Cotton Picker, 12 Ft</v>
      </c>
      <c r="C62" s="105" t="s">
        <v>675</v>
      </c>
      <c r="D62" s="106">
        <v>12</v>
      </c>
      <c r="E62" s="105" t="s">
        <v>439</v>
      </c>
      <c r="F62" s="106"/>
      <c r="G62" s="105" t="s">
        <v>684</v>
      </c>
      <c r="H62" s="186"/>
      <c r="I62" s="187"/>
      <c r="J62" s="195"/>
      <c r="K62" s="195"/>
      <c r="L62" s="180"/>
      <c r="M62" s="106"/>
      <c r="N62" s="310" t="s">
        <v>706</v>
      </c>
      <c r="O62" s="106"/>
      <c r="P62" s="106"/>
      <c r="Q62" s="187"/>
      <c r="R62" s="187"/>
      <c r="S62" s="106"/>
      <c r="T62" s="188"/>
      <c r="U62" s="189"/>
      <c r="V62" s="190"/>
      <c r="W62" s="191"/>
      <c r="X62" s="192"/>
      <c r="Y62" s="115"/>
      <c r="Z62" s="116"/>
      <c r="AA62" s="116"/>
      <c r="AB62" s="116">
        <f>AD62*0.2</f>
        <v>12.344000000000001</v>
      </c>
      <c r="AC62" s="115">
        <v>0.34</v>
      </c>
      <c r="AD62" s="116">
        <v>61.72</v>
      </c>
      <c r="AE62" s="116"/>
      <c r="AF62" s="116" t="s">
        <v>693</v>
      </c>
      <c r="AG62" s="116"/>
    </row>
    <row r="63" spans="2:65">
      <c r="B63" s="100" t="str">
        <f>Implements7[[#This Row],[Implement type]]&amp;", "&amp;Implements7[[#This Row],[Width]]&amp;" "&amp;Implements7[[#This Row],[Width Unit]]</f>
        <v>Cotton Picker, 18 Ft</v>
      </c>
      <c r="C63" s="105" t="s">
        <v>675</v>
      </c>
      <c r="D63" s="106">
        <v>18</v>
      </c>
      <c r="E63" s="105" t="s">
        <v>439</v>
      </c>
      <c r="F63" s="106"/>
      <c r="G63" s="105" t="s">
        <v>238</v>
      </c>
      <c r="H63" s="186"/>
      <c r="I63" s="187"/>
      <c r="J63" s="195"/>
      <c r="K63" s="195"/>
      <c r="L63" s="180"/>
      <c r="M63" s="106"/>
      <c r="N63" s="310" t="s">
        <v>706</v>
      </c>
      <c r="O63" s="106"/>
      <c r="P63" s="106"/>
      <c r="Q63" s="187"/>
      <c r="R63" s="187"/>
      <c r="S63" s="106"/>
      <c r="T63" s="188"/>
      <c r="U63" s="189"/>
      <c r="V63" s="190"/>
      <c r="W63" s="191"/>
      <c r="X63" s="192"/>
      <c r="Y63" s="115"/>
      <c r="Z63" s="116"/>
      <c r="AA63" s="116"/>
      <c r="AB63" s="116">
        <f t="shared" ref="AB63:AB98" si="10">AD63*0.2</f>
        <v>14.548</v>
      </c>
      <c r="AC63" s="115">
        <v>0.23</v>
      </c>
      <c r="AD63" s="116">
        <v>72.739999999999995</v>
      </c>
      <c r="AE63" s="116"/>
      <c r="AF63" s="116" t="s">
        <v>693</v>
      </c>
      <c r="AG63" s="116"/>
    </row>
    <row r="64" spans="2:65">
      <c r="B64" s="100" t="str">
        <f>Implements7[[#This Row],[Implement type]]&amp;", "&amp;Implements7[[#This Row],[Width]]&amp;" "&amp;Implements7[[#This Row],[Width Unit]]</f>
        <v xml:space="preserve">Cotton Module Builder,  </v>
      </c>
      <c r="C64" s="105" t="s">
        <v>676</v>
      </c>
      <c r="D64" s="106"/>
      <c r="E64" s="105"/>
      <c r="F64" s="106"/>
      <c r="G64" s="105"/>
      <c r="H64" s="186"/>
      <c r="I64" s="187"/>
      <c r="J64" s="195"/>
      <c r="K64" s="195"/>
      <c r="L64" s="180"/>
      <c r="M64" s="106"/>
      <c r="N64" s="310" t="s">
        <v>706</v>
      </c>
      <c r="O64" s="106"/>
      <c r="P64" s="106"/>
      <c r="Q64" s="187"/>
      <c r="R64" s="187"/>
      <c r="S64" s="106"/>
      <c r="T64" s="188"/>
      <c r="U64" s="189"/>
      <c r="V64" s="190"/>
      <c r="W64" s="191"/>
      <c r="X64" s="192"/>
      <c r="Y64" s="115"/>
      <c r="Z64" s="116"/>
      <c r="AA64" s="116"/>
      <c r="AB64" s="116">
        <f t="shared" si="10"/>
        <v>7.2080000000000002</v>
      </c>
      <c r="AC64" s="115">
        <v>0.18</v>
      </c>
      <c r="AD64" s="116">
        <v>36.04</v>
      </c>
      <c r="AE64" s="116"/>
      <c r="AF64" s="116" t="s">
        <v>693</v>
      </c>
      <c r="AG64" s="116"/>
    </row>
    <row r="65" spans="2:33">
      <c r="B65" s="100" t="str">
        <f>Implements7[[#This Row],[Implement type]]&amp;", "&amp;Implements7[[#This Row],[Width]]&amp;" "&amp;Implements7[[#This Row],[Width Unit]]</f>
        <v>Cotton picker with baler, 18 Ft</v>
      </c>
      <c r="C65" s="105" t="s">
        <v>677</v>
      </c>
      <c r="D65" s="106">
        <v>18</v>
      </c>
      <c r="E65" s="105" t="s">
        <v>439</v>
      </c>
      <c r="F65" s="106"/>
      <c r="G65" s="105" t="s">
        <v>238</v>
      </c>
      <c r="H65" s="186"/>
      <c r="I65" s="187"/>
      <c r="J65" s="195"/>
      <c r="K65" s="195"/>
      <c r="L65" s="180"/>
      <c r="M65" s="106"/>
      <c r="N65" s="310" t="s">
        <v>706</v>
      </c>
      <c r="O65" s="106"/>
      <c r="P65" s="106"/>
      <c r="Q65" s="187"/>
      <c r="R65" s="187"/>
      <c r="S65" s="106"/>
      <c r="T65" s="188"/>
      <c r="U65" s="189"/>
      <c r="V65" s="190"/>
      <c r="W65" s="191"/>
      <c r="X65" s="192"/>
      <c r="Y65" s="115"/>
      <c r="Z65" s="116"/>
      <c r="AA65" s="116"/>
      <c r="AB65" s="116">
        <f t="shared" si="10"/>
        <v>4.9600000000000009</v>
      </c>
      <c r="AC65" s="115">
        <v>0.18</v>
      </c>
      <c r="AD65" s="116">
        <v>24.8</v>
      </c>
      <c r="AE65" s="116"/>
      <c r="AF65" s="116" t="s">
        <v>693</v>
      </c>
      <c r="AG65" s="116"/>
    </row>
    <row r="66" spans="2:33">
      <c r="B66" s="100" t="str">
        <f>Implements7[[#This Row],[Implement type]]&amp;", "&amp;Implements7[[#This Row],[Width]]&amp;" "&amp;Implements7[[#This Row],[Width Unit]]</f>
        <v>Cotton stalk puller, 12 Ft</v>
      </c>
      <c r="C66" s="105" t="s">
        <v>678</v>
      </c>
      <c r="D66" s="106">
        <v>12</v>
      </c>
      <c r="E66" s="105" t="s">
        <v>439</v>
      </c>
      <c r="F66" s="106"/>
      <c r="G66" s="105" t="s">
        <v>684</v>
      </c>
      <c r="H66" s="186"/>
      <c r="I66" s="187"/>
      <c r="J66" s="195"/>
      <c r="K66" s="195"/>
      <c r="L66" s="180"/>
      <c r="M66" s="106"/>
      <c r="N66" s="310" t="s">
        <v>706</v>
      </c>
      <c r="O66" s="106"/>
      <c r="P66" s="106"/>
      <c r="Q66" s="187"/>
      <c r="R66" s="187"/>
      <c r="S66" s="106"/>
      <c r="T66" s="188"/>
      <c r="U66" s="189"/>
      <c r="V66" s="190"/>
      <c r="W66" s="191"/>
      <c r="X66" s="192"/>
      <c r="Y66" s="115"/>
      <c r="Z66" s="116"/>
      <c r="AA66" s="116"/>
      <c r="AB66" s="116">
        <f t="shared" si="10"/>
        <v>0.48200000000000004</v>
      </c>
      <c r="AC66" s="115">
        <v>0.21</v>
      </c>
      <c r="AD66" s="116">
        <v>2.41</v>
      </c>
      <c r="AE66" s="116"/>
      <c r="AF66" s="116" t="s">
        <v>693</v>
      </c>
      <c r="AG66" s="116"/>
    </row>
    <row r="67" spans="2:33">
      <c r="B67" s="100" t="str">
        <f>Implements7[[#This Row],[Implement type]]&amp;", "&amp;Implements7[[#This Row],[Width]]&amp;" "&amp;Implements7[[#This Row],[Width Unit]]</f>
        <v>Cotton stalk puller, 18 Ft</v>
      </c>
      <c r="C67" s="105" t="s">
        <v>678</v>
      </c>
      <c r="D67" s="106">
        <v>18</v>
      </c>
      <c r="E67" s="105" t="s">
        <v>439</v>
      </c>
      <c r="F67" s="106"/>
      <c r="G67" s="105" t="s">
        <v>238</v>
      </c>
      <c r="H67" s="186"/>
      <c r="I67" s="187"/>
      <c r="J67" s="195"/>
      <c r="K67" s="195"/>
      <c r="L67" s="180"/>
      <c r="M67" s="106"/>
      <c r="N67" s="310" t="s">
        <v>706</v>
      </c>
      <c r="O67" s="106"/>
      <c r="P67" s="106"/>
      <c r="Q67" s="187"/>
      <c r="R67" s="187"/>
      <c r="S67" s="106"/>
      <c r="T67" s="188"/>
      <c r="U67" s="189"/>
      <c r="V67" s="190"/>
      <c r="W67" s="191"/>
      <c r="X67" s="192"/>
      <c r="Y67" s="115"/>
      <c r="Z67" s="116"/>
      <c r="AA67" s="116"/>
      <c r="AB67" s="116">
        <f t="shared" si="10"/>
        <v>0.63200000000000012</v>
      </c>
      <c r="AC67" s="115">
        <v>0.14000000000000001</v>
      </c>
      <c r="AD67" s="116">
        <v>3.16</v>
      </c>
      <c r="AE67" s="116"/>
      <c r="AF67" s="116" t="s">
        <v>693</v>
      </c>
      <c r="AG67" s="116"/>
    </row>
    <row r="68" spans="2:33">
      <c r="B68" s="100" t="str">
        <f>Implements7[[#This Row],[Implement type]]&amp;", "&amp;Implements7[[#This Row],[Width]]&amp;" "&amp;Implements7[[#This Row],[Width Unit]]</f>
        <v>Cotton stalk puller, 24 Ft</v>
      </c>
      <c r="C68" s="105" t="s">
        <v>678</v>
      </c>
      <c r="D68" s="106">
        <v>24</v>
      </c>
      <c r="E68" s="105" t="s">
        <v>439</v>
      </c>
      <c r="F68" s="106"/>
      <c r="G68" s="105" t="s">
        <v>260</v>
      </c>
      <c r="H68" s="186"/>
      <c r="I68" s="187"/>
      <c r="J68" s="195"/>
      <c r="K68" s="195"/>
      <c r="L68" s="180"/>
      <c r="M68" s="106"/>
      <c r="N68" s="310" t="s">
        <v>706</v>
      </c>
      <c r="O68" s="106"/>
      <c r="P68" s="106"/>
      <c r="Q68" s="187"/>
      <c r="R68" s="187"/>
      <c r="S68" s="106"/>
      <c r="T68" s="188"/>
      <c r="U68" s="189"/>
      <c r="V68" s="190"/>
      <c r="W68" s="191"/>
      <c r="X68" s="192"/>
      <c r="Y68" s="115"/>
      <c r="Z68" s="116"/>
      <c r="AA68" s="116"/>
      <c r="AB68" s="116">
        <f t="shared" si="10"/>
        <v>0.54600000000000004</v>
      </c>
      <c r="AC68" s="115">
        <v>0.11</v>
      </c>
      <c r="AD68" s="116">
        <v>2.73</v>
      </c>
      <c r="AE68" s="116"/>
      <c r="AF68" s="116" t="s">
        <v>693</v>
      </c>
      <c r="AG68" s="116"/>
    </row>
    <row r="69" spans="2:33">
      <c r="B69" s="100" t="str">
        <f>Implements7[[#This Row],[Implement type]]&amp;", "&amp;Implements7[[#This Row],[Width]]&amp;" "&amp;Implements7[[#This Row],[Width Unit]]</f>
        <v>Peanut digger, 10 Ft</v>
      </c>
      <c r="C69" s="105" t="s">
        <v>671</v>
      </c>
      <c r="D69" s="106">
        <v>10</v>
      </c>
      <c r="E69" s="105" t="s">
        <v>439</v>
      </c>
      <c r="F69" s="106"/>
      <c r="G69" s="106" t="s">
        <v>684</v>
      </c>
      <c r="H69" s="186"/>
      <c r="I69" s="187"/>
      <c r="J69" s="195"/>
      <c r="K69" s="195"/>
      <c r="L69" s="180"/>
      <c r="M69" s="106"/>
      <c r="N69" s="310" t="s">
        <v>706</v>
      </c>
      <c r="O69" s="106"/>
      <c r="P69" s="106"/>
      <c r="Q69" s="187"/>
      <c r="R69" s="187"/>
      <c r="S69" s="106"/>
      <c r="T69" s="188"/>
      <c r="U69" s="189"/>
      <c r="V69" s="190"/>
      <c r="W69" s="191"/>
      <c r="X69" s="192"/>
      <c r="Y69" s="115"/>
      <c r="Z69" s="116"/>
      <c r="AA69" s="116"/>
      <c r="AB69" s="116">
        <f t="shared" si="10"/>
        <v>1.554</v>
      </c>
      <c r="AC69" s="115">
        <v>0.35</v>
      </c>
      <c r="AD69" s="116">
        <v>7.77</v>
      </c>
      <c r="AE69" s="116"/>
      <c r="AF69" s="116" t="s">
        <v>692</v>
      </c>
      <c r="AG69" s="116"/>
    </row>
    <row r="70" spans="2:33">
      <c r="B70" s="100" t="str">
        <f>Implements7[[#This Row],[Implement type]]&amp;", "&amp;Implements7[[#This Row],[Width]]&amp;" "&amp;Implements7[[#This Row],[Width Unit]]</f>
        <v>Peanut digger, 15 Ft Folding</v>
      </c>
      <c r="C70" s="105" t="s">
        <v>671</v>
      </c>
      <c r="D70" s="106">
        <v>15</v>
      </c>
      <c r="E70" s="105" t="s">
        <v>458</v>
      </c>
      <c r="F70" s="106"/>
      <c r="G70" s="106" t="s">
        <v>238</v>
      </c>
      <c r="H70" s="186"/>
      <c r="I70" s="187"/>
      <c r="J70" s="195"/>
      <c r="K70" s="195"/>
      <c r="L70" s="180"/>
      <c r="M70" s="106"/>
      <c r="N70" s="310" t="s">
        <v>706</v>
      </c>
      <c r="O70" s="106"/>
      <c r="P70" s="106"/>
      <c r="Q70" s="187"/>
      <c r="R70" s="187"/>
      <c r="S70" s="106"/>
      <c r="T70" s="188"/>
      <c r="U70" s="189"/>
      <c r="V70" s="190"/>
      <c r="W70" s="191"/>
      <c r="X70" s="192"/>
      <c r="Y70" s="115"/>
      <c r="Z70" s="116"/>
      <c r="AA70" s="116"/>
      <c r="AB70" s="116">
        <f t="shared" si="10"/>
        <v>1.5840000000000001</v>
      </c>
      <c r="AC70" s="115">
        <v>0.28999999999999998</v>
      </c>
      <c r="AD70" s="116">
        <v>7.92</v>
      </c>
      <c r="AE70" s="116"/>
      <c r="AF70" s="116" t="s">
        <v>692</v>
      </c>
      <c r="AG70" s="116"/>
    </row>
    <row r="71" spans="2:33">
      <c r="B71" s="100" t="str">
        <f>Implements7[[#This Row],[Implement type]]&amp;", "&amp;Implements7[[#This Row],[Width]]&amp;" "&amp;Implements7[[#This Row],[Width Unit]]</f>
        <v>Peanut shaker, 15 Ft Folding</v>
      </c>
      <c r="C71" s="105" t="s">
        <v>672</v>
      </c>
      <c r="D71" s="106">
        <v>15</v>
      </c>
      <c r="E71" s="105" t="s">
        <v>458</v>
      </c>
      <c r="F71" s="106"/>
      <c r="G71" s="105" t="s">
        <v>238</v>
      </c>
      <c r="H71" s="186"/>
      <c r="I71" s="187"/>
      <c r="J71" s="195"/>
      <c r="K71" s="195"/>
      <c r="L71" s="180"/>
      <c r="M71" s="106"/>
      <c r="N71" s="310" t="s">
        <v>706</v>
      </c>
      <c r="O71" s="106"/>
      <c r="P71" s="106"/>
      <c r="Q71" s="187"/>
      <c r="R71" s="187"/>
      <c r="S71" s="106"/>
      <c r="T71" s="188"/>
      <c r="U71" s="189"/>
      <c r="V71" s="190"/>
      <c r="W71" s="191"/>
      <c r="X71" s="192"/>
      <c r="Y71" s="115"/>
      <c r="Z71" s="116"/>
      <c r="AA71" s="116"/>
      <c r="AB71" s="116">
        <f t="shared" si="10"/>
        <v>1.0580000000000001</v>
      </c>
      <c r="AC71" s="115">
        <v>0.27</v>
      </c>
      <c r="AD71" s="116">
        <v>5.29</v>
      </c>
      <c r="AE71" s="116"/>
      <c r="AF71" s="116" t="s">
        <v>692</v>
      </c>
      <c r="AG71" s="116"/>
    </row>
    <row r="72" spans="2:33">
      <c r="B72" s="100" t="str">
        <f>Implements7[[#This Row],[Implement type]]&amp;", "&amp;Implements7[[#This Row],[Width]]&amp;" "&amp;Implements7[[#This Row],[Width Unit]]</f>
        <v>Peanut shaker, 20 Ft Folding</v>
      </c>
      <c r="C72" s="105" t="s">
        <v>672</v>
      </c>
      <c r="D72" s="106">
        <v>20</v>
      </c>
      <c r="E72" s="105" t="s">
        <v>458</v>
      </c>
      <c r="F72" s="106"/>
      <c r="G72" s="105" t="s">
        <v>260</v>
      </c>
      <c r="H72" s="186"/>
      <c r="I72" s="187"/>
      <c r="J72" s="195"/>
      <c r="K72" s="195"/>
      <c r="L72" s="180"/>
      <c r="M72" s="106"/>
      <c r="N72" s="310" t="s">
        <v>706</v>
      </c>
      <c r="O72" s="106"/>
      <c r="P72" s="106"/>
      <c r="Q72" s="187"/>
      <c r="R72" s="187"/>
      <c r="S72" s="106"/>
      <c r="T72" s="188"/>
      <c r="U72" s="189"/>
      <c r="V72" s="190"/>
      <c r="W72" s="191"/>
      <c r="X72" s="192"/>
      <c r="Y72" s="115"/>
      <c r="Z72" s="116"/>
      <c r="AA72" s="116"/>
      <c r="AB72" s="116">
        <f t="shared" si="10"/>
        <v>0.69200000000000006</v>
      </c>
      <c r="AC72" s="115">
        <v>0.18</v>
      </c>
      <c r="AD72" s="116">
        <v>3.46</v>
      </c>
      <c r="AE72" s="116"/>
      <c r="AF72" s="116" t="s">
        <v>692</v>
      </c>
      <c r="AG72" s="116"/>
    </row>
    <row r="73" spans="2:33">
      <c r="B73" s="100" t="str">
        <f>Implements7[[#This Row],[Implement type]]&amp;", "&amp;Implements7[[#This Row],[Width]]&amp;" "&amp;Implements7[[#This Row],[Width Unit]]</f>
        <v>Peanut combine, 10 Ft</v>
      </c>
      <c r="C73" s="105" t="s">
        <v>673</v>
      </c>
      <c r="D73" s="106">
        <v>10</v>
      </c>
      <c r="E73" s="105" t="s">
        <v>439</v>
      </c>
      <c r="F73" s="106"/>
      <c r="G73" s="105" t="s">
        <v>684</v>
      </c>
      <c r="H73" s="186"/>
      <c r="I73" s="187"/>
      <c r="J73" s="195"/>
      <c r="K73" s="195"/>
      <c r="L73" s="180"/>
      <c r="M73" s="106"/>
      <c r="N73" s="310" t="s">
        <v>706</v>
      </c>
      <c r="O73" s="106"/>
      <c r="P73" s="106"/>
      <c r="Q73" s="187"/>
      <c r="R73" s="187"/>
      <c r="S73" s="106"/>
      <c r="T73" s="188"/>
      <c r="U73" s="189"/>
      <c r="V73" s="190"/>
      <c r="W73" s="191"/>
      <c r="X73" s="192"/>
      <c r="Y73" s="115"/>
      <c r="Z73" s="116"/>
      <c r="AA73" s="116"/>
      <c r="AB73" s="116">
        <f t="shared" si="10"/>
        <v>6.4860000000000007</v>
      </c>
      <c r="AC73" s="115">
        <v>0.56999999999999995</v>
      </c>
      <c r="AD73" s="116">
        <v>32.43</v>
      </c>
      <c r="AE73" s="116"/>
      <c r="AF73" s="116" t="s">
        <v>692</v>
      </c>
      <c r="AG73" s="116"/>
    </row>
    <row r="74" spans="2:33">
      <c r="B74" s="100" t="str">
        <f>Implements7[[#This Row],[Implement type]]&amp;", "&amp;Implements7[[#This Row],[Width]]&amp;" "&amp;Implements7[[#This Row],[Width Unit]]</f>
        <v>Peanut combine, 15 ft</v>
      </c>
      <c r="C74" s="105" t="s">
        <v>673</v>
      </c>
      <c r="D74" s="106">
        <v>15</v>
      </c>
      <c r="E74" s="105" t="s">
        <v>687</v>
      </c>
      <c r="F74" s="106"/>
      <c r="G74" s="105" t="s">
        <v>238</v>
      </c>
      <c r="H74" s="186"/>
      <c r="I74" s="187"/>
      <c r="J74" s="195"/>
      <c r="K74" s="195"/>
      <c r="L74" s="180"/>
      <c r="M74" s="106"/>
      <c r="N74" s="310" t="s">
        <v>706</v>
      </c>
      <c r="O74" s="106"/>
      <c r="P74" s="106"/>
      <c r="Q74" s="187"/>
      <c r="R74" s="187"/>
      <c r="S74" s="106"/>
      <c r="T74" s="188"/>
      <c r="U74" s="189"/>
      <c r="V74" s="190"/>
      <c r="W74" s="191"/>
      <c r="X74" s="192"/>
      <c r="Y74" s="115"/>
      <c r="Z74" s="116"/>
      <c r="AA74" s="116"/>
      <c r="AB74" s="116">
        <f t="shared" si="10"/>
        <v>4.7220000000000004</v>
      </c>
      <c r="AC74" s="115">
        <v>0.38</v>
      </c>
      <c r="AD74" s="116">
        <v>23.61</v>
      </c>
      <c r="AE74" s="116"/>
      <c r="AF74" s="116" t="s">
        <v>692</v>
      </c>
      <c r="AG74" s="116"/>
    </row>
    <row r="75" spans="2:33">
      <c r="B75" s="100" t="str">
        <f>Implements7[[#This Row],[Implement type]]&amp;", "&amp;Implements7[[#This Row],[Width]]&amp;" "&amp;Implements7[[#This Row],[Width Unit]]</f>
        <v>Peanut dump cart, 30 Ft</v>
      </c>
      <c r="C75" s="105" t="s">
        <v>674</v>
      </c>
      <c r="D75" s="106">
        <v>30</v>
      </c>
      <c r="E75" s="105" t="s">
        <v>439</v>
      </c>
      <c r="F75" s="106"/>
      <c r="G75" s="105" t="s">
        <v>688</v>
      </c>
      <c r="H75" s="186"/>
      <c r="I75" s="187"/>
      <c r="J75" s="195"/>
      <c r="K75" s="195"/>
      <c r="L75" s="180"/>
      <c r="M75" s="106"/>
      <c r="N75" s="310" t="s">
        <v>706</v>
      </c>
      <c r="O75" s="106"/>
      <c r="P75" s="106"/>
      <c r="Q75" s="187"/>
      <c r="R75" s="187"/>
      <c r="S75" s="106"/>
      <c r="T75" s="188"/>
      <c r="U75" s="189"/>
      <c r="V75" s="190"/>
      <c r="W75" s="191"/>
      <c r="X75" s="192"/>
      <c r="Y75" s="115"/>
      <c r="Z75" s="116"/>
      <c r="AA75" s="116"/>
      <c r="AB75" s="116">
        <f t="shared" si="10"/>
        <v>2.25</v>
      </c>
      <c r="AC75" s="115">
        <v>0.2</v>
      </c>
      <c r="AD75" s="116">
        <v>11.25</v>
      </c>
      <c r="AE75" s="116"/>
      <c r="AF75" s="116" t="s">
        <v>692</v>
      </c>
      <c r="AG75" s="116"/>
    </row>
    <row r="76" spans="2:33">
      <c r="B76" s="100" t="str">
        <f>Implements7[[#This Row],[Implement type]]&amp;", "&amp;Implements7[[#This Row],[Width]]&amp;" "&amp;Implements7[[#This Row],[Width Unit]]</f>
        <v>Subsoiler, 10 Ft</v>
      </c>
      <c r="C76" s="105" t="s">
        <v>666</v>
      </c>
      <c r="D76" s="106">
        <v>10</v>
      </c>
      <c r="E76" s="105" t="s">
        <v>439</v>
      </c>
      <c r="F76" s="106"/>
      <c r="G76" s="105" t="s">
        <v>680</v>
      </c>
      <c r="H76" s="186"/>
      <c r="I76" s="187"/>
      <c r="J76" s="195"/>
      <c r="K76" s="195"/>
      <c r="L76" s="180"/>
      <c r="M76" s="106"/>
      <c r="N76" s="310" t="s">
        <v>706</v>
      </c>
      <c r="O76" s="106"/>
      <c r="P76" s="106"/>
      <c r="Q76" s="187"/>
      <c r="R76" s="187"/>
      <c r="S76" s="106"/>
      <c r="T76" s="188"/>
      <c r="U76" s="189"/>
      <c r="V76" s="190"/>
      <c r="W76" s="191"/>
      <c r="X76" s="192"/>
      <c r="Y76" s="115"/>
      <c r="Z76" s="116"/>
      <c r="AA76" s="116"/>
      <c r="AB76" s="116">
        <f t="shared" si="10"/>
        <v>0.82200000000000006</v>
      </c>
      <c r="AC76" s="115">
        <v>0.26</v>
      </c>
      <c r="AD76" s="116">
        <v>4.1100000000000003</v>
      </c>
      <c r="AE76" s="116"/>
      <c r="AF76" s="116" t="s">
        <v>501</v>
      </c>
      <c r="AG76" s="116"/>
    </row>
    <row r="77" spans="2:33">
      <c r="B77" s="100" t="str">
        <f>Implements7[[#This Row],[Implement type]]&amp;", "&amp;Implements7[[#This Row],[Width]]&amp;" "&amp;Implements7[[#This Row],[Width Unit]]</f>
        <v>Subsoiler, 15 Ft</v>
      </c>
      <c r="C77" s="105" t="s">
        <v>666</v>
      </c>
      <c r="D77" s="106">
        <v>15</v>
      </c>
      <c r="E77" s="105" t="s">
        <v>439</v>
      </c>
      <c r="F77" s="106"/>
      <c r="G77" s="105" t="s">
        <v>681</v>
      </c>
      <c r="H77" s="186"/>
      <c r="I77" s="187"/>
      <c r="J77" s="195"/>
      <c r="K77" s="195"/>
      <c r="L77" s="180"/>
      <c r="M77" s="106"/>
      <c r="N77" s="310" t="s">
        <v>706</v>
      </c>
      <c r="O77" s="106"/>
      <c r="P77" s="106"/>
      <c r="Q77" s="187"/>
      <c r="R77" s="187"/>
      <c r="S77" s="106"/>
      <c r="T77" s="188"/>
      <c r="U77" s="189"/>
      <c r="V77" s="190"/>
      <c r="W77" s="191"/>
      <c r="X77" s="192"/>
      <c r="Y77" s="115"/>
      <c r="Z77" s="116"/>
      <c r="AA77" s="116"/>
      <c r="AB77" s="116">
        <f t="shared" si="10"/>
        <v>0.59400000000000008</v>
      </c>
      <c r="AC77" s="115">
        <v>0.17</v>
      </c>
      <c r="AD77" s="116">
        <v>2.97</v>
      </c>
      <c r="AE77" s="116"/>
      <c r="AF77" s="116" t="s">
        <v>501</v>
      </c>
      <c r="AG77" s="116"/>
    </row>
    <row r="78" spans="2:33">
      <c r="B78" s="100" t="str">
        <f>Implements7[[#This Row],[Implement type]]&amp;", "&amp;Implements7[[#This Row],[Width]]&amp;" "&amp;Implements7[[#This Row],[Width Unit]]</f>
        <v>Subsoiler, 20 Ft Folding</v>
      </c>
      <c r="C78" s="105" t="s">
        <v>666</v>
      </c>
      <c r="D78" s="106">
        <v>20</v>
      </c>
      <c r="E78" s="105" t="s">
        <v>458</v>
      </c>
      <c r="F78" s="106"/>
      <c r="G78" s="105" t="s">
        <v>682</v>
      </c>
      <c r="H78" s="186"/>
      <c r="I78" s="187"/>
      <c r="J78" s="195"/>
      <c r="K78" s="195"/>
      <c r="L78" s="180"/>
      <c r="M78" s="106"/>
      <c r="N78" s="310" t="s">
        <v>706</v>
      </c>
      <c r="O78" s="106"/>
      <c r="P78" s="106"/>
      <c r="Q78" s="187"/>
      <c r="R78" s="187"/>
      <c r="S78" s="106"/>
      <c r="T78" s="188"/>
      <c r="U78" s="189"/>
      <c r="V78" s="190"/>
      <c r="W78" s="191"/>
      <c r="X78" s="192"/>
      <c r="Y78" s="115"/>
      <c r="Z78" s="116"/>
      <c r="AA78" s="116"/>
      <c r="AB78" s="116">
        <f t="shared" si="10"/>
        <v>0.53600000000000003</v>
      </c>
      <c r="AC78" s="115">
        <v>0.11</v>
      </c>
      <c r="AD78" s="116">
        <v>2.68</v>
      </c>
      <c r="AE78" s="116"/>
      <c r="AF78" s="116" t="s">
        <v>501</v>
      </c>
      <c r="AG78" s="116"/>
    </row>
    <row r="79" spans="2:33">
      <c r="B79" s="100" t="str">
        <f>Implements7[[#This Row],[Implement type]]&amp;", "&amp;Implements7[[#This Row],[Width]]&amp;" "&amp;Implements7[[#This Row],[Width Unit]]</f>
        <v>Vegetable transplanter, 14 Ft</v>
      </c>
      <c r="C79" s="105" t="s">
        <v>670</v>
      </c>
      <c r="D79" s="106">
        <v>14</v>
      </c>
      <c r="E79" s="105" t="s">
        <v>439</v>
      </c>
      <c r="F79" s="106"/>
      <c r="G79" s="105" t="s">
        <v>684</v>
      </c>
      <c r="H79" s="186"/>
      <c r="I79" s="187"/>
      <c r="J79" s="195"/>
      <c r="K79" s="195"/>
      <c r="L79" s="180"/>
      <c r="M79" s="106"/>
      <c r="N79" s="310" t="s">
        <v>706</v>
      </c>
      <c r="O79" s="106"/>
      <c r="P79" s="106"/>
      <c r="Q79" s="187"/>
      <c r="R79" s="187"/>
      <c r="S79" s="106"/>
      <c r="T79" s="188"/>
      <c r="U79" s="189"/>
      <c r="V79" s="190"/>
      <c r="W79" s="191"/>
      <c r="X79" s="192"/>
      <c r="Y79" s="115"/>
      <c r="Z79" s="116"/>
      <c r="AA79" s="116"/>
      <c r="AB79" s="116">
        <f t="shared" si="10"/>
        <v>1.3980000000000001</v>
      </c>
      <c r="AC79" s="115">
        <v>0.19</v>
      </c>
      <c r="AD79" s="116">
        <v>6.99</v>
      </c>
      <c r="AE79" s="116"/>
      <c r="AF79" s="116" t="s">
        <v>690</v>
      </c>
      <c r="AG79" s="116"/>
    </row>
    <row r="80" spans="2:33">
      <c r="B80" s="100" t="str">
        <f>Implements7[[#This Row],[Implement type]]&amp;", "&amp;Implements7[[#This Row],[Width]]&amp;" "&amp;Implements7[[#This Row],[Width Unit]]</f>
        <v>Vegetable transplanter, 18 Ft Folding</v>
      </c>
      <c r="C80" s="105" t="s">
        <v>670</v>
      </c>
      <c r="D80" s="106">
        <v>18</v>
      </c>
      <c r="E80" s="105" t="s">
        <v>458</v>
      </c>
      <c r="F80" s="106"/>
      <c r="G80" s="105" t="s">
        <v>238</v>
      </c>
      <c r="H80" s="186"/>
      <c r="I80" s="187"/>
      <c r="J80" s="195"/>
      <c r="K80" s="195"/>
      <c r="L80" s="180"/>
      <c r="M80" s="106"/>
      <c r="N80" s="310" t="s">
        <v>706</v>
      </c>
      <c r="O80" s="106"/>
      <c r="P80" s="106"/>
      <c r="Q80" s="187"/>
      <c r="R80" s="187"/>
      <c r="S80" s="106"/>
      <c r="T80" s="188"/>
      <c r="U80" s="189"/>
      <c r="V80" s="190"/>
      <c r="W80" s="191"/>
      <c r="X80" s="192"/>
      <c r="Y80" s="115"/>
      <c r="Z80" s="116"/>
      <c r="AA80" s="116"/>
      <c r="AB80" s="116">
        <f t="shared" si="10"/>
        <v>1.304</v>
      </c>
      <c r="AC80" s="115">
        <v>0.16</v>
      </c>
      <c r="AD80" s="116">
        <v>6.52</v>
      </c>
      <c r="AE80" s="116"/>
      <c r="AF80" s="116" t="s">
        <v>690</v>
      </c>
      <c r="AG80" s="116"/>
    </row>
    <row r="81" spans="2:33">
      <c r="B81" s="100" t="str">
        <f>Implements7[[#This Row],[Implement type]]&amp;", "&amp;Implements7[[#This Row],[Width]]&amp;" "&amp;Implements7[[#This Row],[Width Unit]]</f>
        <v>Sprayer, hooded, 18 Ft Folding</v>
      </c>
      <c r="C81" s="105" t="s">
        <v>685</v>
      </c>
      <c r="D81" s="106">
        <v>18</v>
      </c>
      <c r="E81" s="105" t="s">
        <v>458</v>
      </c>
      <c r="F81" s="106"/>
      <c r="G81" s="105" t="s">
        <v>238</v>
      </c>
      <c r="H81" s="186"/>
      <c r="I81" s="187"/>
      <c r="J81" s="195"/>
      <c r="K81" s="195"/>
      <c r="L81" s="180"/>
      <c r="M81" s="106"/>
      <c r="N81" s="310" t="s">
        <v>706</v>
      </c>
      <c r="O81" s="106"/>
      <c r="P81" s="106"/>
      <c r="Q81" s="187"/>
      <c r="R81" s="187"/>
      <c r="S81" s="106"/>
      <c r="T81" s="188"/>
      <c r="U81" s="189"/>
      <c r="V81" s="190"/>
      <c r="W81" s="191"/>
      <c r="X81" s="192"/>
      <c r="Y81" s="115"/>
      <c r="Z81" s="116"/>
      <c r="AA81" s="116"/>
      <c r="AB81" s="116">
        <f t="shared" si="10"/>
        <v>0.26600000000000001</v>
      </c>
      <c r="AC81" s="115">
        <v>0.12</v>
      </c>
      <c r="AD81" s="116">
        <v>1.33</v>
      </c>
      <c r="AE81" s="116"/>
      <c r="AF81" s="116" t="s">
        <v>691</v>
      </c>
      <c r="AG81" s="116"/>
    </row>
    <row r="82" spans="2:33">
      <c r="B82" s="100" t="str">
        <f>Implements7[[#This Row],[Implement type]]&amp;", "&amp;Implements7[[#This Row],[Width]]&amp;" "&amp;Implements7[[#This Row],[Width Unit]]</f>
        <v>Sprayer, hooded, 24 Ft Folding</v>
      </c>
      <c r="C82" s="105" t="s">
        <v>685</v>
      </c>
      <c r="D82" s="106">
        <v>24</v>
      </c>
      <c r="E82" s="105" t="s">
        <v>458</v>
      </c>
      <c r="F82" s="106"/>
      <c r="G82" s="105" t="s">
        <v>260</v>
      </c>
      <c r="H82" s="186"/>
      <c r="I82" s="187"/>
      <c r="J82" s="195"/>
      <c r="K82" s="195"/>
      <c r="L82" s="180"/>
      <c r="M82" s="106"/>
      <c r="N82" s="310" t="s">
        <v>706</v>
      </c>
      <c r="O82" s="106"/>
      <c r="P82" s="106"/>
      <c r="Q82" s="187"/>
      <c r="R82" s="187"/>
      <c r="S82" s="106"/>
      <c r="T82" s="188"/>
      <c r="U82" s="189"/>
      <c r="V82" s="190"/>
      <c r="W82" s="191"/>
      <c r="X82" s="192"/>
      <c r="Y82" s="115"/>
      <c r="Z82" s="116"/>
      <c r="AA82" s="116"/>
      <c r="AB82" s="116">
        <f t="shared" si="10"/>
        <v>0.22999999999999998</v>
      </c>
      <c r="AC82" s="115">
        <v>0.09</v>
      </c>
      <c r="AD82" s="116">
        <v>1.1499999999999999</v>
      </c>
      <c r="AE82" s="116"/>
      <c r="AF82" s="116" t="s">
        <v>691</v>
      </c>
      <c r="AG82" s="116"/>
    </row>
    <row r="83" spans="2:33">
      <c r="B83" s="100" t="str">
        <f>Implements7[[#This Row],[Implement type]]&amp;", "&amp;Implements7[[#This Row],[Width]]&amp;" "&amp;Implements7[[#This Row],[Width Unit]]</f>
        <v>Sprayer, hooded, 36 Ft Folding</v>
      </c>
      <c r="C83" s="105" t="s">
        <v>685</v>
      </c>
      <c r="D83" s="106">
        <v>36</v>
      </c>
      <c r="E83" s="105" t="s">
        <v>458</v>
      </c>
      <c r="F83" s="106"/>
      <c r="G83" s="105" t="s">
        <v>683</v>
      </c>
      <c r="H83" s="186"/>
      <c r="I83" s="187"/>
      <c r="J83" s="195"/>
      <c r="K83" s="195"/>
      <c r="L83" s="180"/>
      <c r="M83" s="106"/>
      <c r="N83" s="310" t="s">
        <v>706</v>
      </c>
      <c r="O83" s="106"/>
      <c r="P83" s="106"/>
      <c r="Q83" s="187"/>
      <c r="R83" s="187"/>
      <c r="S83" s="106"/>
      <c r="T83" s="188"/>
      <c r="U83" s="189"/>
      <c r="V83" s="190"/>
      <c r="W83" s="191"/>
      <c r="X83" s="192"/>
      <c r="Y83" s="115"/>
      <c r="Z83" s="116"/>
      <c r="AA83" s="116"/>
      <c r="AB83" s="116">
        <f t="shared" si="10"/>
        <v>0.22599999999999998</v>
      </c>
      <c r="AC83" s="115">
        <v>0.06</v>
      </c>
      <c r="AD83" s="116">
        <v>1.1299999999999999</v>
      </c>
      <c r="AE83" s="116"/>
      <c r="AF83" s="116" t="s">
        <v>691</v>
      </c>
      <c r="AG83" s="116"/>
    </row>
    <row r="84" spans="2:33">
      <c r="B84" s="100" t="str">
        <f>Implements7[[#This Row],[Implement type]]&amp;", "&amp;Implements7[[#This Row],[Width]]&amp;" "&amp;Implements7[[#This Row],[Width Unit]]</f>
        <v>Sprayer, lay-by, 18 Ft Folding</v>
      </c>
      <c r="C84" s="105" t="s">
        <v>686</v>
      </c>
      <c r="D84" s="106">
        <v>18</v>
      </c>
      <c r="E84" s="105" t="s">
        <v>458</v>
      </c>
      <c r="F84" s="106"/>
      <c r="G84" s="105" t="s">
        <v>238</v>
      </c>
      <c r="H84" s="186"/>
      <c r="I84" s="187"/>
      <c r="J84" s="195"/>
      <c r="K84" s="195"/>
      <c r="L84" s="180"/>
      <c r="M84" s="106"/>
      <c r="N84" s="310" t="s">
        <v>706</v>
      </c>
      <c r="O84" s="106"/>
      <c r="P84" s="106"/>
      <c r="Q84" s="187"/>
      <c r="R84" s="187"/>
      <c r="S84" s="106"/>
      <c r="T84" s="188"/>
      <c r="U84" s="189"/>
      <c r="V84" s="190"/>
      <c r="W84" s="191"/>
      <c r="X84" s="192"/>
      <c r="Y84" s="115"/>
      <c r="Z84" s="116"/>
      <c r="AA84" s="116"/>
      <c r="AB84" s="116">
        <f t="shared" si="10"/>
        <v>0.24199999999999999</v>
      </c>
      <c r="AC84" s="115">
        <v>0.12</v>
      </c>
      <c r="AD84" s="116">
        <v>1.21</v>
      </c>
      <c r="AE84" s="116"/>
      <c r="AF84" s="116" t="s">
        <v>691</v>
      </c>
      <c r="AG84" s="116"/>
    </row>
    <row r="85" spans="2:33">
      <c r="B85" s="100" t="str">
        <f>Implements7[[#This Row],[Implement type]]&amp;", "&amp;Implements7[[#This Row],[Width]]&amp;" "&amp;Implements7[[#This Row],[Width Unit]]</f>
        <v>Sprayer, lay-by, 24 Ft Folding</v>
      </c>
      <c r="C85" s="105" t="s">
        <v>686</v>
      </c>
      <c r="D85" s="106">
        <v>24</v>
      </c>
      <c r="E85" s="105" t="s">
        <v>458</v>
      </c>
      <c r="F85" s="106"/>
      <c r="G85" s="105" t="s">
        <v>260</v>
      </c>
      <c r="H85" s="186"/>
      <c r="I85" s="187"/>
      <c r="J85" s="195"/>
      <c r="K85" s="195"/>
      <c r="L85" s="180"/>
      <c r="M85" s="106"/>
      <c r="N85" s="310" t="s">
        <v>706</v>
      </c>
      <c r="O85" s="106"/>
      <c r="P85" s="106"/>
      <c r="Q85" s="187"/>
      <c r="R85" s="187"/>
      <c r="S85" s="106"/>
      <c r="T85" s="188"/>
      <c r="U85" s="189"/>
      <c r="V85" s="190"/>
      <c r="W85" s="191"/>
      <c r="X85" s="192"/>
      <c r="Y85" s="115"/>
      <c r="Z85" s="116"/>
      <c r="AA85" s="116"/>
      <c r="AB85" s="116">
        <f t="shared" si="10"/>
        <v>0.20800000000000002</v>
      </c>
      <c r="AC85" s="115">
        <v>0.09</v>
      </c>
      <c r="AD85" s="116">
        <v>1.04</v>
      </c>
      <c r="AE85" s="116"/>
      <c r="AF85" s="116" t="s">
        <v>691</v>
      </c>
      <c r="AG85" s="116"/>
    </row>
    <row r="86" spans="2:33">
      <c r="B86" s="100" t="str">
        <f>Implements7[[#This Row],[Implement type]]&amp;", "&amp;Implements7[[#This Row],[Width]]&amp;" "&amp;Implements7[[#This Row],[Width Unit]]</f>
        <v>Sprayer, lay-by, 36 Ft Folding</v>
      </c>
      <c r="C86" s="105" t="s">
        <v>686</v>
      </c>
      <c r="D86" s="106">
        <v>36</v>
      </c>
      <c r="E86" s="105" t="s">
        <v>458</v>
      </c>
      <c r="F86" s="106"/>
      <c r="G86" s="105" t="s">
        <v>683</v>
      </c>
      <c r="H86" s="186"/>
      <c r="I86" s="187"/>
      <c r="J86" s="195"/>
      <c r="K86" s="195"/>
      <c r="L86" s="180"/>
      <c r="M86" s="106"/>
      <c r="N86" s="310" t="s">
        <v>706</v>
      </c>
      <c r="O86" s="106"/>
      <c r="P86" s="106"/>
      <c r="Q86" s="187"/>
      <c r="R86" s="187"/>
      <c r="S86" s="106"/>
      <c r="T86" s="188"/>
      <c r="U86" s="189"/>
      <c r="V86" s="190"/>
      <c r="W86" s="191"/>
      <c r="X86" s="192"/>
      <c r="Y86" s="115"/>
      <c r="Z86" s="116"/>
      <c r="AA86" s="116"/>
      <c r="AB86" s="116">
        <f t="shared" si="10"/>
        <v>0.22799999999999998</v>
      </c>
      <c r="AC86" s="115">
        <v>0.06</v>
      </c>
      <c r="AD86" s="116">
        <v>1.1399999999999999</v>
      </c>
      <c r="AE86" s="116"/>
      <c r="AF86" s="116" t="s">
        <v>691</v>
      </c>
      <c r="AG86" s="116"/>
    </row>
    <row r="87" spans="2:33">
      <c r="B87" s="100" t="str">
        <f>Implements7[[#This Row],[Implement type]]&amp;", "&amp;Implements7[[#This Row],[Width]]&amp;" "&amp;Implements7[[#This Row],[Width Unit]]</f>
        <v>Coulter-side dress applicator, 15 Ft</v>
      </c>
      <c r="C87" s="105" t="s">
        <v>679</v>
      </c>
      <c r="D87" s="106">
        <v>15</v>
      </c>
      <c r="E87" s="105" t="s">
        <v>439</v>
      </c>
      <c r="F87" s="106"/>
      <c r="G87" s="105" t="s">
        <v>238</v>
      </c>
      <c r="H87" s="186"/>
      <c r="I87" s="187"/>
      <c r="J87" s="195"/>
      <c r="K87" s="195"/>
      <c r="L87" s="180"/>
      <c r="M87" s="106"/>
      <c r="N87" s="310" t="s">
        <v>706</v>
      </c>
      <c r="O87" s="106"/>
      <c r="P87" s="106"/>
      <c r="Q87" s="187"/>
      <c r="R87" s="187"/>
      <c r="S87" s="106"/>
      <c r="T87" s="188"/>
      <c r="U87" s="189"/>
      <c r="V87" s="190"/>
      <c r="W87" s="191"/>
      <c r="X87" s="192"/>
      <c r="Y87" s="115"/>
      <c r="Z87" s="116"/>
      <c r="AA87" s="116"/>
      <c r="AB87" s="116">
        <f t="shared" si="10"/>
        <v>0.29799999999999999</v>
      </c>
      <c r="AC87" s="115">
        <v>0.14000000000000001</v>
      </c>
      <c r="AD87" s="116">
        <v>1.49</v>
      </c>
      <c r="AE87" s="116"/>
      <c r="AF87" s="116" t="s">
        <v>694</v>
      </c>
      <c r="AG87" s="116"/>
    </row>
    <row r="88" spans="2:33">
      <c r="B88" s="100" t="str">
        <f>Implements7[[#This Row],[Implement type]]&amp;", "&amp;Implements7[[#This Row],[Width]]&amp;" "&amp;Implements7[[#This Row],[Width Unit]]</f>
        <v>Coulter-side dress applicator, 20 Ft Folding</v>
      </c>
      <c r="C88" s="105" t="s">
        <v>679</v>
      </c>
      <c r="D88" s="106">
        <v>20</v>
      </c>
      <c r="E88" s="105" t="s">
        <v>458</v>
      </c>
      <c r="F88" s="106"/>
      <c r="G88" s="105" t="s">
        <v>260</v>
      </c>
      <c r="H88" s="186"/>
      <c r="I88" s="187"/>
      <c r="J88" s="195"/>
      <c r="K88" s="195"/>
      <c r="L88" s="180"/>
      <c r="M88" s="106"/>
      <c r="N88" s="310" t="s">
        <v>706</v>
      </c>
      <c r="O88" s="106"/>
      <c r="P88" s="106"/>
      <c r="Q88" s="187"/>
      <c r="R88" s="187"/>
      <c r="S88" s="106"/>
      <c r="T88" s="188"/>
      <c r="U88" s="189"/>
      <c r="V88" s="190"/>
      <c r="W88" s="191"/>
      <c r="X88" s="192"/>
      <c r="Y88" s="115"/>
      <c r="Z88" s="116"/>
      <c r="AA88" s="116"/>
      <c r="AB88" s="116">
        <f t="shared" si="10"/>
        <v>0.28599999999999998</v>
      </c>
      <c r="AC88" s="115">
        <v>0.1</v>
      </c>
      <c r="AD88" s="116">
        <v>1.43</v>
      </c>
      <c r="AE88" s="116"/>
      <c r="AF88" s="116" t="s">
        <v>694</v>
      </c>
      <c r="AG88" s="116"/>
    </row>
    <row r="89" spans="2:33">
      <c r="B89" s="100" t="str">
        <f>Implements7[[#This Row],[Implement type]]&amp;", "&amp;Implements7[[#This Row],[Width]]&amp;" "&amp;Implements7[[#This Row],[Width Unit]]</f>
        <v>Coulter-side dress applicator, 30 Ft Folding</v>
      </c>
      <c r="C89" s="105" t="s">
        <v>679</v>
      </c>
      <c r="D89" s="106">
        <v>30</v>
      </c>
      <c r="E89" s="105" t="s">
        <v>458</v>
      </c>
      <c r="F89" s="106"/>
      <c r="G89" s="105" t="s">
        <v>683</v>
      </c>
      <c r="H89" s="186"/>
      <c r="I89" s="187"/>
      <c r="J89" s="195"/>
      <c r="K89" s="195"/>
      <c r="L89" s="180"/>
      <c r="M89" s="106"/>
      <c r="N89" s="310" t="s">
        <v>706</v>
      </c>
      <c r="O89" s="106"/>
      <c r="P89" s="106"/>
      <c r="Q89" s="187"/>
      <c r="R89" s="187"/>
      <c r="S89" s="106"/>
      <c r="T89" s="188"/>
      <c r="U89" s="189"/>
      <c r="V89" s="190"/>
      <c r="W89" s="191"/>
      <c r="X89" s="192"/>
      <c r="Y89" s="115"/>
      <c r="Z89" s="116"/>
      <c r="AA89" s="116"/>
      <c r="AB89" s="116">
        <f t="shared" si="10"/>
        <v>0.29799999999999999</v>
      </c>
      <c r="AC89" s="115">
        <v>7.0000000000000007E-2</v>
      </c>
      <c r="AD89" s="116">
        <v>1.49</v>
      </c>
      <c r="AE89" s="116"/>
      <c r="AF89" s="116" t="s">
        <v>694</v>
      </c>
      <c r="AG89" s="116"/>
    </row>
    <row r="90" spans="2:33">
      <c r="B90" s="100" t="str">
        <f>Implements7[[#This Row],[Implement type]]&amp;", "&amp;Implements7[[#This Row],[Width]]&amp;" "&amp;Implements7[[#This Row],[Width Unit]]</f>
        <v>Strip-till, 20 Ft</v>
      </c>
      <c r="C90" s="105" t="s">
        <v>668</v>
      </c>
      <c r="D90" s="106">
        <v>20</v>
      </c>
      <c r="E90" s="105" t="s">
        <v>439</v>
      </c>
      <c r="F90" s="106"/>
      <c r="G90" s="105"/>
      <c r="H90" s="186"/>
      <c r="I90" s="187"/>
      <c r="J90" s="195"/>
      <c r="K90" s="195"/>
      <c r="L90" s="180"/>
      <c r="M90" s="106"/>
      <c r="N90" s="310" t="s">
        <v>706</v>
      </c>
      <c r="O90" s="106"/>
      <c r="P90" s="106"/>
      <c r="Q90" s="187"/>
      <c r="R90" s="187"/>
      <c r="S90" s="106"/>
      <c r="T90" s="188"/>
      <c r="U90" s="189"/>
      <c r="V90" s="190"/>
      <c r="W90" s="191"/>
      <c r="X90" s="192"/>
      <c r="Y90" s="115"/>
      <c r="Z90" s="116"/>
      <c r="AA90" s="116"/>
      <c r="AB90" s="116">
        <f t="shared" si="10"/>
        <v>0.29599999999999999</v>
      </c>
      <c r="AC90" s="115">
        <v>0.14000000000000001</v>
      </c>
      <c r="AD90" s="116">
        <v>1.48</v>
      </c>
      <c r="AE90" s="116"/>
      <c r="AF90" s="116" t="s">
        <v>446</v>
      </c>
      <c r="AG90" s="116"/>
    </row>
    <row r="91" spans="2:33">
      <c r="B91" s="100" t="str">
        <f>Implements7[[#This Row],[Implement type]]&amp;", "&amp;Implements7[[#This Row],[Width]]&amp;" "&amp;Implements7[[#This Row],[Width Unit]]</f>
        <v>Strip-till, 30 Ft Folding</v>
      </c>
      <c r="C91" s="105" t="s">
        <v>668</v>
      </c>
      <c r="D91" s="106">
        <v>30</v>
      </c>
      <c r="E91" s="105" t="s">
        <v>458</v>
      </c>
      <c r="F91" s="106"/>
      <c r="G91" s="105"/>
      <c r="H91" s="186"/>
      <c r="I91" s="187"/>
      <c r="J91" s="195"/>
      <c r="K91" s="195"/>
      <c r="L91" s="180"/>
      <c r="M91" s="106"/>
      <c r="N91" s="310" t="s">
        <v>706</v>
      </c>
      <c r="O91" s="106"/>
      <c r="P91" s="106"/>
      <c r="Q91" s="187"/>
      <c r="R91" s="187"/>
      <c r="S91" s="106"/>
      <c r="T91" s="188"/>
      <c r="U91" s="189"/>
      <c r="V91" s="190"/>
      <c r="W91" s="191"/>
      <c r="X91" s="192"/>
      <c r="Y91" s="115"/>
      <c r="Z91" s="116"/>
      <c r="AA91" s="116"/>
      <c r="AB91" s="116">
        <f t="shared" si="10"/>
        <v>0.45</v>
      </c>
      <c r="AC91" s="115">
        <v>0.11</v>
      </c>
      <c r="AD91" s="116">
        <v>2.25</v>
      </c>
      <c r="AE91" s="116"/>
      <c r="AF91" s="116" t="s">
        <v>446</v>
      </c>
      <c r="AG91" s="116"/>
    </row>
    <row r="92" spans="2:33">
      <c r="B92" s="100" t="str">
        <f>Implements7[[#This Row],[Implement type]]&amp;", "&amp;Implements7[[#This Row],[Width]]&amp;" "&amp;Implements7[[#This Row],[Width Unit]]</f>
        <v>Strip-till, 40 Ft Folding</v>
      </c>
      <c r="C92" s="105" t="s">
        <v>668</v>
      </c>
      <c r="D92" s="106">
        <v>40</v>
      </c>
      <c r="E92" s="105" t="s">
        <v>458</v>
      </c>
      <c r="F92" s="106"/>
      <c r="G92" s="105"/>
      <c r="H92" s="186"/>
      <c r="I92" s="187"/>
      <c r="J92" s="195"/>
      <c r="K92" s="195"/>
      <c r="L92" s="180"/>
      <c r="M92" s="106"/>
      <c r="N92" s="310" t="s">
        <v>706</v>
      </c>
      <c r="O92" s="106"/>
      <c r="P92" s="106"/>
      <c r="Q92" s="187"/>
      <c r="R92" s="187"/>
      <c r="S92" s="106"/>
      <c r="T92" s="188"/>
      <c r="U92" s="189"/>
      <c r="V92" s="190"/>
      <c r="W92" s="191"/>
      <c r="X92" s="192"/>
      <c r="Y92" s="115"/>
      <c r="Z92" s="116"/>
      <c r="AA92" s="116"/>
      <c r="AB92" s="116">
        <f t="shared" si="10"/>
        <v>0.39400000000000002</v>
      </c>
      <c r="AC92" s="115">
        <v>7.0000000000000007E-2</v>
      </c>
      <c r="AD92" s="116">
        <v>1.97</v>
      </c>
      <c r="AE92" s="116"/>
      <c r="AF92" s="116" t="s">
        <v>446</v>
      </c>
      <c r="AG92" s="116"/>
    </row>
    <row r="93" spans="2:33">
      <c r="B93" s="100" t="str">
        <f>Implements7[[#This Row],[Implement type]]&amp;", "&amp;Implements7[[#This Row],[Width]]&amp;" "&amp;Implements7[[#This Row],[Width Unit]]</f>
        <v>Disk bedder, 18 Ft</v>
      </c>
      <c r="C93" s="105" t="s">
        <v>669</v>
      </c>
      <c r="D93" s="106">
        <v>18</v>
      </c>
      <c r="E93" s="105" t="s">
        <v>439</v>
      </c>
      <c r="F93" s="106"/>
      <c r="G93" s="105" t="s">
        <v>238</v>
      </c>
      <c r="H93" s="186"/>
      <c r="I93" s="187"/>
      <c r="J93" s="195"/>
      <c r="K93" s="195"/>
      <c r="L93" s="180"/>
      <c r="M93" s="106"/>
      <c r="N93" s="310" t="s">
        <v>706</v>
      </c>
      <c r="O93" s="106"/>
      <c r="P93" s="106"/>
      <c r="Q93" s="187"/>
      <c r="R93" s="187"/>
      <c r="S93" s="106"/>
      <c r="T93" s="188"/>
      <c r="U93" s="189"/>
      <c r="V93" s="190"/>
      <c r="W93" s="191"/>
      <c r="X93" s="192"/>
      <c r="Y93" s="115"/>
      <c r="Z93" s="116"/>
      <c r="AA93" s="116"/>
      <c r="AB93" s="116">
        <f t="shared" si="10"/>
        <v>0.30000000000000004</v>
      </c>
      <c r="AC93" s="115">
        <v>0.13</v>
      </c>
      <c r="AD93" s="116">
        <v>1.5</v>
      </c>
      <c r="AE93" s="116"/>
      <c r="AF93" s="116" t="s">
        <v>689</v>
      </c>
      <c r="AG93" s="116"/>
    </row>
    <row r="94" spans="2:33">
      <c r="B94" s="100" t="str">
        <f>Implements7[[#This Row],[Implement type]]&amp;", "&amp;Implements7[[#This Row],[Width]]&amp;" "&amp;Implements7[[#This Row],[Width Unit]]</f>
        <v>Disk bedder, 24 Ft Folding</v>
      </c>
      <c r="C94" s="105" t="s">
        <v>669</v>
      </c>
      <c r="D94" s="106">
        <v>24</v>
      </c>
      <c r="E94" s="105" t="s">
        <v>458</v>
      </c>
      <c r="F94" s="106"/>
      <c r="G94" s="105" t="s">
        <v>260</v>
      </c>
      <c r="H94" s="186"/>
      <c r="I94" s="187"/>
      <c r="J94" s="195"/>
      <c r="K94" s="195"/>
      <c r="L94" s="180"/>
      <c r="M94" s="106"/>
      <c r="N94" s="310" t="s">
        <v>706</v>
      </c>
      <c r="O94" s="106"/>
      <c r="P94" s="106"/>
      <c r="Q94" s="187"/>
      <c r="R94" s="187"/>
      <c r="S94" s="106"/>
      <c r="T94" s="188"/>
      <c r="U94" s="189"/>
      <c r="V94" s="190"/>
      <c r="W94" s="191"/>
      <c r="X94" s="192"/>
      <c r="Y94" s="115"/>
      <c r="Z94" s="116"/>
      <c r="AA94" s="116"/>
      <c r="AB94" s="116">
        <f t="shared" si="10"/>
        <v>0.38400000000000001</v>
      </c>
      <c r="AC94" s="115">
        <v>0.1</v>
      </c>
      <c r="AD94" s="116">
        <v>1.92</v>
      </c>
      <c r="AE94" s="116"/>
      <c r="AF94" s="116" t="s">
        <v>689</v>
      </c>
      <c r="AG94" s="116"/>
    </row>
    <row r="95" spans="2:33">
      <c r="B95" s="100" t="str">
        <f>Implements7[[#This Row],[Implement type]]&amp;", "&amp;Implements7[[#This Row],[Width]]&amp;" "&amp;Implements7[[#This Row],[Width Unit]]</f>
        <v>Disk bedder, 36 Ft Folding</v>
      </c>
      <c r="C95" s="105" t="s">
        <v>669</v>
      </c>
      <c r="D95" s="106">
        <v>36</v>
      </c>
      <c r="E95" s="105" t="s">
        <v>458</v>
      </c>
      <c r="F95" s="106"/>
      <c r="G95" s="105" t="s">
        <v>683</v>
      </c>
      <c r="H95" s="186"/>
      <c r="I95" s="187"/>
      <c r="J95" s="195"/>
      <c r="K95" s="195"/>
      <c r="L95" s="180"/>
      <c r="M95" s="106"/>
      <c r="N95" s="310" t="s">
        <v>706</v>
      </c>
      <c r="O95" s="106"/>
      <c r="P95" s="106"/>
      <c r="Q95" s="187"/>
      <c r="R95" s="187"/>
      <c r="S95" s="106"/>
      <c r="T95" s="188"/>
      <c r="U95" s="189"/>
      <c r="V95" s="190"/>
      <c r="W95" s="191"/>
      <c r="X95" s="192"/>
      <c r="Y95" s="115"/>
      <c r="Z95" s="116"/>
      <c r="AA95" s="116"/>
      <c r="AB95" s="116">
        <f t="shared" si="10"/>
        <v>0.31800000000000006</v>
      </c>
      <c r="AC95" s="115">
        <v>0.06</v>
      </c>
      <c r="AD95" s="116">
        <v>1.59</v>
      </c>
      <c r="AE95" s="116"/>
      <c r="AF95" s="116" t="s">
        <v>689</v>
      </c>
      <c r="AG95" s="116"/>
    </row>
    <row r="96" spans="2:33">
      <c r="B96" s="100" t="str">
        <f>Implements7[[#This Row],[Implement type]]&amp;", "&amp;Implements7[[#This Row],[Width]]&amp;" "&amp;Implements7[[#This Row],[Width Unit]]</f>
        <v>Bed leveler, 18 Ft Folding</v>
      </c>
      <c r="C96" s="105" t="s">
        <v>667</v>
      </c>
      <c r="D96" s="106">
        <v>18</v>
      </c>
      <c r="E96" s="105" t="s">
        <v>458</v>
      </c>
      <c r="F96" s="106"/>
      <c r="G96" s="105"/>
      <c r="H96" s="186"/>
      <c r="I96" s="187"/>
      <c r="J96" s="195"/>
      <c r="K96" s="195"/>
      <c r="L96" s="180"/>
      <c r="M96" s="106"/>
      <c r="N96" s="310" t="s">
        <v>706</v>
      </c>
      <c r="O96" s="106"/>
      <c r="P96" s="106"/>
      <c r="Q96" s="187"/>
      <c r="R96" s="187"/>
      <c r="S96" s="106"/>
      <c r="T96" s="188"/>
      <c r="U96" s="189"/>
      <c r="V96" s="190"/>
      <c r="W96" s="191"/>
      <c r="X96" s="192"/>
      <c r="Y96" s="115"/>
      <c r="Z96" s="116"/>
      <c r="AA96" s="116"/>
      <c r="AB96" s="116">
        <f t="shared" si="10"/>
        <v>0.40599999999999997</v>
      </c>
      <c r="AC96" s="115">
        <v>0.13</v>
      </c>
      <c r="AD96" s="116">
        <v>2.0299999999999998</v>
      </c>
      <c r="AE96" s="116"/>
      <c r="AF96" s="116" t="s">
        <v>689</v>
      </c>
      <c r="AG96" s="116"/>
    </row>
    <row r="97" spans="2:52">
      <c r="B97" s="100" t="str">
        <f>Implements7[[#This Row],[Implement type]]&amp;", "&amp;Implements7[[#This Row],[Width]]&amp;" "&amp;Implements7[[#This Row],[Width Unit]]</f>
        <v>Bed leveler, 24 Ft Folding</v>
      </c>
      <c r="C97" s="105" t="s">
        <v>667</v>
      </c>
      <c r="D97" s="106">
        <v>24</v>
      </c>
      <c r="E97" s="105" t="s">
        <v>458</v>
      </c>
      <c r="F97" s="106"/>
      <c r="G97" s="105"/>
      <c r="H97" s="186"/>
      <c r="I97" s="187"/>
      <c r="J97" s="195"/>
      <c r="K97" s="195"/>
      <c r="L97" s="180"/>
      <c r="M97" s="106"/>
      <c r="N97" s="310" t="s">
        <v>706</v>
      </c>
      <c r="O97" s="106"/>
      <c r="P97" s="106"/>
      <c r="Q97" s="187"/>
      <c r="R97" s="187"/>
      <c r="S97" s="106"/>
      <c r="T97" s="188"/>
      <c r="U97" s="189"/>
      <c r="V97" s="190"/>
      <c r="W97" s="191"/>
      <c r="X97" s="192"/>
      <c r="Y97" s="115"/>
      <c r="Z97" s="116"/>
      <c r="AA97" s="116"/>
      <c r="AB97" s="116">
        <f t="shared" si="10"/>
        <v>0.37000000000000005</v>
      </c>
      <c r="AC97" s="115">
        <v>0.1</v>
      </c>
      <c r="AD97" s="116">
        <v>1.85</v>
      </c>
      <c r="AE97" s="116"/>
      <c r="AF97" s="116" t="s">
        <v>689</v>
      </c>
      <c r="AG97" s="116"/>
    </row>
    <row r="98" spans="2:52">
      <c r="B98" s="100" t="str">
        <f>Implements7[[#This Row],[Implement type]]&amp;", "&amp;Implements7[[#This Row],[Width]]&amp;" "&amp;Implements7[[#This Row],[Width Unit]]</f>
        <v>Bed leveler, 36 Ft Folding</v>
      </c>
      <c r="C98" s="105" t="s">
        <v>667</v>
      </c>
      <c r="D98" s="106">
        <v>36</v>
      </c>
      <c r="E98" s="105" t="s">
        <v>458</v>
      </c>
      <c r="F98" s="106"/>
      <c r="G98" s="105"/>
      <c r="H98" s="186"/>
      <c r="I98" s="187"/>
      <c r="J98" s="195"/>
      <c r="K98" s="195"/>
      <c r="L98" s="180"/>
      <c r="M98" s="106"/>
      <c r="N98" s="310" t="s">
        <v>706</v>
      </c>
      <c r="O98" s="106"/>
      <c r="P98" s="106"/>
      <c r="Q98" s="187"/>
      <c r="R98" s="187"/>
      <c r="S98" s="106"/>
      <c r="T98" s="188"/>
      <c r="U98" s="189"/>
      <c r="V98" s="190"/>
      <c r="W98" s="191"/>
      <c r="X98" s="192"/>
      <c r="Y98" s="115"/>
      <c r="Z98" s="116"/>
      <c r="AA98" s="116"/>
      <c r="AB98" s="116">
        <f t="shared" si="10"/>
        <v>0.31600000000000006</v>
      </c>
      <c r="AC98" s="115">
        <v>0.06</v>
      </c>
      <c r="AD98" s="116">
        <v>1.58</v>
      </c>
      <c r="AE98" s="116"/>
      <c r="AF98" s="116" t="s">
        <v>689</v>
      </c>
      <c r="AG98" s="116"/>
    </row>
    <row r="99" spans="2:52">
      <c r="B99" s="100" t="str">
        <f>Implements7[[#This Row],[Implement type]]&amp;", "&amp;Implements7[[#This Row],[Width]]&amp;" "&amp;Implements7[[#This Row],[Width Unit]]&amp; ", per "&amp;Implements7[[#This Row],[Use basis]]</f>
        <v>Chisel plow, 55 Ft Folding, per acre</v>
      </c>
      <c r="C99" s="107" t="s">
        <v>451</v>
      </c>
      <c r="D99" s="106">
        <v>55</v>
      </c>
      <c r="E99" s="107" t="str">
        <f t="shared" si="9"/>
        <v>Ft Folding</v>
      </c>
      <c r="F99" s="106"/>
      <c r="G99" s="106"/>
      <c r="H99" s="108">
        <v>141000</v>
      </c>
      <c r="I99" s="109">
        <v>0.1</v>
      </c>
      <c r="J99" s="195">
        <f t="shared" si="1"/>
        <v>156666.66666666666</v>
      </c>
      <c r="K99" s="306">
        <f>VLOOKUP(Implements7[[#This Row],[ASABEtype]],ASABECoefficients8[],4,FALSE)/Implements7[[#This Row],[Use (hr/yr)]]</f>
        <v>33.333333333333336</v>
      </c>
      <c r="L99" s="106">
        <v>60</v>
      </c>
      <c r="M99" s="111">
        <f t="shared" ref="M99:M121" si="11">IF(AND(P99&lt;&gt;0,Q99&lt;&gt;0),L99*(D99*P99*Q99)/8.25,L99*D99)</f>
        <v>1700</v>
      </c>
      <c r="N99" s="111" t="s">
        <v>706</v>
      </c>
      <c r="O99" s="106" t="s">
        <v>451</v>
      </c>
      <c r="P99" s="106">
        <v>5</v>
      </c>
      <c r="Q99" s="109">
        <v>0.85</v>
      </c>
      <c r="R99" s="109">
        <v>1.02</v>
      </c>
      <c r="S99" s="106">
        <v>370</v>
      </c>
      <c r="T99"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0.13570861969981018</v>
      </c>
      <c r="U99" s="113">
        <f>Implements7[[#This Row],[TradeIn%]]*Implements7[[#This Row],[PriceL]]</f>
        <v>21261.017086303593</v>
      </c>
      <c r="V99" s="114">
        <f>(Implements7[[#This Row],[PriceP]]-Implements7[[#This Row],[TradeIn$]])/Implements7[[#This Row],[Life (yr)]]/Implements7[[#This Row],[Use (hr/yr)]]</f>
        <v>59.869491456848202</v>
      </c>
      <c r="W99" s="114">
        <f>((Implements7[[#This Row],[PriceP]]+Implements7[[#This Row],[TradeIn$]])/2*($BP$7+$BP$8+$BP$9)+Implements7[[#This Row],[Shed (ft^2)]]*$BP$12)/Implements7[[#This Row],[Use (hr/yr)]]</f>
        <v>125.6443503740002</v>
      </c>
      <c r="X99" s="114">
        <f>Implements7[[#This Row],[PriceL]]*(VLOOKUP(Implements7[[#This Row],[ASABEtype]],$BC$6:$BM$52,2)*(Implements7[[#This Row],[Life (yr)]]*Implements7[[#This Row],[Use (hr/yr)]]/1000)^VLOOKUP(Implements7[[#This Row],[ASABEtype]],$BC$6:$BM$52,3))/Implements7[[#This Row],[Life (yr)]]/Implements7[[#This Row],[Use (hr/yr)]]</f>
        <v>57.882413685904311</v>
      </c>
      <c r="Y99" s="114">
        <f>Implements7[[#This Row],[Depr ($/hr)]]+Implements7[[#This Row],[OH ($/hr)]]</f>
        <v>185.51384183084841</v>
      </c>
      <c r="Z99" s="114">
        <f>(Implements7[[#This Row],[PriceP]]-Implements7[[#This Row],[TradeIn$]])/Implements7[[#This Row],[Life (yr)]]/Implements7[[#This Row],[Use (ac/yr)]]</f>
        <v>2.1130408749475835</v>
      </c>
      <c r="AA99" s="114">
        <f>((Implements7[[#This Row],[PriceP]]+Implements7[[#This Row],[TradeIn$]])/2*($BP$7+$BP$8+$BP$9)+Implements7[[#This Row],[Shed (ft^2)]]*$BP$12)/Implements7[[#This Row],[Use (ac/yr)]]</f>
        <v>4.4345064837882422</v>
      </c>
      <c r="AB99"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2.0429087183260344</v>
      </c>
      <c r="AC99" s="115">
        <f>$BP$18/(Implements7[[#This Row],[Width]]*Implements7[[#This Row],[Speed]]*Implements7[[#This Row],[Efficiency]])</f>
        <v>3.5294117647058823E-2</v>
      </c>
      <c r="AD99" s="116">
        <f>IF(Implements7[[#This Row],[Use basis]]=$N$128,Implements7[[#This Row],[Ownership costs ($/hr)]],SUM(Implements7[[#This Row],[Depr ($/ac)2]:[OH ($/ac)]]))</f>
        <v>6.5475473587358257</v>
      </c>
      <c r="AE99" s="118">
        <v>3</v>
      </c>
      <c r="AF99" s="100" t="s">
        <v>501</v>
      </c>
      <c r="AG99" s="116"/>
    </row>
    <row r="100" spans="2:52">
      <c r="B100" s="100" t="str">
        <f>Implements7[[#This Row],[Implement type]]&amp;", "&amp;Implements7[[#This Row],[Width]]&amp;" "&amp;Implements7[[#This Row],[Width Unit]]&amp; ", per "&amp;Implements7[[#This Row],[Use basis]]</f>
        <v>Chisel plow, front dsk , 16 Ft Folding, per acre</v>
      </c>
      <c r="C100" s="105" t="s">
        <v>502</v>
      </c>
      <c r="D100" s="106">
        <v>16</v>
      </c>
      <c r="E100" s="107" t="str">
        <f t="shared" si="9"/>
        <v>Ft Folding</v>
      </c>
      <c r="F100" s="106"/>
      <c r="G100" s="106"/>
      <c r="H100" s="108">
        <v>37500</v>
      </c>
      <c r="I100" s="109">
        <v>0.1</v>
      </c>
      <c r="J100" s="195">
        <f t="shared" si="1"/>
        <v>41666.666666666664</v>
      </c>
      <c r="K100" s="306">
        <f>VLOOKUP(Implements7[[#This Row],[ASABEtype]],ASABECoefficients8[],4,FALSE)/Implements7[[#This Row],[Use (hr/yr)]]</f>
        <v>25</v>
      </c>
      <c r="L100" s="106">
        <v>80</v>
      </c>
      <c r="M100" s="111">
        <f t="shared" si="11"/>
        <v>659.39393939393938</v>
      </c>
      <c r="N100" s="111" t="s">
        <v>706</v>
      </c>
      <c r="O100" s="106" t="s">
        <v>450</v>
      </c>
      <c r="P100" s="106">
        <v>5</v>
      </c>
      <c r="Q100" s="109">
        <v>0.85</v>
      </c>
      <c r="R100" s="109">
        <v>1.02</v>
      </c>
      <c r="S100" s="106">
        <v>225</v>
      </c>
      <c r="T100"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0.13294208768150634</v>
      </c>
      <c r="U100" s="113">
        <f>Implements7[[#This Row],[TradeIn%]]*Implements7[[#This Row],[PriceL]]</f>
        <v>5539.2536533960974</v>
      </c>
      <c r="V100" s="114">
        <f>(Implements7[[#This Row],[PriceP]]-Implements7[[#This Row],[TradeIn$]])/Implements7[[#This Row],[Life (yr)]]/Implements7[[#This Row],[Use (hr/yr)]]</f>
        <v>15.980373173301953</v>
      </c>
      <c r="W100" s="114">
        <f>((Implements7[[#This Row],[PriceP]]+Implements7[[#This Row],[TradeIn$]])/2*($BP$7+$BP$8+$BP$9)+Implements7[[#This Row],[Shed (ft^2)]]*$BP$12)/Implements7[[#This Row],[Use (hr/yr)]]</f>
        <v>26.532015510936485</v>
      </c>
      <c r="X100" s="114">
        <f>Implements7[[#This Row],[PriceL]]*(VLOOKUP(Implements7[[#This Row],[ASABEtype]],$BC$6:$BM$52,2)*(Implements7[[#This Row],[Life (yr)]]*Implements7[[#This Row],[Use (hr/yr)]]/1000)^VLOOKUP(Implements7[[#This Row],[ASABEtype]],$BC$6:$BM$52,3))/Implements7[[#This Row],[Life (yr)]]/Implements7[[#This Row],[Use (hr/yr)]]</f>
        <v>12.18378594534353</v>
      </c>
      <c r="Y100" s="114">
        <f>Implements7[[#This Row],[Depr ($/hr)]]+Implements7[[#This Row],[OH ($/hr)]]</f>
        <v>42.512388684238438</v>
      </c>
      <c r="Z100" s="114">
        <f>(Implements7[[#This Row],[PriceP]]-Implements7[[#This Row],[TradeIn$]])/Implements7[[#This Row],[Life (yr)]]/Implements7[[#This Row],[Use (ac/yr)]]</f>
        <v>1.9387952747020754</v>
      </c>
      <c r="AA100" s="114">
        <f>((Implements7[[#This Row],[PriceP]]+Implements7[[#This Row],[TradeIn$]])/2*($BP$7+$BP$8+$BP$9)+Implements7[[#This Row],[Shed (ft^2)]]*$BP$12)/Implements7[[#This Row],[Use (ac/yr)]]</f>
        <v>3.2189577641945002</v>
      </c>
      <c r="AB100"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1.4781799124865314</v>
      </c>
      <c r="AC100" s="115">
        <f>$BP$18/(Implements7[[#This Row],[Width]]*Implements7[[#This Row],[Speed]]*Implements7[[#This Row],[Efficiency]])</f>
        <v>0.12132352941176471</v>
      </c>
      <c r="AD100" s="116">
        <f>IF(Implements7[[#This Row],[Use basis]]=$N$128,Implements7[[#This Row],[Ownership costs ($/hr)]],SUM(Implements7[[#This Row],[Depr ($/ac)2]:[OH ($/ac)]]))</f>
        <v>5.1577530388965753</v>
      </c>
      <c r="AE100" s="118">
        <v>4</v>
      </c>
      <c r="AF100" s="100" t="s">
        <v>501</v>
      </c>
      <c r="AG100" s="116"/>
    </row>
    <row r="101" spans="2:52">
      <c r="B101" s="100" t="str">
        <f>Implements7[[#This Row],[Implement type]]&amp;", "&amp;Implements7[[#This Row],[Width]]&amp;" "&amp;Implements7[[#This Row],[Width Unit]]&amp; ", per "&amp;Implements7[[#This Row],[Use basis]]</f>
        <v>Chisel plow, front dsk , 21 Ft Folding, per acre</v>
      </c>
      <c r="C101" s="105" t="s">
        <v>502</v>
      </c>
      <c r="D101" s="106">
        <v>21</v>
      </c>
      <c r="E101" s="107" t="str">
        <f t="shared" si="9"/>
        <v>Ft Folding</v>
      </c>
      <c r="F101" s="106"/>
      <c r="G101" s="106"/>
      <c r="H101" s="108">
        <v>59000</v>
      </c>
      <c r="I101" s="109">
        <v>0.1</v>
      </c>
      <c r="J101" s="195">
        <f t="shared" si="1"/>
        <v>65555.555555555547</v>
      </c>
      <c r="K101" s="306">
        <f>VLOOKUP(Implements7[[#This Row],[ASABEtype]],ASABECoefficients8[],4,FALSE)/Implements7[[#This Row],[Use (hr/yr)]]</f>
        <v>25</v>
      </c>
      <c r="L101" s="106">
        <v>80</v>
      </c>
      <c r="M101" s="111">
        <f t="shared" si="11"/>
        <v>865.4545454545455</v>
      </c>
      <c r="N101" s="111" t="s">
        <v>706</v>
      </c>
      <c r="O101" s="106" t="s">
        <v>450</v>
      </c>
      <c r="P101" s="106">
        <v>5</v>
      </c>
      <c r="Q101" s="109">
        <v>0.85</v>
      </c>
      <c r="R101" s="109">
        <v>1.02</v>
      </c>
      <c r="S101" s="106">
        <v>225</v>
      </c>
      <c r="T101"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0.13294208768150634</v>
      </c>
      <c r="U101" s="113">
        <f>Implements7[[#This Row],[TradeIn%]]*Implements7[[#This Row],[PriceL]]</f>
        <v>8715.0924146765246</v>
      </c>
      <c r="V101" s="114">
        <f>(Implements7[[#This Row],[PriceP]]-Implements7[[#This Row],[TradeIn$]])/Implements7[[#This Row],[Life (yr)]]/Implements7[[#This Row],[Use (hr/yr)]]</f>
        <v>25.142453792661737</v>
      </c>
      <c r="W101" s="114">
        <f>((Implements7[[#This Row],[PriceP]]+Implements7[[#This Row],[TradeIn$]])/2*($BP$7+$BP$8+$BP$9)+Implements7[[#This Row],[Shed (ft^2)]]*$BP$12)/Implements7[[#This Row],[Use (hr/yr)]]</f>
        <v>40.180838825769726</v>
      </c>
      <c r="X101" s="114">
        <f>Implements7[[#This Row],[PriceL]]*(VLOOKUP(Implements7[[#This Row],[ASABEtype]],$BC$6:$BM$52,2)*(Implements7[[#This Row],[Life (yr)]]*Implements7[[#This Row],[Use (hr/yr)]]/1000)^VLOOKUP(Implements7[[#This Row],[ASABEtype]],$BC$6:$BM$52,3))/Implements7[[#This Row],[Life (yr)]]/Implements7[[#This Row],[Use (hr/yr)]]</f>
        <v>19.169156554007152</v>
      </c>
      <c r="Y101" s="114">
        <f>Implements7[[#This Row],[Depr ($/hr)]]+Implements7[[#This Row],[OH ($/hr)]]</f>
        <v>65.323292618431466</v>
      </c>
      <c r="Z101" s="114">
        <f>(Implements7[[#This Row],[PriceP]]-Implements7[[#This Row],[TradeIn$]])/Implements7[[#This Row],[Life (yr)]]/Implements7[[#This Row],[Use (ac/yr)]]</f>
        <v>2.3240923673889</v>
      </c>
      <c r="AA101" s="114">
        <f>((Implements7[[#This Row],[PriceP]]+Implements7[[#This Row],[TradeIn$]])/2*($BP$7+$BP$8+$BP$9)+Implements7[[#This Row],[Shed (ft^2)]]*$BP$12)/Implements7[[#This Row],[Use (ac/yr)]]</f>
        <v>3.714195185575353</v>
      </c>
      <c r="AB101"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1.7719388411267116</v>
      </c>
      <c r="AC101" s="115">
        <f>$BP$18/(Implements7[[#This Row],[Width]]*Implements7[[#This Row],[Speed]]*Implements7[[#This Row],[Efficiency]])</f>
        <v>9.2436974789915971E-2</v>
      </c>
      <c r="AD101" s="116">
        <f>IF(Implements7[[#This Row],[Use basis]]=$N$128,Implements7[[#This Row],[Ownership costs ($/hr)]],SUM(Implements7[[#This Row],[Depr ($/ac)2]:[OH ($/ac)]]))</f>
        <v>6.0382875529642526</v>
      </c>
      <c r="AE101" s="118">
        <v>5</v>
      </c>
      <c r="AF101" s="100" t="s">
        <v>501</v>
      </c>
      <c r="AG101" s="116"/>
    </row>
    <row r="102" spans="2:52">
      <c r="B102" s="100" t="str">
        <f>Implements7[[#This Row],[Implement type]]&amp;", "&amp;Implements7[[#This Row],[Width]]&amp;" "&amp;Implements7[[#This Row],[Width Unit]]&amp; ", per "&amp;Implements7[[#This Row],[Use basis]]</f>
        <v>Moldboard plow, 12 Ft, per acre</v>
      </c>
      <c r="C102" s="107" t="s">
        <v>503</v>
      </c>
      <c r="D102" s="106">
        <v>12</v>
      </c>
      <c r="E102" s="107" t="str">
        <f t="shared" si="9"/>
        <v>Ft</v>
      </c>
      <c r="F102" s="106">
        <v>8</v>
      </c>
      <c r="G102" s="105" t="s">
        <v>504</v>
      </c>
      <c r="H102" s="108">
        <v>59500</v>
      </c>
      <c r="I102" s="109">
        <v>0.1</v>
      </c>
      <c r="J102" s="195">
        <f t="shared" si="1"/>
        <v>66111.111111111109</v>
      </c>
      <c r="K102" s="306">
        <f>VLOOKUP(Implements7[[#This Row],[ASABEtype]],ASABECoefficients8[],4,FALSE)/Implements7[[#This Row],[Use (hr/yr)]]</f>
        <v>16.666666666666668</v>
      </c>
      <c r="L102" s="106">
        <v>120</v>
      </c>
      <c r="M102" s="111">
        <f t="shared" si="11"/>
        <v>667.63636363636363</v>
      </c>
      <c r="N102" s="111" t="s">
        <v>706</v>
      </c>
      <c r="O102" s="106" t="s">
        <v>584</v>
      </c>
      <c r="P102" s="106">
        <v>4.5</v>
      </c>
      <c r="Q102" s="109">
        <v>0.85</v>
      </c>
      <c r="R102" s="109">
        <v>1.02</v>
      </c>
      <c r="S102" s="106">
        <v>150</v>
      </c>
      <c r="T102"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0.23621226290521788</v>
      </c>
      <c r="U102" s="113">
        <f>Implements7[[#This Row],[TradeIn%]]*Implements7[[#This Row],[PriceL]]</f>
        <v>15616.255158733848</v>
      </c>
      <c r="V102" s="114">
        <f>(Implements7[[#This Row],[PriceP]]-Implements7[[#This Row],[TradeIn$]])/Implements7[[#This Row],[Life (yr)]]/Implements7[[#This Row],[Use (hr/yr)]]</f>
        <v>21.941872420633079</v>
      </c>
      <c r="W102" s="114">
        <f>((Implements7[[#This Row],[PriceP]]+Implements7[[#This Row],[TradeIn$]])/2*($BP$7+$BP$8+$BP$9)+Implements7[[#This Row],[Shed (ft^2)]]*$BP$12)/Implements7[[#This Row],[Use (hr/yr)]]</f>
        <v>28.910642793739452</v>
      </c>
      <c r="X102" s="114">
        <f>Implements7[[#This Row],[PriceL]]*(VLOOKUP(Implements7[[#This Row],[ASABEtype]],$BC$6:$BM$52,2)*(Implements7[[#This Row],[Life (yr)]]*Implements7[[#This Row],[Use (hr/yr)]]/1000)^VLOOKUP(Implements7[[#This Row],[ASABEtype]],$BC$6:$BM$52,3))/Implements7[[#This Row],[Life (yr)]]/Implements7[[#This Row],[Use (hr/yr)]]</f>
        <v>33.380777710388053</v>
      </c>
      <c r="Y102" s="114">
        <f>Implements7[[#This Row],[Depr ($/hr)]]+Implements7[[#This Row],[OH ($/hr)]]</f>
        <v>50.852515214372531</v>
      </c>
      <c r="Z102" s="114">
        <f>(Implements7[[#This Row],[PriceP]]-Implements7[[#This Row],[TradeIn$]])/Implements7[[#This Row],[Life (yr)]]/Implements7[[#This Row],[Use (ac/yr)]]</f>
        <v>3.9438005984798017</v>
      </c>
      <c r="AA102" s="114">
        <f>((Implements7[[#This Row],[PriceP]]+Implements7[[#This Row],[TradeIn$]])/2*($BP$7+$BP$8+$BP$9)+Implements7[[#This Row],[Shed (ft^2)]]*$BP$12)/Implements7[[#This Row],[Use (ac/yr)]]</f>
        <v>5.1963573648878105</v>
      </c>
      <c r="AB102"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5.9998129871612518</v>
      </c>
      <c r="AC102" s="115">
        <f>$BP$18/(Implements7[[#This Row],[Width]]*Implements7[[#This Row],[Speed]]*Implements7[[#This Row],[Efficiency]])</f>
        <v>0.17973856209150327</v>
      </c>
      <c r="AD102" s="116">
        <f>IF(Implements7[[#This Row],[Use basis]]=$N$128,Implements7[[#This Row],[Ownership costs ($/hr)]],SUM(Implements7[[#This Row],[Depr ($/ac)2]:[OH ($/ac)]]))</f>
        <v>9.1401579633676118</v>
      </c>
      <c r="AE102" s="118">
        <v>7</v>
      </c>
      <c r="AF102" s="100" t="s">
        <v>501</v>
      </c>
      <c r="AG102" s="116"/>
    </row>
    <row r="103" spans="2:52">
      <c r="B103" s="100" t="str">
        <f>Implements7[[#This Row],[Implement type]]&amp;", "&amp;Implements7[[#This Row],[Width]]&amp;" "&amp;Implements7[[#This Row],[Width Unit]]&amp; ", per "&amp;Implements7[[#This Row],[Use basis]]</f>
        <v>Moldboard plow, 9 Ft, per acre</v>
      </c>
      <c r="C103" s="107" t="s">
        <v>503</v>
      </c>
      <c r="D103" s="106">
        <v>9</v>
      </c>
      <c r="E103" s="107" t="str">
        <f t="shared" si="9"/>
        <v>Ft</v>
      </c>
      <c r="F103" s="106">
        <v>6</v>
      </c>
      <c r="G103" s="105" t="s">
        <v>504</v>
      </c>
      <c r="H103" s="108">
        <v>33000</v>
      </c>
      <c r="I103" s="109">
        <v>0.1</v>
      </c>
      <c r="J103" s="195">
        <f t="shared" si="1"/>
        <v>36666.666666666664</v>
      </c>
      <c r="K103" s="306">
        <f>VLOOKUP(Implements7[[#This Row],[ASABEtype]],ASABECoefficients8[],4,FALSE)/Implements7[[#This Row],[Use (hr/yr)]]</f>
        <v>16.666666666666668</v>
      </c>
      <c r="L103" s="106">
        <v>120</v>
      </c>
      <c r="M103" s="111">
        <f t="shared" si="11"/>
        <v>500.72727272727275</v>
      </c>
      <c r="N103" s="111" t="s">
        <v>706</v>
      </c>
      <c r="O103" s="106" t="s">
        <v>584</v>
      </c>
      <c r="P103" s="106">
        <v>4.5</v>
      </c>
      <c r="Q103" s="109">
        <v>0.85</v>
      </c>
      <c r="R103" s="109">
        <v>1.02</v>
      </c>
      <c r="S103" s="106">
        <v>132</v>
      </c>
      <c r="T103"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0.23621226290521788</v>
      </c>
      <c r="U103" s="113">
        <f>Implements7[[#This Row],[TradeIn%]]*Implements7[[#This Row],[PriceL]]</f>
        <v>8661.1163065246546</v>
      </c>
      <c r="V103" s="114">
        <f>(Implements7[[#This Row],[PriceP]]-Implements7[[#This Row],[TradeIn$]])/Implements7[[#This Row],[Life (yr)]]/Implements7[[#This Row],[Use (hr/yr)]]</f>
        <v>12.169441846737671</v>
      </c>
      <c r="W103" s="114">
        <f>((Implements7[[#This Row],[PriceP]]+Implements7[[#This Row],[TradeIn$]])/2*($BP$7+$BP$8+$BP$9)+Implements7[[#This Row],[Shed (ft^2)]]*$BP$12)/Implements7[[#This Row],[Use (hr/yr)]]</f>
        <v>16.428677497512545</v>
      </c>
      <c r="X103" s="114">
        <f>Implements7[[#This Row],[PriceL]]*(VLOOKUP(Implements7[[#This Row],[ASABEtype]],$BC$6:$BM$52,2)*(Implements7[[#This Row],[Life (yr)]]*Implements7[[#This Row],[Use (hr/yr)]]/1000)^VLOOKUP(Implements7[[#This Row],[ASABEtype]],$BC$6:$BM$52,3))/Implements7[[#This Row],[Life (yr)]]/Implements7[[#This Row],[Use (hr/yr)]]</f>
        <v>18.513708646097577</v>
      </c>
      <c r="Y103" s="114">
        <f>Implements7[[#This Row],[Depr ($/hr)]]+Implements7[[#This Row],[OH ($/hr)]]</f>
        <v>28.598119344250215</v>
      </c>
      <c r="Z103" s="114">
        <f>(Implements7[[#This Row],[PriceP]]-Implements7[[#This Row],[TradeIn$]])/Implements7[[#This Row],[Life (yr)]]/Implements7[[#This Row],[Use (ac/yr)]]</f>
        <v>2.9164239719850626</v>
      </c>
      <c r="AA103" s="114">
        <f>((Implements7[[#This Row],[PriceP]]+Implements7[[#This Row],[TradeIn$]])/2*($BP$7+$BP$8+$BP$9)+Implements7[[#This Row],[Shed (ft^2)]]*$BP$12)/Implements7[[#This Row],[Use (ac/yr)]]</f>
        <v>3.9371558272905882</v>
      </c>
      <c r="AB103"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4.4368364947074799</v>
      </c>
      <c r="AC103" s="115">
        <f>$BP$18/(Implements7[[#This Row],[Width]]*Implements7[[#This Row],[Speed]]*Implements7[[#This Row],[Efficiency]])</f>
        <v>0.23965141612200438</v>
      </c>
      <c r="AD103" s="116">
        <f>IF(Implements7[[#This Row],[Use basis]]=$N$128,Implements7[[#This Row],[Ownership costs ($/hr)]],SUM(Implements7[[#This Row],[Depr ($/ac)2]:[OH ($/ac)]]))</f>
        <v>6.8535797992756509</v>
      </c>
      <c r="AE103" s="118">
        <v>6</v>
      </c>
      <c r="AF103" s="100" t="s">
        <v>501</v>
      </c>
      <c r="AG103" s="116"/>
    </row>
    <row r="104" spans="2:52">
      <c r="B104" s="100" t="str">
        <f>Implements7[[#This Row],[Implement type]]&amp;", "&amp;Implements7[[#This Row],[Width]]&amp;" "&amp;Implements7[[#This Row],[Width Unit]]&amp; ", per "&amp;Implements7[[#This Row],[Use basis]]</f>
        <v>Boom sprayer - pull-type, 90 Ft Folding, per acre</v>
      </c>
      <c r="C104" s="105" t="s">
        <v>505</v>
      </c>
      <c r="D104" s="106">
        <v>90</v>
      </c>
      <c r="E104" s="107" t="str">
        <f t="shared" si="9"/>
        <v>Ft Folding</v>
      </c>
      <c r="F104" s="106"/>
      <c r="G104" s="106"/>
      <c r="H104" s="108">
        <v>54500</v>
      </c>
      <c r="I104" s="109">
        <v>0.1</v>
      </c>
      <c r="J104" s="195">
        <f t="shared" si="1"/>
        <v>60555.555555555555</v>
      </c>
      <c r="K104" s="306">
        <f>VLOOKUP(Implements7[[#This Row],[ASABEtype]],ASABECoefficients8[],4,FALSE)/Implements7[[#This Row],[Use (hr/yr)]]</f>
        <v>6</v>
      </c>
      <c r="L104" s="106">
        <v>250</v>
      </c>
      <c r="M104" s="111">
        <f t="shared" si="11"/>
        <v>17454.545454545456</v>
      </c>
      <c r="N104" s="111" t="s">
        <v>706</v>
      </c>
      <c r="O104" s="106" t="s">
        <v>506</v>
      </c>
      <c r="P104" s="106">
        <v>8</v>
      </c>
      <c r="Q104" s="109">
        <v>0.8</v>
      </c>
      <c r="R104" s="109">
        <v>1.25</v>
      </c>
      <c r="S104" s="106">
        <v>250</v>
      </c>
      <c r="T104"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0.56934594166002883</v>
      </c>
      <c r="U104" s="113">
        <f>Implements7[[#This Row],[TradeIn%]]*Implements7[[#This Row],[PriceL]]</f>
        <v>34477.059800523966</v>
      </c>
      <c r="V104" s="114">
        <f>(Implements7[[#This Row],[PriceP]]-Implements7[[#This Row],[TradeIn$]])/Implements7[[#This Row],[Life (yr)]]/Implements7[[#This Row],[Use (hr/yr)]]</f>
        <v>13.348626799650688</v>
      </c>
      <c r="W104" s="114">
        <f>((Implements7[[#This Row],[PriceP]]+Implements7[[#This Row],[TradeIn$]])/2*($BP$7+$BP$8+$BP$9)+Implements7[[#This Row],[Shed (ft^2)]]*$BP$12)/Implements7[[#This Row],[Use (hr/yr)]]</f>
        <v>16.718158547857815</v>
      </c>
      <c r="X104" s="114">
        <f>Implements7[[#This Row],[PriceL]]*(VLOOKUP(Implements7[[#This Row],[ASABEtype]],$BC$6:$BM$52,2)*(Implements7[[#This Row],[Life (yr)]]*Implements7[[#This Row],[Use (hr/yr)]]/1000)^VLOOKUP(Implements7[[#This Row],[ASABEtype]],$BC$6:$BM$52,3))/Implements7[[#This Row],[Life (yr)]]/Implements7[[#This Row],[Use (hr/yr)]]</f>
        <v>28.03917474753715</v>
      </c>
      <c r="Y104" s="114">
        <f>Implements7[[#This Row],[Depr ($/hr)]]+Implements7[[#This Row],[OH ($/hr)]]</f>
        <v>30.066785347508503</v>
      </c>
      <c r="Z104" s="114">
        <f>(Implements7[[#This Row],[PriceP]]-Implements7[[#This Row],[TradeIn$]])/Implements7[[#This Row],[Life (yr)]]/Implements7[[#This Row],[Use (ac/yr)]]</f>
        <v>0.19119126926583016</v>
      </c>
      <c r="AA104" s="114">
        <f>((Implements7[[#This Row],[PriceP]]+Implements7[[#This Row],[TradeIn$]])/2*($BP$7+$BP$8+$BP$9)+Implements7[[#This Row],[Shed (ft^2)]]*$BP$12)/Implements7[[#This Row],[Use (ac/yr)]]</f>
        <v>0.23945279170108849</v>
      </c>
      <c r="AB104"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0.40160276331107891</v>
      </c>
      <c r="AC104" s="115">
        <f>$BP$18/(Implements7[[#This Row],[Width]]*Implements7[[#This Row],[Speed]]*Implements7[[#This Row],[Efficiency]])</f>
        <v>1.4322916666666666E-2</v>
      </c>
      <c r="AD104" s="116">
        <f>IF(Implements7[[#This Row],[Use basis]]=$N$128,Implements7[[#This Row],[Ownership costs ($/hr)]],SUM(Implements7[[#This Row],[Depr ($/ac)2]:[OH ($/ac)]]))</f>
        <v>0.43064406096691865</v>
      </c>
      <c r="AE104" s="118">
        <v>26</v>
      </c>
      <c r="AF104" s="100" t="s">
        <v>507</v>
      </c>
      <c r="AG104" s="116"/>
    </row>
    <row r="105" spans="2:52">
      <c r="B105" s="100" t="str">
        <f>Implements7[[#This Row],[Implement type]]&amp;", "&amp;Implements7[[#This Row],[Width]]&amp;" "&amp;Implements7[[#This Row],[Width Unit]]&amp; ", per "&amp;Implements7[[#This Row],[Use basis]]</f>
        <v>Boom sprayer - self-propelled, 120 Ft Folding, per acre</v>
      </c>
      <c r="C105" s="107" t="s">
        <v>508</v>
      </c>
      <c r="D105" s="106">
        <v>120</v>
      </c>
      <c r="E105" s="107" t="str">
        <f t="shared" si="9"/>
        <v>Ft Folding</v>
      </c>
      <c r="F105" s="106"/>
      <c r="G105" s="106"/>
      <c r="H105" s="108">
        <v>607500</v>
      </c>
      <c r="I105" s="109">
        <v>0.1</v>
      </c>
      <c r="J105" s="195">
        <f t="shared" si="1"/>
        <v>675000</v>
      </c>
      <c r="K105" s="306">
        <f>VLOOKUP(Implements7[[#This Row],[ASABEtype]],ASABECoefficients8[],4,FALSE)/Implements7[[#This Row],[Use (hr/yr)]]</f>
        <v>3</v>
      </c>
      <c r="L105" s="106">
        <v>500</v>
      </c>
      <c r="M105" s="111">
        <f t="shared" si="11"/>
        <v>58181.818181818184</v>
      </c>
      <c r="N105" s="111" t="s">
        <v>706</v>
      </c>
      <c r="O105" s="106" t="s">
        <v>506</v>
      </c>
      <c r="P105" s="106">
        <v>10</v>
      </c>
      <c r="Q105" s="109">
        <v>0.8</v>
      </c>
      <c r="R105" s="109">
        <v>1.25</v>
      </c>
      <c r="S105" s="106">
        <v>360</v>
      </c>
      <c r="T105"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0.70345387348317567</v>
      </c>
      <c r="U105" s="113">
        <f>Implements7[[#This Row],[TradeIn%]]*Implements7[[#This Row],[PriceL]]</f>
        <v>474831.36460114358</v>
      </c>
      <c r="V105" s="114">
        <f>(Implements7[[#This Row],[PriceP]]-Implements7[[#This Row],[TradeIn$]])/Implements7[[#This Row],[Life (yr)]]/Implements7[[#This Row],[Use (hr/yr)]]</f>
        <v>88.445756932570944</v>
      </c>
      <c r="W105" s="114">
        <f>((Implements7[[#This Row],[PriceP]]+Implements7[[#This Row],[TradeIn$]])/2*($BP$7+$BP$8+$BP$9)+Implements7[[#This Row],[Shed (ft^2)]]*$BP$12)/Implements7[[#This Row],[Use (hr/yr)]]</f>
        <v>96.484163420680062</v>
      </c>
      <c r="X105" s="114">
        <f>Implements7[[#This Row],[PriceL]]*(VLOOKUP(Implements7[[#This Row],[ASABEtype]],$BC$6:$BM$52,2)*(Implements7[[#This Row],[Life (yr)]]*Implements7[[#This Row],[Use (hr/yr)]]/1000)^VLOOKUP(Implements7[[#This Row],[ASABEtype]],$BC$6:$BM$52,3))/Implements7[[#This Row],[Life (yr)]]/Implements7[[#This Row],[Use (hr/yr)]]</f>
        <v>312.54676438768473</v>
      </c>
      <c r="Y105" s="114">
        <f>Implements7[[#This Row],[Depr ($/hr)]]+Implements7[[#This Row],[OH ($/hr)]]</f>
        <v>184.92992035325102</v>
      </c>
      <c r="Z105" s="114">
        <f>(Implements7[[#This Row],[PriceP]]-Implements7[[#This Row],[TradeIn$]])/Implements7[[#This Row],[Life (yr)]]/Implements7[[#This Row],[Use (ac/yr)]]</f>
        <v>0.76008072363928159</v>
      </c>
      <c r="AA105" s="114">
        <f>((Implements7[[#This Row],[PriceP]]+Implements7[[#This Row],[TradeIn$]])/2*($BP$7+$BP$8+$BP$9)+Implements7[[#This Row],[Shed (ft^2)]]*$BP$12)/Implements7[[#This Row],[Use (ac/yr)]]</f>
        <v>0.82916077939646926</v>
      </c>
      <c r="AB105"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2.685948756456666</v>
      </c>
      <c r="AC105" s="115">
        <f>$BP$18/(Implements7[[#This Row],[Width]]*Implements7[[#This Row],[Speed]]*Implements7[[#This Row],[Efficiency]])</f>
        <v>8.5937500000000007E-3</v>
      </c>
      <c r="AD105" s="116">
        <f>IF(Implements7[[#This Row],[Use basis]]=$N$128,Implements7[[#This Row],[Ownership costs ($/hr)]],SUM(Implements7[[#This Row],[Depr ($/ac)2]:[OH ($/ac)]]))</f>
        <v>1.5892415030357507</v>
      </c>
      <c r="AE105" s="118">
        <v>25</v>
      </c>
      <c r="AF105" s="100" t="s">
        <v>507</v>
      </c>
      <c r="AG105" s="116"/>
      <c r="AZ105" s="167"/>
    </row>
    <row r="106" spans="2:52">
      <c r="B106" s="100" t="str">
        <f>Implements7[[#This Row],[Implement type]]&amp;", "&amp;Implements7[[#This Row],[Width]]&amp;" "&amp;Implements7[[#This Row],[Width Unit]]&amp; ", per "&amp;Implements7[[#This Row],[Use basis]]</f>
        <v>Row cultivator, 30 Ft Folding, per acre</v>
      </c>
      <c r="C106" s="107" t="s">
        <v>509</v>
      </c>
      <c r="D106" s="106">
        <v>30</v>
      </c>
      <c r="E106" s="107" t="str">
        <f t="shared" si="9"/>
        <v>Ft Folding</v>
      </c>
      <c r="F106" s="106">
        <v>12</v>
      </c>
      <c r="G106" s="106" t="s">
        <v>453</v>
      </c>
      <c r="H106" s="108">
        <v>48000</v>
      </c>
      <c r="I106" s="109">
        <v>0.1</v>
      </c>
      <c r="J106" s="195">
        <f t="shared" si="1"/>
        <v>53333.333333333328</v>
      </c>
      <c r="K106" s="306">
        <f>VLOOKUP(Implements7[[#This Row],[ASABEtype]],ASABECoefficients8[],4,FALSE)/Implements7[[#This Row],[Use (hr/yr)]]</f>
        <v>20</v>
      </c>
      <c r="L106" s="106">
        <v>100</v>
      </c>
      <c r="M106" s="111">
        <f t="shared" si="11"/>
        <v>1545.4545454545455</v>
      </c>
      <c r="N106" s="111" t="s">
        <v>706</v>
      </c>
      <c r="O106" s="106" t="s">
        <v>510</v>
      </c>
      <c r="P106" s="106">
        <v>5</v>
      </c>
      <c r="Q106" s="109">
        <v>0.85</v>
      </c>
      <c r="R106" s="109">
        <v>1.04</v>
      </c>
      <c r="S106" s="106">
        <v>140</v>
      </c>
      <c r="T106"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0.21054767935982382</v>
      </c>
      <c r="U106" s="113">
        <f>Implements7[[#This Row],[TradeIn%]]*Implements7[[#This Row],[PriceL]]</f>
        <v>11229.209565857269</v>
      </c>
      <c r="V106" s="114">
        <f>(Implements7[[#This Row],[PriceP]]-Implements7[[#This Row],[TradeIn$]])/Implements7[[#This Row],[Life (yr)]]/Implements7[[#This Row],[Use (hr/yr)]]</f>
        <v>18.38539521707137</v>
      </c>
      <c r="W106" s="114">
        <f>((Implements7[[#This Row],[PriceP]]+Implements7[[#This Row],[TradeIn$]])/2*($BP$7+$BP$8+$BP$9)+Implements7[[#This Row],[Shed (ft^2)]]*$BP$12)/Implements7[[#This Row],[Use (hr/yr)]]</f>
        <v>27.565831781322945</v>
      </c>
      <c r="X106" s="114">
        <f>Implements7[[#This Row],[PriceL]]*(VLOOKUP(Implements7[[#This Row],[ASABEtype]],$BC$6:$BM$52,2)*(Implements7[[#This Row],[Life (yr)]]*Implements7[[#This Row],[Use (hr/yr)]]/1000)^VLOOKUP(Implements7[[#This Row],[ASABEtype]],$BC$6:$BM$52,3))/Implements7[[#This Row],[Life (yr)]]/Implements7[[#This Row],[Use (hr/yr)]]</f>
        <v>20.829730170612901</v>
      </c>
      <c r="Y106" s="114">
        <f>Implements7[[#This Row],[Depr ($/hr)]]+Implements7[[#This Row],[OH ($/hr)]]</f>
        <v>45.951226998394318</v>
      </c>
      <c r="Z106" s="114">
        <f>(Implements7[[#This Row],[PriceP]]-Implements7[[#This Row],[TradeIn$]])/Implements7[[#This Row],[Life (yr)]]/Implements7[[#This Row],[Use (ac/yr)]]</f>
        <v>1.1896432199281473</v>
      </c>
      <c r="AA106" s="114">
        <f>((Implements7[[#This Row],[PriceP]]+Implements7[[#This Row],[TradeIn$]])/2*($BP$7+$BP$8+$BP$9)+Implements7[[#This Row],[Shed (ft^2)]]*$BP$12)/Implements7[[#This Row],[Use (ac/yr)]]</f>
        <v>1.7836714682032493</v>
      </c>
      <c r="AB106"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1.3478060698631877</v>
      </c>
      <c r="AC106" s="115">
        <f>$BP$18/(Implements7[[#This Row],[Width]]*Implements7[[#This Row],[Speed]]*Implements7[[#This Row],[Efficiency]])</f>
        <v>6.4705882352941183E-2</v>
      </c>
      <c r="AD106" s="116">
        <f>IF(Implements7[[#This Row],[Use basis]]=$N$128,Implements7[[#This Row],[Ownership costs ($/hr)]],SUM(Implements7[[#This Row],[Depr ($/ac)2]:[OH ($/ac)]]))</f>
        <v>2.9733146881313965</v>
      </c>
      <c r="AE106" s="118">
        <v>24</v>
      </c>
      <c r="AF106" s="100" t="s">
        <v>507</v>
      </c>
      <c r="AG106" s="116"/>
    </row>
    <row r="107" spans="2:52">
      <c r="B107" s="100" t="str">
        <f>Implements7[[#This Row],[Implement type]]&amp;", "&amp;Implements7[[#This Row],[Width]]&amp;" "&amp;Implements7[[#This Row],[Width Unit]]&amp; ", per "&amp;Implements7[[#This Row],[Use basis]]</f>
        <v>Grain trailer, 1000 Bushel HB, per hour</v>
      </c>
      <c r="C107" s="105" t="s">
        <v>721</v>
      </c>
      <c r="D107" s="106">
        <v>1000</v>
      </c>
      <c r="E107" s="105" t="s">
        <v>722</v>
      </c>
      <c r="F107" s="106"/>
      <c r="G107" s="105"/>
      <c r="H107" s="186">
        <v>50000</v>
      </c>
      <c r="I107" s="187">
        <v>0.1</v>
      </c>
      <c r="J107" s="195">
        <f t="shared" si="1"/>
        <v>55555.555555555555</v>
      </c>
      <c r="K107" s="306">
        <f>VLOOKUP(Implements7[[#This Row],[ASABEtype]],ASABECoefficients8[],4,FALSE)/Implements7[[#This Row],[Use (hr/yr)]]</f>
        <v>7.5</v>
      </c>
      <c r="L107" s="106">
        <v>400</v>
      </c>
      <c r="M107" s="111">
        <f t="shared" si="11"/>
        <v>2424242.4242424243</v>
      </c>
      <c r="N107" s="111" t="s">
        <v>720</v>
      </c>
      <c r="O107" s="106" t="s">
        <v>468</v>
      </c>
      <c r="P107" s="106">
        <v>50</v>
      </c>
      <c r="Q107" s="187">
        <v>1</v>
      </c>
      <c r="R107" s="187">
        <v>1.1000000000000001</v>
      </c>
      <c r="S107" s="106">
        <v>400</v>
      </c>
      <c r="T107"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0.35754221251605883</v>
      </c>
      <c r="U107" s="113">
        <f>Implements7[[#This Row],[TradeIn%]]*Implements7[[#This Row],[PriceL]]</f>
        <v>19863.456250892155</v>
      </c>
      <c r="V107" s="114">
        <f>(Implements7[[#This Row],[PriceP]]-Implements7[[#This Row],[TradeIn$]])/Implements7[[#This Row],[Life (yr)]]/Implements7[[#This Row],[Use (hr/yr)]]</f>
        <v>10.045514583035947</v>
      </c>
      <c r="W107" s="114">
        <f>((Implements7[[#This Row],[PriceP]]+Implements7[[#This Row],[TradeIn$]])/2*($BP$7+$BP$8+$BP$9)+Implements7[[#This Row],[Shed (ft^2)]]*$BP$12)/Implements7[[#This Row],[Use (hr/yr)]]</f>
        <v>8.697863810920019</v>
      </c>
      <c r="X107" s="114">
        <f>Implements7[[#This Row],[PriceL]]*(VLOOKUP(Implements7[[#This Row],[ASABEtype]],$BC$6:$BM$52,2)*(Implements7[[#This Row],[Life (yr)]]*Implements7[[#This Row],[Use (hr/yr)]]/1000)^VLOOKUP(Implements7[[#This Row],[ASABEtype]],$BC$6:$BM$52,3))/Implements7[[#This Row],[Life (yr)]]/Implements7[[#This Row],[Use (hr/yr)]]</f>
        <v>14.676330131112376</v>
      </c>
      <c r="Y107" s="114">
        <f>Implements7[[#This Row],[Depr ($/hr)]]+Implements7[[#This Row],[OH ($/hr)]]</f>
        <v>18.743378393955965</v>
      </c>
      <c r="Z107" s="114">
        <f>(Implements7[[#This Row],[PriceP]]-Implements7[[#This Row],[TradeIn$]])/Implements7[[#This Row],[Life (yr)]]/Implements7[[#This Row],[Use (ac/yr)]]</f>
        <v>1.6575099062009313E-3</v>
      </c>
      <c r="AA107" s="114">
        <f>((Implements7[[#This Row],[PriceP]]+Implements7[[#This Row],[TradeIn$]])/2*($BP$7+$BP$8+$BP$9)+Implements7[[#This Row],[Shed (ft^2)]]*$BP$12)/Implements7[[#This Row],[Use (ac/yr)]]</f>
        <v>1.435147528801803E-3</v>
      </c>
      <c r="AB107"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14.676330131112376</v>
      </c>
      <c r="AC107" s="115">
        <f>$BP$18/(Implements7[[#This Row],[Width]]*Implements7[[#This Row],[Speed]]*Implements7[[#This Row],[Efficiency]])</f>
        <v>1.65E-4</v>
      </c>
      <c r="AD107" s="116">
        <f>IF(Implements7[[#This Row],[Use basis]]=$N$128,Implements7[[#This Row],[Ownership costs ($/hr)]],SUM(Implements7[[#This Row],[Depr ($/ac)2]:[OH ($/ac)]]))</f>
        <v>18.743378393955965</v>
      </c>
      <c r="AE107" s="116"/>
      <c r="AF107" s="116" t="s">
        <v>723</v>
      </c>
      <c r="AG107" s="116"/>
    </row>
    <row r="108" spans="2:52">
      <c r="B108" s="100" t="str">
        <f>Implements7[[#This Row],[Implement type]]&amp;", "&amp;Implements7[[#This Row],[Width]]&amp;" "&amp;Implements7[[#This Row],[Width Unit]]&amp; ", per "&amp;Implements7[[#This Row],[Use basis]]</f>
        <v>Hay trailer, 7 Bale, per hour</v>
      </c>
      <c r="C108" s="105" t="s">
        <v>724</v>
      </c>
      <c r="D108" s="106">
        <v>7</v>
      </c>
      <c r="E108" s="105" t="s">
        <v>725</v>
      </c>
      <c r="F108" s="106"/>
      <c r="G108" s="105"/>
      <c r="H108" s="186">
        <v>7500</v>
      </c>
      <c r="I108" s="187">
        <v>0.1</v>
      </c>
      <c r="J108" s="195">
        <f t="shared" si="1"/>
        <v>8333.3333333333339</v>
      </c>
      <c r="K108" s="306">
        <f>VLOOKUP(Implements7[[#This Row],[ASABEtype]],ASABECoefficients8[],4,FALSE)/Implements7[[#This Row],[Use (hr/yr)]]</f>
        <v>15</v>
      </c>
      <c r="L108" s="106">
        <v>200</v>
      </c>
      <c r="M108" s="111">
        <f t="shared" si="11"/>
        <v>8484.8484848484841</v>
      </c>
      <c r="N108" s="111" t="s">
        <v>720</v>
      </c>
      <c r="O108" s="106" t="s">
        <v>468</v>
      </c>
      <c r="P108" s="106">
        <v>50</v>
      </c>
      <c r="Q108" s="187">
        <v>1</v>
      </c>
      <c r="R108" s="187">
        <v>1.05</v>
      </c>
      <c r="S108" s="106">
        <v>300</v>
      </c>
      <c r="T108"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0.22376917082458905</v>
      </c>
      <c r="U108" s="113">
        <f>Implements7[[#This Row],[TradeIn%]]*Implements7[[#This Row],[PriceL]]</f>
        <v>1864.7430902049089</v>
      </c>
      <c r="V108" s="114">
        <f>(Implements7[[#This Row],[PriceP]]-Implements7[[#This Row],[TradeIn$]])/Implements7[[#This Row],[Life (yr)]]/Implements7[[#This Row],[Use (hr/yr)]]</f>
        <v>1.8784189699316969</v>
      </c>
      <c r="W108" s="114">
        <f>((Implements7[[#This Row],[PriceP]]+Implements7[[#This Row],[TradeIn$]])/2*($BP$7+$BP$8+$BP$9)+Implements7[[#This Row],[Shed (ft^2)]]*$BP$12)/Implements7[[#This Row],[Use (hr/yr)]]</f>
        <v>3.5257778534554483</v>
      </c>
      <c r="X108" s="114">
        <f>Implements7[[#This Row],[PriceL]]*(VLOOKUP(Implements7[[#This Row],[ASABEtype]],$BC$6:$BM$52,2)*(Implements7[[#This Row],[Life (yr)]]*Implements7[[#This Row],[Use (hr/yr)]]/1000)^VLOOKUP(Implements7[[#This Row],[ASABEtype]],$BC$6:$BM$52,3))/Implements7[[#This Row],[Life (yr)]]/Implements7[[#This Row],[Use (hr/yr)]]</f>
        <v>2.2014495196668569</v>
      </c>
      <c r="Y108" s="114">
        <f>Implements7[[#This Row],[Depr ($/hr)]]+Implements7[[#This Row],[OH ($/hr)]]</f>
        <v>5.4041968233871449</v>
      </c>
      <c r="Z108" s="114">
        <f>(Implements7[[#This Row],[PriceP]]-Implements7[[#This Row],[TradeIn$]])/Implements7[[#This Row],[Life (yr)]]/Implements7[[#This Row],[Use (ac/yr)]]</f>
        <v>4.4277018576961431E-2</v>
      </c>
      <c r="AA108" s="114">
        <f>((Implements7[[#This Row],[PriceP]]+Implements7[[#This Row],[TradeIn$]])/2*($BP$7+$BP$8+$BP$9)+Implements7[[#This Row],[Shed (ft^2)]]*$BP$12)/Implements7[[#This Row],[Use (ac/yr)]]</f>
        <v>8.310762083144986E-2</v>
      </c>
      <c r="AB108"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2.2014495196668569</v>
      </c>
      <c r="AC108" s="115">
        <f>$BP$18/(Implements7[[#This Row],[Width]]*Implements7[[#This Row],[Speed]]*Implements7[[#This Row],[Efficiency]])</f>
        <v>2.3571428571428573E-2</v>
      </c>
      <c r="AD108" s="116">
        <f>IF(Implements7[[#This Row],[Use basis]]=$N$128,Implements7[[#This Row],[Ownership costs ($/hr)]],SUM(Implements7[[#This Row],[Depr ($/ac)2]:[OH ($/ac)]]))</f>
        <v>5.4041968233871449</v>
      </c>
      <c r="AE108" s="116"/>
      <c r="AF108" s="116" t="s">
        <v>723</v>
      </c>
      <c r="AG108" s="116"/>
    </row>
    <row r="109" spans="2:52">
      <c r="B109" s="100" t="str">
        <f>Implements7[[#This Row],[Implement type]]&amp;", "&amp;Implements7[[#This Row],[Width]]&amp;" "&amp;Implements7[[#This Row],[Width Unit]]&amp; ", per "&amp;Implements7[[#This Row],[Use basis]]</f>
        <v>Livestock trailer, 6.5  ton cap. 7x20 gooseneck, per hour</v>
      </c>
      <c r="C109" s="105" t="s">
        <v>726</v>
      </c>
      <c r="D109" s="106">
        <v>6.5</v>
      </c>
      <c r="E109" s="105" t="s">
        <v>727</v>
      </c>
      <c r="F109" s="106"/>
      <c r="G109" s="105"/>
      <c r="H109" s="186">
        <v>21000</v>
      </c>
      <c r="I109" s="187">
        <v>0.1</v>
      </c>
      <c r="J109" s="195">
        <f t="shared" ref="J109:J120" si="12">H109/(1-I109)</f>
        <v>23333.333333333332</v>
      </c>
      <c r="K109" s="306">
        <f>VLOOKUP(Implements7[[#This Row],[ASABEtype]],ASABECoefficients8[],4,FALSE)/Implements7[[#This Row],[Use (hr/yr)]]</f>
        <v>15</v>
      </c>
      <c r="L109" s="106">
        <v>200</v>
      </c>
      <c r="M109" s="111">
        <f t="shared" si="11"/>
        <v>7878.787878787879</v>
      </c>
      <c r="N109" s="111" t="s">
        <v>720</v>
      </c>
      <c r="O109" s="106" t="s">
        <v>468</v>
      </c>
      <c r="P109" s="106">
        <v>50</v>
      </c>
      <c r="Q109" s="187">
        <v>1</v>
      </c>
      <c r="R109" s="187">
        <v>1.05</v>
      </c>
      <c r="S109" s="106">
        <v>250</v>
      </c>
      <c r="T109"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0.22376917082458905</v>
      </c>
      <c r="U109" s="113">
        <f>Implements7[[#This Row],[TradeIn%]]*Implements7[[#This Row],[PriceL]]</f>
        <v>5221.2806525737442</v>
      </c>
      <c r="V109" s="114">
        <f>(Implements7[[#This Row],[PriceP]]-Implements7[[#This Row],[TradeIn$]])/Implements7[[#This Row],[Life (yr)]]/Implements7[[#This Row],[Use (hr/yr)]]</f>
        <v>5.2595731158087515</v>
      </c>
      <c r="W109" s="114">
        <f>((Implements7[[#This Row],[PriceP]]+Implements7[[#This Row],[TradeIn$]])/2*($BP$7+$BP$8+$BP$9)+Implements7[[#This Row],[Shed (ft^2)]]*$BP$12)/Implements7[[#This Row],[Use (hr/yr)]]</f>
        <v>7.0129820483382845</v>
      </c>
      <c r="X109" s="114">
        <f>Implements7[[#This Row],[PriceL]]*(VLOOKUP(Implements7[[#This Row],[ASABEtype]],$BC$6:$BM$52,2)*(Implements7[[#This Row],[Life (yr)]]*Implements7[[#This Row],[Use (hr/yr)]]/1000)^VLOOKUP(Implements7[[#This Row],[ASABEtype]],$BC$6:$BM$52,3))/Implements7[[#This Row],[Life (yr)]]/Implements7[[#This Row],[Use (hr/yr)]]</f>
        <v>6.1640586550671976</v>
      </c>
      <c r="Y109" s="114">
        <f>Implements7[[#This Row],[Depr ($/hr)]]+Implements7[[#This Row],[OH ($/hr)]]</f>
        <v>12.272555164147036</v>
      </c>
      <c r="Z109" s="114">
        <f>(Implements7[[#This Row],[PriceP]]-Implements7[[#This Row],[TradeIn$]])/Implements7[[#This Row],[Life (yr)]]/Implements7[[#This Row],[Use (ac/yr)]]</f>
        <v>0.13351224063206832</v>
      </c>
      <c r="AA109" s="114">
        <f>((Implements7[[#This Row],[PriceP]]+Implements7[[#This Row],[TradeIn$]])/2*($BP$7+$BP$8+$BP$9)+Implements7[[#This Row],[Shed (ft^2)]]*$BP$12)/Implements7[[#This Row],[Use (ac/yr)]]</f>
        <v>0.17802185199627951</v>
      </c>
      <c r="AB109"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6.1640586550671976</v>
      </c>
      <c r="AC109" s="115">
        <f>$BP$18/(Implements7[[#This Row],[Width]]*Implements7[[#This Row],[Speed]]*Implements7[[#This Row],[Efficiency]])</f>
        <v>2.5384615384615384E-2</v>
      </c>
      <c r="AD109" s="116">
        <f>IF(Implements7[[#This Row],[Use basis]]=$N$128,Implements7[[#This Row],[Ownership costs ($/hr)]],SUM(Implements7[[#This Row],[Depr ($/ac)2]:[OH ($/ac)]]))</f>
        <v>12.272555164147036</v>
      </c>
      <c r="AE109" s="116"/>
      <c r="AF109" s="116" t="s">
        <v>723</v>
      </c>
      <c r="AG109" s="116"/>
    </row>
    <row r="110" spans="2:52">
      <c r="B110" s="100" t="str">
        <f>Implements7[[#This Row],[Implement type]]&amp;", "&amp;Implements7[[#This Row],[Width]]&amp;" "&amp;Implements7[[#This Row],[Width Unit]]</f>
        <v>Air blast sprayer, 20 Ft</v>
      </c>
      <c r="C110" s="105" t="s">
        <v>844</v>
      </c>
      <c r="D110" s="106">
        <v>20</v>
      </c>
      <c r="E110" s="105" t="s">
        <v>439</v>
      </c>
      <c r="F110" s="106"/>
      <c r="G110" s="106" t="s">
        <v>845</v>
      </c>
      <c r="H110" s="186">
        <v>8000</v>
      </c>
      <c r="I110" s="187">
        <v>0.1</v>
      </c>
      <c r="J110" s="195">
        <f t="shared" si="12"/>
        <v>8888.8888888888887</v>
      </c>
      <c r="K110" s="306">
        <f>VLOOKUP(Implements7[[#This Row],[ASABEtype]],ASABECoefficients8[],4,FALSE)/Implements7[[#This Row],[Use (hr/yr)]]</f>
        <v>40</v>
      </c>
      <c r="L110" s="106">
        <v>50</v>
      </c>
      <c r="M110" s="111">
        <f t="shared" si="11"/>
        <v>127.27272727272727</v>
      </c>
      <c r="N110" s="111" t="s">
        <v>706</v>
      </c>
      <c r="O110" s="106" t="s">
        <v>555</v>
      </c>
      <c r="P110" s="106">
        <v>1.5</v>
      </c>
      <c r="Q110" s="187">
        <v>0.7</v>
      </c>
      <c r="R110" s="187">
        <v>1.25</v>
      </c>
      <c r="S110" s="106">
        <v>100</v>
      </c>
      <c r="T110"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9.153244730977092E-2</v>
      </c>
      <c r="U110" s="113">
        <f>Implements7[[#This Row],[TradeIn%]]*Implements7[[#This Row],[PriceL]]</f>
        <v>813.62175386463036</v>
      </c>
      <c r="V110" s="114">
        <f>(Implements7[[#This Row],[PriceP]]-Implements7[[#This Row],[TradeIn$]])/Implements7[[#This Row],[Life (yr)]]/Implements7[[#This Row],[Use (hr/yr)]]</f>
        <v>3.5931891230676847</v>
      </c>
      <c r="W110" s="117">
        <f>((Implements7[[#This Row],[PriceP]]+Implements7[[#This Row],[TradeIn$]])/2*($BP$7+$BP$8+$BP$9)+Implements7[[#This Row],[Shed (ft^2)]]*$BP$12)/Implements7[[#This Row],[Use (hr/yr)]]</f>
        <v>9.7384931785003488</v>
      </c>
      <c r="X110" s="114">
        <f>Implements7[[#This Row],[PriceL]]*(VLOOKUP(Implements7[[#This Row],[ASABEtype]],$BC$6:$BM$52,2)*(Implements7[[#This Row],[Life (yr)]]*Implements7[[#This Row],[Use (hr/yr)]]/1000)^VLOOKUP(Implements7[[#This Row],[ASABEtype]],$BC$6:$BM$52,3))/Implements7[[#This Row],[Life (yr)]]/Implements7[[#This Row],[Use (hr/yr)]]</f>
        <v>2.6946072293518188</v>
      </c>
      <c r="Y110" s="114">
        <f>Implements7[[#This Row],[Depr ($/hr)]]+Implements7[[#This Row],[OH ($/hr)]]</f>
        <v>13.331682301568033</v>
      </c>
      <c r="Z110" s="114">
        <f>(Implements7[[#This Row],[PriceP]]-Implements7[[#This Row],[TradeIn$]])/Implements7[[#This Row],[Life (yr)]]/Implements7[[#This Row],[Use (ac/yr)]]</f>
        <v>1.4116100126337334</v>
      </c>
      <c r="AA110" s="117">
        <f>((Implements7[[#This Row],[PriceP]]+Implements7[[#This Row],[TradeIn$]])/2*($BP$7+$BP$8+$BP$9)+Implements7[[#This Row],[Shed (ft^2)]]*$BP$12)/Implements7[[#This Row],[Use (ac/yr)]]</f>
        <v>3.8258366058394229</v>
      </c>
      <c r="AB110"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1.0585956972453574</v>
      </c>
      <c r="AC110" s="115">
        <f>$BP$18/(Implements7[[#This Row],[Width]]*Implements7[[#This Row],[Speed]]*Implements7[[#This Row],[Efficiency]])</f>
        <v>0.39285714285714285</v>
      </c>
      <c r="AD110" s="116">
        <f>IF(Implements7[[#This Row],[Use basis]]=$N$128,Implements7[[#This Row],[Ownership costs ($/hr)]],SUM(Implements7[[#This Row],[Depr ($/ac)2]:[OH ($/ac)]]))</f>
        <v>5.2374466184731565</v>
      </c>
      <c r="AE110" s="116"/>
      <c r="AF110" s="116" t="s">
        <v>507</v>
      </c>
      <c r="AG110" s="116"/>
    </row>
    <row r="111" spans="2:52">
      <c r="B111" s="100" t="str">
        <f>Implements7[[#This Row],[Implement type]]&amp;", "&amp;Implements7[[#This Row],[Width]]&amp;" "&amp;Implements7[[#This Row],[Width Unit]]</f>
        <v xml:space="preserve">Flatbed trailer, 7 ton cap.  </v>
      </c>
      <c r="C111" s="105" t="s">
        <v>846</v>
      </c>
      <c r="D111" s="106">
        <v>7</v>
      </c>
      <c r="E111" s="105" t="s">
        <v>847</v>
      </c>
      <c r="F111" s="106"/>
      <c r="G111" s="105"/>
      <c r="H111" s="186">
        <v>6800</v>
      </c>
      <c r="I111" s="187">
        <v>0.15</v>
      </c>
      <c r="J111" s="195">
        <f t="shared" si="12"/>
        <v>8000</v>
      </c>
      <c r="K111" s="306">
        <f>VLOOKUP(Implements7[[#This Row],[ASABEtype]],ASABECoefficients8[],4,FALSE)/Implements7[[#This Row],[Use (hr/yr)]]</f>
        <v>30</v>
      </c>
      <c r="L111" s="106">
        <v>100</v>
      </c>
      <c r="M111" s="111">
        <f t="shared" si="11"/>
        <v>3393.939393939394</v>
      </c>
      <c r="N111" s="111" t="s">
        <v>720</v>
      </c>
      <c r="O111" s="106" t="s">
        <v>468</v>
      </c>
      <c r="P111" s="106">
        <v>40</v>
      </c>
      <c r="Q111" s="187">
        <v>1</v>
      </c>
      <c r="R111" s="187">
        <v>1.05</v>
      </c>
      <c r="S111" s="106">
        <v>220</v>
      </c>
      <c r="T111"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8.8619091711737444E-2</v>
      </c>
      <c r="U111" s="113">
        <f>Implements7[[#This Row],[TradeIn%]]*Implements7[[#This Row],[PriceL]]</f>
        <v>708.95273369389952</v>
      </c>
      <c r="V111" s="114">
        <f>(Implements7[[#This Row],[PriceP]]-Implements7[[#This Row],[TradeIn$]])/Implements7[[#This Row],[Life (yr)]]/Implements7[[#This Row],[Use (hr/yr)]]</f>
        <v>2.0303490887687001</v>
      </c>
      <c r="W111" s="117">
        <f>((Implements7[[#This Row],[PriceP]]+Implements7[[#This Row],[TradeIn$]])/2*($BP$7+$BP$8+$BP$9)+Implements7[[#This Row],[Shed (ft^2)]]*$BP$12)/Implements7[[#This Row],[Use (hr/yr)]]</f>
        <v>5.4549933036227154</v>
      </c>
      <c r="X111" s="114">
        <f>Implements7[[#This Row],[PriceL]]*(VLOOKUP(Implements7[[#This Row],[ASABEtype]],$BC$6:$BM$52,2)*(Implements7[[#This Row],[Life (yr)]]*Implements7[[#This Row],[Use (hr/yr)]]/1000)^VLOOKUP(Implements7[[#This Row],[ASABEtype]],$BC$6:$BM$52,3))/Implements7[[#This Row],[Life (yr)]]/Implements7[[#This Row],[Use (hr/yr)]]</f>
        <v>2.1133915388801823</v>
      </c>
      <c r="Y111" s="114">
        <f>Implements7[[#This Row],[Depr ($/hr)]]+Implements7[[#This Row],[OH ($/hr)]]</f>
        <v>7.4853423923914155</v>
      </c>
      <c r="Z111" s="114">
        <f>(Implements7[[#This Row],[PriceP]]-Implements7[[#This Row],[TradeIn$]])/Implements7[[#This Row],[Life (yr)]]/Implements7[[#This Row],[Use (ac/yr)]]</f>
        <v>5.9822785651220629E-2</v>
      </c>
      <c r="AA111" s="117">
        <f>((Implements7[[#This Row],[PriceP]]+Implements7[[#This Row],[TradeIn$]])/2*($BP$7+$BP$8+$BP$9)+Implements7[[#This Row],[Shed (ft^2)]]*$BP$12)/Implements7[[#This Row],[Use (ac/yr)]]</f>
        <v>0.16072748126745501</v>
      </c>
      <c r="AB111"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2.1133915388801823</v>
      </c>
      <c r="AC111" s="115">
        <f>$BP$18/(Implements7[[#This Row],[Width]]*Implements7[[#This Row],[Speed]]*Implements7[[#This Row],[Efficiency]])</f>
        <v>2.9464285714285714E-2</v>
      </c>
      <c r="AD111" s="116">
        <f>IF(Implements7[[#This Row],[Use basis]]=$N$128,Implements7[[#This Row],[Ownership costs ($/hr)]],SUM(Implements7[[#This Row],[Depr ($/ac)2]:[OH ($/ac)]]))</f>
        <v>7.4853423923914155</v>
      </c>
      <c r="AE111" s="116"/>
      <c r="AF111" s="116" t="s">
        <v>723</v>
      </c>
      <c r="AG111" s="116"/>
    </row>
    <row r="112" spans="2:52">
      <c r="B112" s="100" t="str">
        <f>Implements7[[#This Row],[Implement type]]&amp;", "&amp;Implements7[[#This Row],[Width]]&amp;" "&amp;Implements7[[#This Row],[Width Unit]]</f>
        <v>Finish mower, 7 Ft</v>
      </c>
      <c r="C112" s="105" t="s">
        <v>848</v>
      </c>
      <c r="D112" s="106">
        <v>7</v>
      </c>
      <c r="E112" s="105" t="s">
        <v>439</v>
      </c>
      <c r="F112" s="106"/>
      <c r="G112" s="105"/>
      <c r="H112" s="186">
        <v>3200</v>
      </c>
      <c r="I112" s="187">
        <v>0.2</v>
      </c>
      <c r="J112" s="195">
        <f t="shared" si="12"/>
        <v>4000</v>
      </c>
      <c r="K112" s="306">
        <f>VLOOKUP(Implements7[[#This Row],[ASABEtype]],ASABECoefficients8[],4,FALSE)/Implements7[[#This Row],[Use (hr/yr)]]</f>
        <v>40</v>
      </c>
      <c r="L112" s="106">
        <v>50</v>
      </c>
      <c r="M112" s="111">
        <f t="shared" si="11"/>
        <v>144.24242424242425</v>
      </c>
      <c r="N112" s="111" t="s">
        <v>706</v>
      </c>
      <c r="O112" s="106" t="s">
        <v>470</v>
      </c>
      <c r="P112" s="106">
        <v>4</v>
      </c>
      <c r="Q112" s="187">
        <v>0.85</v>
      </c>
      <c r="R112" s="187">
        <v>1.05</v>
      </c>
      <c r="S112" s="106">
        <v>50</v>
      </c>
      <c r="T112"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8.1508141810376536E-2</v>
      </c>
      <c r="U112" s="113">
        <f>Implements7[[#This Row],[TradeIn%]]*Implements7[[#This Row],[PriceL]]</f>
        <v>326.03256724150617</v>
      </c>
      <c r="V112" s="114">
        <f>(Implements7[[#This Row],[PriceP]]-Implements7[[#This Row],[TradeIn$]])/Implements7[[#This Row],[Life (yr)]]/Implements7[[#This Row],[Use (hr/yr)]]</f>
        <v>1.4369837163792472</v>
      </c>
      <c r="W112" s="117">
        <f>((Implements7[[#This Row],[PriceP]]+Implements7[[#This Row],[TradeIn$]])/2*($BP$7+$BP$8+$BP$9)+Implements7[[#This Row],[Shed (ft^2)]]*$BP$12)/Implements7[[#This Row],[Use (hr/yr)]]</f>
        <v>4.0897577851738074</v>
      </c>
      <c r="X112" s="114">
        <f>Implements7[[#This Row],[PriceL]]*(VLOOKUP(Implements7[[#This Row],[ASABEtype]],$BC$6:$BM$52,2)*(Implements7[[#This Row],[Life (yr)]]*Implements7[[#This Row],[Use (hr/yr)]]/1000)^VLOOKUP(Implements7[[#This Row],[ASABEtype]],$BC$6:$BM$52,3))/Implements7[[#This Row],[Life (yr)]]/Implements7[[#This Row],[Use (hr/yr)]]</f>
        <v>3.52</v>
      </c>
      <c r="Y112" s="114">
        <f>Implements7[[#This Row],[Depr ($/hr)]]+Implements7[[#This Row],[OH ($/hr)]]</f>
        <v>5.5267415015530545</v>
      </c>
      <c r="Z112" s="114">
        <f>(Implements7[[#This Row],[PriceP]]-Implements7[[#This Row],[TradeIn$]])/Implements7[[#This Row],[Life (yr)]]/Implements7[[#This Row],[Use (ac/yr)]]</f>
        <v>0.49811410336675577</v>
      </c>
      <c r="AA112" s="117">
        <f>((Implements7[[#This Row],[PriceP]]+Implements7[[#This Row],[TradeIn$]])/2*($BP$7+$BP$8+$BP$9)+Implements7[[#This Row],[Shed (ft^2)]]*$BP$12)/Implements7[[#This Row],[Use (ac/yr)]]</f>
        <v>1.4176681398186517</v>
      </c>
      <c r="AB112"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1.2201680672268906</v>
      </c>
      <c r="AC112" s="115">
        <f>$BP$18/(Implements7[[#This Row],[Width]]*Implements7[[#This Row],[Speed]]*Implements7[[#This Row],[Efficiency]])</f>
        <v>0.34663865546218486</v>
      </c>
      <c r="AD112" s="116">
        <f>IF(Implements7[[#This Row],[Use basis]]=$N$128,Implements7[[#This Row],[Ownership costs ($/hr)]],SUM(Implements7[[#This Row],[Depr ($/ac)2]:[OH ($/ac)]]))</f>
        <v>1.9157822431854075</v>
      </c>
      <c r="AE112" s="116"/>
      <c r="AF112" s="116" t="s">
        <v>493</v>
      </c>
      <c r="AG112" s="116"/>
    </row>
    <row r="113" spans="2:33">
      <c r="B113" s="100" t="str">
        <f>Implements7[[#This Row],[Implement type]]&amp;", "&amp;Implements7[[#This Row],[Width]]&amp;" "&amp;Implements7[[#This Row],[Width Unit]]</f>
        <v>Fertilizer spreader, 20 Ft</v>
      </c>
      <c r="C113" s="105" t="s">
        <v>442</v>
      </c>
      <c r="D113" s="106">
        <v>20</v>
      </c>
      <c r="E113" s="105" t="s">
        <v>439</v>
      </c>
      <c r="F113" s="106"/>
      <c r="G113" s="105" t="s">
        <v>849</v>
      </c>
      <c r="H113" s="186">
        <v>780</v>
      </c>
      <c r="I113" s="187">
        <v>0.1</v>
      </c>
      <c r="J113" s="195">
        <f t="shared" si="12"/>
        <v>866.66666666666663</v>
      </c>
      <c r="K113" s="306">
        <f>VLOOKUP(Implements7[[#This Row],[ASABEtype]],ASABECoefficients8[],4,FALSE)/Implements7[[#This Row],[Use (hr/yr)]]</f>
        <v>24</v>
      </c>
      <c r="L113" s="106">
        <v>50</v>
      </c>
      <c r="M113" s="111">
        <f t="shared" si="11"/>
        <v>581.81818181818187</v>
      </c>
      <c r="N113" s="111" t="s">
        <v>706</v>
      </c>
      <c r="O113" s="106" t="s">
        <v>442</v>
      </c>
      <c r="P113" s="106">
        <v>6</v>
      </c>
      <c r="Q113" s="187">
        <v>0.8</v>
      </c>
      <c r="R113" s="187">
        <v>1.1000000000000001</v>
      </c>
      <c r="S113" s="106">
        <v>6</v>
      </c>
      <c r="T113"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0.12231260378398887</v>
      </c>
      <c r="U113" s="113">
        <f>Implements7[[#This Row],[TradeIn%]]*Implements7[[#This Row],[PriceL]]</f>
        <v>106.00425661279034</v>
      </c>
      <c r="V113" s="114">
        <f>(Implements7[[#This Row],[PriceP]]-Implements7[[#This Row],[TradeIn$]])/Implements7[[#This Row],[Life (yr)]]/Implements7[[#This Row],[Use (hr/yr)]]</f>
        <v>0.56166311948934144</v>
      </c>
      <c r="W113" s="117">
        <f>((Implements7[[#This Row],[PriceP]]+Implements7[[#This Row],[TradeIn$]])/2*($BP$7+$BP$8+$BP$9)+Implements7[[#This Row],[Shed (ft^2)]]*$BP$12)/Implements7[[#This Row],[Use (hr/yr)]]</f>
        <v>0.90042004268212839</v>
      </c>
      <c r="X113" s="114">
        <f>Implements7[[#This Row],[PriceL]]*(VLOOKUP(Implements7[[#This Row],[ASABEtype]],$BC$6:$BM$52,2)*(Implements7[[#This Row],[Life (yr)]]*Implements7[[#This Row],[Use (hr/yr)]]/1000)^VLOOKUP(Implements7[[#This Row],[ASABEtype]],$BC$6:$BM$52,3))/Implements7[[#This Row],[Life (yr)]]/Implements7[[#This Row],[Use (hr/yr)]]</f>
        <v>0.57669610276783489</v>
      </c>
      <c r="Y113" s="114">
        <f>Implements7[[#This Row],[Depr ($/hr)]]+Implements7[[#This Row],[OH ($/hr)]]</f>
        <v>1.4620831621714698</v>
      </c>
      <c r="Z113" s="114">
        <f>(Implements7[[#This Row],[PriceP]]-Implements7[[#This Row],[TradeIn$]])/Implements7[[#This Row],[Life (yr)]]/Implements7[[#This Row],[Use (ac/yr)]]</f>
        <v>4.8267924331115278E-2</v>
      </c>
      <c r="AA113" s="117">
        <f>((Implements7[[#This Row],[PriceP]]+Implements7[[#This Row],[TradeIn$]])/2*($BP$7+$BP$8+$BP$9)+Implements7[[#This Row],[Shed (ft^2)]]*$BP$12)/Implements7[[#This Row],[Use (ac/yr)]]</f>
        <v>7.7379847417995404E-2</v>
      </c>
      <c r="AB113"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4.9559821331610812E-2</v>
      </c>
      <c r="AC113" s="115">
        <f>$BP$18/(Implements7[[#This Row],[Width]]*Implements7[[#This Row],[Speed]]*Implements7[[#This Row],[Efficiency]])</f>
        <v>8.59375E-2</v>
      </c>
      <c r="AD113" s="116">
        <f>IF(Implements7[[#This Row],[Use basis]]=$N$128,Implements7[[#This Row],[Ownership costs ($/hr)]],SUM(Implements7[[#This Row],[Depr ($/ac)2]:[OH ($/ac)]]))</f>
        <v>0.12564777174911068</v>
      </c>
      <c r="AE113" s="116"/>
      <c r="AF113" s="116" t="s">
        <v>694</v>
      </c>
      <c r="AG113" s="116"/>
    </row>
    <row r="114" spans="2:33">
      <c r="B114" s="100" t="str">
        <f>Implements7[[#This Row],[Implement type]]&amp;", "&amp;Implements7[[#This Row],[Width]]&amp;" "&amp;Implements7[[#This Row],[Width Unit]]</f>
        <v>Fertilizer spreader, 40 Ft</v>
      </c>
      <c r="C114" s="105" t="s">
        <v>442</v>
      </c>
      <c r="D114" s="106">
        <v>40</v>
      </c>
      <c r="E114" s="105" t="s">
        <v>439</v>
      </c>
      <c r="F114" s="106"/>
      <c r="G114" s="105" t="s">
        <v>850</v>
      </c>
      <c r="H114" s="186">
        <v>18750</v>
      </c>
      <c r="I114" s="187">
        <v>0.1</v>
      </c>
      <c r="J114" s="195">
        <f t="shared" si="12"/>
        <v>20833.333333333332</v>
      </c>
      <c r="K114" s="306">
        <f>VLOOKUP(Implements7[[#This Row],[ASABEtype]],ASABECoefficients8[],4,FALSE)/Implements7[[#This Row],[Use (hr/yr)]]</f>
        <v>12</v>
      </c>
      <c r="L114" s="106">
        <v>100</v>
      </c>
      <c r="M114" s="111">
        <f t="shared" si="11"/>
        <v>3103.030303030303</v>
      </c>
      <c r="N114" s="111" t="s">
        <v>706</v>
      </c>
      <c r="O114" s="106" t="s">
        <v>442</v>
      </c>
      <c r="P114" s="106">
        <v>8</v>
      </c>
      <c r="Q114" s="187">
        <v>0.8</v>
      </c>
      <c r="R114" s="187">
        <v>1.1000000000000001</v>
      </c>
      <c r="S114" s="106">
        <v>150</v>
      </c>
      <c r="T114"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0.28244357578252999</v>
      </c>
      <c r="U114" s="113">
        <f>Implements7[[#This Row],[TradeIn%]]*Implements7[[#This Row],[PriceL]]</f>
        <v>5884.2411621360407</v>
      </c>
      <c r="V114" s="114">
        <f>(Implements7[[#This Row],[PriceP]]-Implements7[[#This Row],[TradeIn$]])/Implements7[[#This Row],[Life (yr)]]/Implements7[[#This Row],[Use (hr/yr)]]</f>
        <v>10.721465698219966</v>
      </c>
      <c r="W114" s="117">
        <f>((Implements7[[#This Row],[PriceP]]+Implements7[[#This Row],[TradeIn$]])/2*($BP$7+$BP$8+$BP$9)+Implements7[[#This Row],[Shed (ft^2)]]*$BP$12)/Implements7[[#This Row],[Use (hr/yr)]]</f>
        <v>12.354480158992811</v>
      </c>
      <c r="X114" s="114">
        <f>Implements7[[#This Row],[PriceL]]*(VLOOKUP(Implements7[[#This Row],[ASABEtype]],$BC$6:$BM$52,2)*(Implements7[[#This Row],[Life (yr)]]*Implements7[[#This Row],[Use (hr/yr)]]/1000)^VLOOKUP(Implements7[[#This Row],[ASABEtype]],$BC$6:$BM$52,3))/Implements7[[#This Row],[Life (yr)]]/Implements7[[#This Row],[Use (hr/yr)]]</f>
        <v>13.862887085765262</v>
      </c>
      <c r="Y114" s="114">
        <f>Implements7[[#This Row],[Depr ($/hr)]]+Implements7[[#This Row],[OH ($/hr)]]</f>
        <v>23.075945857212776</v>
      </c>
      <c r="Z114" s="114">
        <f>(Implements7[[#This Row],[PriceP]]-Implements7[[#This Row],[TradeIn$]])/Implements7[[#This Row],[Life (yr)]]/Implements7[[#This Row],[Use (ac/yr)]]</f>
        <v>0.34551598441529185</v>
      </c>
      <c r="AA114" s="117">
        <f>((Implements7[[#This Row],[PriceP]]+Implements7[[#This Row],[TradeIn$]])/2*($BP$7+$BP$8+$BP$9)+Implements7[[#This Row],[Shed (ft^2)]]*$BP$12)/Implements7[[#This Row],[Use (ac/yr)]]</f>
        <v>0.39814242699879177</v>
      </c>
      <c r="AB114"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0.44675319709985711</v>
      </c>
      <c r="AC114" s="115">
        <f>$BP$18/(Implements7[[#This Row],[Width]]*Implements7[[#This Row],[Speed]]*Implements7[[#This Row],[Efficiency]])</f>
        <v>3.22265625E-2</v>
      </c>
      <c r="AD114" s="116">
        <f>IF(Implements7[[#This Row],[Use basis]]=$N$128,Implements7[[#This Row],[Ownership costs ($/hr)]],SUM(Implements7[[#This Row],[Depr ($/ac)2]:[OH ($/ac)]]))</f>
        <v>0.74365841141408362</v>
      </c>
      <c r="AE114" s="116"/>
      <c r="AF114" s="116" t="s">
        <v>694</v>
      </c>
      <c r="AG114" s="116"/>
    </row>
    <row r="115" spans="2:33">
      <c r="B115" s="100" t="str">
        <f>Implements7[[#This Row],[Implement type]]&amp;", "&amp;Implements7[[#This Row],[Width]]&amp;" "&amp;Implements7[[#This Row],[Width Unit]]</f>
        <v>Fertilizer spreader, 60 Ft</v>
      </c>
      <c r="C115" s="105" t="s">
        <v>442</v>
      </c>
      <c r="D115" s="106">
        <v>60</v>
      </c>
      <c r="E115" s="105" t="s">
        <v>439</v>
      </c>
      <c r="F115" s="106"/>
      <c r="G115" s="105" t="s">
        <v>851</v>
      </c>
      <c r="H115" s="186">
        <v>48500</v>
      </c>
      <c r="I115" s="187">
        <v>0.1</v>
      </c>
      <c r="J115" s="195">
        <f t="shared" si="12"/>
        <v>53888.888888888891</v>
      </c>
      <c r="K115" s="306">
        <f>VLOOKUP(Implements7[[#This Row],[ASABEtype]],ASABECoefficients8[],4,FALSE)/Implements7[[#This Row],[Use (hr/yr)]]</f>
        <v>6</v>
      </c>
      <c r="L115" s="106">
        <v>200</v>
      </c>
      <c r="M115" s="111">
        <f t="shared" si="11"/>
        <v>9309.0909090909099</v>
      </c>
      <c r="N115" s="111" t="s">
        <v>706</v>
      </c>
      <c r="O115" s="106" t="s">
        <v>442</v>
      </c>
      <c r="P115" s="106">
        <v>8</v>
      </c>
      <c r="Q115" s="187">
        <v>0.8</v>
      </c>
      <c r="R115" s="187">
        <v>1.1000000000000001</v>
      </c>
      <c r="S115" s="106">
        <v>180</v>
      </c>
      <c r="T115"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0.43690269820173988</v>
      </c>
      <c r="U115" s="113">
        <f>Implements7[[#This Row],[TradeIn%]]*Implements7[[#This Row],[PriceL]]</f>
        <v>23544.200958649315</v>
      </c>
      <c r="V115" s="114">
        <f>(Implements7[[#This Row],[PriceP]]-Implements7[[#This Row],[TradeIn$]])/Implements7[[#This Row],[Life (yr)]]/Implements7[[#This Row],[Use (hr/yr)]]</f>
        <v>20.79649920112557</v>
      </c>
      <c r="W115" s="117">
        <f>((Implements7[[#This Row],[PriceP]]+Implements7[[#This Row],[TradeIn$]])/2*($BP$7+$BP$8+$BP$9)+Implements7[[#This Row],[Shed (ft^2)]]*$BP$12)/Implements7[[#This Row],[Use (hr/yr)]]</f>
        <v>16.812076528949728</v>
      </c>
      <c r="X115" s="114">
        <f>Implements7[[#This Row],[PriceL]]*(VLOOKUP(Implements7[[#This Row],[ASABEtype]],$BC$6:$BM$52,2)*(Implements7[[#This Row],[Life (yr)]]*Implements7[[#This Row],[Use (hr/yr)]]/1000)^VLOOKUP(Implements7[[#This Row],[ASABEtype]],$BC$6:$BM$52,3))/Implements7[[#This Row],[Life (yr)]]/Implements7[[#This Row],[Use (hr/yr)]]</f>
        <v>35.858667928512816</v>
      </c>
      <c r="Y115" s="114">
        <f>Implements7[[#This Row],[Depr ($/hr)]]+Implements7[[#This Row],[OH ($/hr)]]</f>
        <v>37.608575730075302</v>
      </c>
      <c r="Z115" s="114">
        <f>(Implements7[[#This Row],[PriceP]]-Implements7[[#This Row],[TradeIn$]])/Implements7[[#This Row],[Life (yr)]]/Implements7[[#This Row],[Use (ac/yr)]]</f>
        <v>0.44679978752418215</v>
      </c>
      <c r="AA115" s="117">
        <f>((Implements7[[#This Row],[PriceP]]+Implements7[[#This Row],[TradeIn$]])/2*($BP$7+$BP$8+$BP$9)+Implements7[[#This Row],[Shed (ft^2)]]*$BP$12)/Implements7[[#This Row],[Use (ac/yr)]]</f>
        <v>0.36119695667665425</v>
      </c>
      <c r="AB115"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0.77040106877664249</v>
      </c>
      <c r="AC115" s="115">
        <f>$BP$18/(Implements7[[#This Row],[Width]]*Implements7[[#This Row],[Speed]]*Implements7[[#This Row],[Efficiency]])</f>
        <v>2.1484375E-2</v>
      </c>
      <c r="AD115" s="116">
        <f>IF(Implements7[[#This Row],[Use basis]]=$N$128,Implements7[[#This Row],[Ownership costs ($/hr)]],SUM(Implements7[[#This Row],[Depr ($/ac)2]:[OH ($/ac)]]))</f>
        <v>0.80799674420083645</v>
      </c>
      <c r="AE115" s="116"/>
      <c r="AF115" s="116" t="s">
        <v>694</v>
      </c>
      <c r="AG115" s="116"/>
    </row>
    <row r="116" spans="2:33">
      <c r="B116" s="100" t="str">
        <f>Implements7[[#This Row],[Implement type]]&amp;", "&amp;Implements7[[#This Row],[Width]]&amp;" "&amp;Implements7[[#This Row],[Width Unit]]</f>
        <v>Air boom spreader, 80 Ft</v>
      </c>
      <c r="C116" s="105" t="s">
        <v>852</v>
      </c>
      <c r="D116" s="106">
        <v>80</v>
      </c>
      <c r="E116" s="105" t="s">
        <v>439</v>
      </c>
      <c r="F116" s="106"/>
      <c r="G116" s="105" t="s">
        <v>853</v>
      </c>
      <c r="H116" s="186">
        <v>175000</v>
      </c>
      <c r="I116" s="187">
        <v>0.1</v>
      </c>
      <c r="J116" s="195">
        <f t="shared" si="12"/>
        <v>194444.44444444444</v>
      </c>
      <c r="K116" s="306">
        <f>VLOOKUP(Implements7[[#This Row],[ASABEtype]],ASABECoefficients8[],4,FALSE)/Implements7[[#This Row],[Use (hr/yr)]]</f>
        <v>6</v>
      </c>
      <c r="L116" s="106">
        <v>200</v>
      </c>
      <c r="M116" s="111">
        <f t="shared" si="11"/>
        <v>15515.151515151516</v>
      </c>
      <c r="N116" s="111" t="s">
        <v>706</v>
      </c>
      <c r="O116" s="106" t="s">
        <v>442</v>
      </c>
      <c r="P116" s="106">
        <v>10</v>
      </c>
      <c r="Q116" s="187">
        <v>0.8</v>
      </c>
      <c r="R116" s="187">
        <v>1.1000000000000001</v>
      </c>
      <c r="S116" s="106">
        <v>250</v>
      </c>
      <c r="T116"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0.43690269820173988</v>
      </c>
      <c r="U116" s="113">
        <f>Implements7[[#This Row],[TradeIn%]]*Implements7[[#This Row],[PriceL]]</f>
        <v>84953.302428116091</v>
      </c>
      <c r="V116" s="114">
        <f>(Implements7[[#This Row],[PriceP]]-Implements7[[#This Row],[TradeIn$]])/Implements7[[#This Row],[Life (yr)]]/Implements7[[#This Row],[Use (hr/yr)]]</f>
        <v>75.038914643236595</v>
      </c>
      <c r="W116" s="117">
        <f>((Implements7[[#This Row],[PriceP]]+Implements7[[#This Row],[TradeIn$]])/2*($BP$7+$BP$8+$BP$9)+Implements7[[#This Row],[Shed (ft^2)]]*$BP$12)/Implements7[[#This Row],[Use (hr/yr)]]</f>
        <v>58.726191866177025</v>
      </c>
      <c r="X116" s="114">
        <f>Implements7[[#This Row],[PriceL]]*(VLOOKUP(Implements7[[#This Row],[ASABEtype]],$BC$6:$BM$52,2)*(Implements7[[#This Row],[Life (yr)]]*Implements7[[#This Row],[Use (hr/yr)]]/1000)^VLOOKUP(Implements7[[#This Row],[ASABEtype]],$BC$6:$BM$52,3))/Implements7[[#This Row],[Life (yr)]]/Implements7[[#This Row],[Use (hr/yr)]]</f>
        <v>129.38694613380912</v>
      </c>
      <c r="Y116" s="114">
        <f>Implements7[[#This Row],[Depr ($/hr)]]+Implements7[[#This Row],[OH ($/hr)]]</f>
        <v>133.76510650941361</v>
      </c>
      <c r="Z116" s="114">
        <f>(Implements7[[#This Row],[PriceP]]-Implements7[[#This Row],[TradeIn$]])/Implements7[[#This Row],[Life (yr)]]/Implements7[[#This Row],[Use (ac/yr)]]</f>
        <v>0.96729850907297166</v>
      </c>
      <c r="AA116" s="117">
        <f>((Implements7[[#This Row],[PriceP]]+Implements7[[#This Row],[TradeIn$]])/2*($BP$7+$BP$8+$BP$9)+Implements7[[#This Row],[Shed (ft^2)]]*$BP$12)/Implements7[[#This Row],[Use (ac/yr)]]</f>
        <v>0.75701731702493813</v>
      </c>
      <c r="AB116"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1.6678786025061332</v>
      </c>
      <c r="AC116" s="115">
        <f>$BP$18/(Implements7[[#This Row],[Width]]*Implements7[[#This Row],[Speed]]*Implements7[[#This Row],[Efficiency]])</f>
        <v>1.2890624999999999E-2</v>
      </c>
      <c r="AD116" s="116">
        <f>IF(Implements7[[#This Row],[Use basis]]=$N$128,Implements7[[#This Row],[Ownership costs ($/hr)]],SUM(Implements7[[#This Row],[Depr ($/ac)2]:[OH ($/ac)]]))</f>
        <v>1.7243158260979099</v>
      </c>
      <c r="AE116" s="116"/>
      <c r="AF116" s="116" t="s">
        <v>694</v>
      </c>
      <c r="AG116" s="116"/>
    </row>
    <row r="117" spans="2:33">
      <c r="B117" s="100" t="str">
        <f>Implements7[[#This Row],[Implement type]]&amp;", "&amp;Implements7[[#This Row],[Width]]&amp;" "&amp;Implements7[[#This Row],[Width Unit]]</f>
        <v xml:space="preserve">Boomless sprayer, 15 Ft. </v>
      </c>
      <c r="C117" s="105" t="s">
        <v>854</v>
      </c>
      <c r="D117" s="106">
        <v>15</v>
      </c>
      <c r="E117" s="105" t="s">
        <v>855</v>
      </c>
      <c r="F117" s="106"/>
      <c r="G117" s="105" t="s">
        <v>856</v>
      </c>
      <c r="H117" s="186">
        <v>2700</v>
      </c>
      <c r="I117" s="187">
        <v>0.1</v>
      </c>
      <c r="J117" s="195">
        <f t="shared" si="12"/>
        <v>3000</v>
      </c>
      <c r="K117" s="306">
        <f>VLOOKUP(Implements7[[#This Row],[ASABEtype]],ASABECoefficients8[],4,FALSE)/Implements7[[#This Row],[Use (hr/yr)]]</f>
        <v>75</v>
      </c>
      <c r="L117" s="106">
        <v>20</v>
      </c>
      <c r="M117" s="111">
        <f t="shared" si="11"/>
        <v>76.363636363636346</v>
      </c>
      <c r="N117" s="111" t="s">
        <v>706</v>
      </c>
      <c r="O117" s="106" t="s">
        <v>506</v>
      </c>
      <c r="P117" s="106">
        <v>3</v>
      </c>
      <c r="Q117" s="187">
        <v>0.7</v>
      </c>
      <c r="R117" s="187">
        <v>1.25</v>
      </c>
      <c r="S117" s="106">
        <v>40</v>
      </c>
      <c r="T117"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4.4923949483343176E-3</v>
      </c>
      <c r="U117" s="113">
        <f>Implements7[[#This Row],[TradeIn%]]*Implements7[[#This Row],[PriceL]]</f>
        <v>13.477184845002952</v>
      </c>
      <c r="V117" s="114">
        <f>(Implements7[[#This Row],[PriceP]]-Implements7[[#This Row],[TradeIn$]])/Implements7[[#This Row],[Life (yr)]]/Implements7[[#This Row],[Use (hr/yr)]]</f>
        <v>1.7910152101033314</v>
      </c>
      <c r="W117" s="117">
        <f>((Implements7[[#This Row],[PriceP]]+Implements7[[#This Row],[TradeIn$]])/2*($BP$7+$BP$8+$BP$9)+Implements7[[#This Row],[Shed (ft^2)]]*$BP$12)/Implements7[[#This Row],[Use (hr/yr)]]</f>
        <v>7.9420061977997189</v>
      </c>
      <c r="X117" s="114">
        <f>Implements7[[#This Row],[PriceL]]*(VLOOKUP(Implements7[[#This Row],[ASABEtype]],$BC$6:$BM$52,2)*(Implements7[[#This Row],[Life (yr)]]*Implements7[[#This Row],[Use (hr/yr)]]/1000)^VLOOKUP(Implements7[[#This Row],[ASABEtype]],$BC$6:$BM$52,3))/Implements7[[#This Row],[Life (yr)]]/Implements7[[#This Row],[Use (hr/yr)]]</f>
        <v>1.3890967306119322</v>
      </c>
      <c r="Y117" s="114">
        <f>Implements7[[#This Row],[Depr ($/hr)]]+Implements7[[#This Row],[OH ($/hr)]]</f>
        <v>9.7330214079030508</v>
      </c>
      <c r="Z117" s="114">
        <f>(Implements7[[#This Row],[PriceP]]-Implements7[[#This Row],[TradeIn$]])/Implements7[[#This Row],[Life (yr)]]/Implements7[[#This Row],[Use (ac/yr)]]</f>
        <v>0.46907541216992027</v>
      </c>
      <c r="AA117" s="117">
        <f>((Implements7[[#This Row],[PriceP]]+Implements7[[#This Row],[TradeIn$]])/2*($BP$7+$BP$8+$BP$9)+Implements7[[#This Row],[Shed (ft^2)]]*$BP$12)/Implements7[[#This Row],[Use (ac/yr)]]</f>
        <v>2.0800492422808792</v>
      </c>
      <c r="AB117"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0.36381104849360135</v>
      </c>
      <c r="AC117" s="115">
        <f>$BP$18/(Implements7[[#This Row],[Width]]*Implements7[[#This Row],[Speed]]*Implements7[[#This Row],[Efficiency]])</f>
        <v>0.26190476190476192</v>
      </c>
      <c r="AD117" s="116">
        <f>IF(Implements7[[#This Row],[Use basis]]=$N$128,Implements7[[#This Row],[Ownership costs ($/hr)]],SUM(Implements7[[#This Row],[Depr ($/ac)2]:[OH ($/ac)]]))</f>
        <v>2.5491246544507993</v>
      </c>
      <c r="AE117" s="116"/>
      <c r="AF117" s="116" t="s">
        <v>507</v>
      </c>
      <c r="AG117" s="116"/>
    </row>
    <row r="118" spans="2:33">
      <c r="B118" s="100" t="str">
        <f>Implements7[[#This Row],[Implement type]]&amp;", "&amp;Implements7[[#This Row],[Width]]&amp;" "&amp;Implements7[[#This Row],[Width Unit]]</f>
        <v xml:space="preserve">Orchard work platform,  </v>
      </c>
      <c r="C118" s="105" t="s">
        <v>857</v>
      </c>
      <c r="D118" s="106"/>
      <c r="E118" s="105"/>
      <c r="F118" s="106"/>
      <c r="G118" s="105" t="s">
        <v>858</v>
      </c>
      <c r="H118" s="186">
        <v>22500</v>
      </c>
      <c r="I118" s="187">
        <v>0.1</v>
      </c>
      <c r="J118" s="195">
        <f t="shared" si="12"/>
        <v>25000</v>
      </c>
      <c r="K118" s="306">
        <f>VLOOKUP(Implements7[[#This Row],[ASABEtype]],ASABECoefficients8[],4,FALSE)/Implements7[[#This Row],[Use (hr/yr)]]</f>
        <v>4</v>
      </c>
      <c r="L118" s="106">
        <v>500</v>
      </c>
      <c r="M118" s="111">
        <f t="shared" si="11"/>
        <v>0</v>
      </c>
      <c r="N118" s="111" t="s">
        <v>720</v>
      </c>
      <c r="O118" s="106" t="s">
        <v>580</v>
      </c>
      <c r="P118" s="106">
        <v>4</v>
      </c>
      <c r="Q118" s="187">
        <v>0.85</v>
      </c>
      <c r="R118" s="187">
        <v>1.2</v>
      </c>
      <c r="S118" s="106">
        <v>200</v>
      </c>
      <c r="T118" s="112">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0.46165897396399175</v>
      </c>
      <c r="U118" s="113">
        <f>Implements7[[#This Row],[TradeIn%]]*Implements7[[#This Row],[PriceL]]</f>
        <v>11541.474349099793</v>
      </c>
      <c r="V118" s="114">
        <f>(Implements7[[#This Row],[PriceP]]-Implements7[[#This Row],[TradeIn$]])/Implements7[[#This Row],[Life (yr)]]/Implements7[[#This Row],[Use (hr/yr)]]</f>
        <v>5.4792628254501032</v>
      </c>
      <c r="W118" s="117">
        <f>((Implements7[[#This Row],[PriceP]]+Implements7[[#This Row],[TradeIn$]])/2*($BP$7+$BP$8+$BP$9)+Implements7[[#This Row],[Shed (ft^2)]]*$BP$12)/Implements7[[#This Row],[Use (hr/yr)]]</f>
        <v>3.4003580651613614</v>
      </c>
      <c r="X118" s="114">
        <f>Implements7[[#This Row],[PriceL]]*(VLOOKUP(Implements7[[#This Row],[ASABEtype]],$BC$6:$BM$52,2)*(Implements7[[#This Row],[Life (yr)]]*Implements7[[#This Row],[Use (hr/yr)]]/1000)^VLOOKUP(Implements7[[#This Row],[ASABEtype]],$BC$6:$BM$52,3))/Implements7[[#This Row],[Life (yr)]]/Implements7[[#This Row],[Use (hr/yr)]]</f>
        <v>6.062866266041592</v>
      </c>
      <c r="Y118" s="114">
        <f>Implements7[[#This Row],[Depr ($/hr)]]+Implements7[[#This Row],[OH ($/hr)]]</f>
        <v>8.8796208906114646</v>
      </c>
      <c r="Z118" s="114" t="e">
        <f>(Implements7[[#This Row],[PriceP]]-Implements7[[#This Row],[TradeIn$]])/Implements7[[#This Row],[Life (yr)]]/Implements7[[#This Row],[Use (ac/yr)]]</f>
        <v>#DIV/0!</v>
      </c>
      <c r="AA118" s="117" t="e">
        <f>((Implements7[[#This Row],[PriceP]]+Implements7[[#This Row],[TradeIn$]])/2*($BP$7+$BP$8+$BP$9)+Implements7[[#This Row],[Shed (ft^2)]]*$BP$12)/Implements7[[#This Row],[Use (ac/yr)]]</f>
        <v>#DIV/0!</v>
      </c>
      <c r="AB118" s="196">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6.062866266041592</v>
      </c>
      <c r="AC118" s="115" t="e">
        <f>$BP$18/(Implements7[[#This Row],[Width]]*Implements7[[#This Row],[Speed]]*Implements7[[#This Row],[Efficiency]])</f>
        <v>#DIV/0!</v>
      </c>
      <c r="AD118" s="116">
        <f>IF(Implements7[[#This Row],[Use basis]]=$N$128,Implements7[[#This Row],[Ownership costs ($/hr)]],SUM(Implements7[[#This Row],[Depr ($/ac)2]:[OH ($/ac)]]))</f>
        <v>8.8796208906114646</v>
      </c>
      <c r="AE118" s="116"/>
      <c r="AF118" s="116" t="s">
        <v>723</v>
      </c>
      <c r="AG118" s="116"/>
    </row>
    <row r="119" spans="2:33">
      <c r="B119" s="100" t="str">
        <f>Implements7[[#This Row],[Implement type]]&amp;", "&amp;Implements7[[#This Row],[Width]]&amp;" "&amp;Implements7[[#This Row],[Width Unit]]</f>
        <v xml:space="preserve">,  </v>
      </c>
      <c r="C119" s="105"/>
      <c r="D119" s="106"/>
      <c r="E119" s="105"/>
      <c r="F119" s="106"/>
      <c r="G119" s="105"/>
      <c r="H119" s="186"/>
      <c r="I119" s="187"/>
      <c r="J119" s="195">
        <f t="shared" si="12"/>
        <v>0</v>
      </c>
      <c r="K119" s="306" t="e">
        <f>VLOOKUP(Implements7[[#This Row],[ASABEtype]],ASABECoefficients8[],4,FALSE)/Implements7[[#This Row],[Use (hr/yr)]]</f>
        <v>#N/A</v>
      </c>
      <c r="L119" s="106"/>
      <c r="M119" s="111">
        <f t="shared" si="11"/>
        <v>0</v>
      </c>
      <c r="N119" s="111"/>
      <c r="O119" s="106"/>
      <c r="P119" s="106"/>
      <c r="Q119" s="187"/>
      <c r="R119" s="187"/>
      <c r="S119" s="106"/>
      <c r="T119" s="112" t="e">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#N/A</v>
      </c>
      <c r="U119" s="113" t="e">
        <f>Implements7[[#This Row],[TradeIn%]]*Implements7[[#This Row],[PriceL]]</f>
        <v>#N/A</v>
      </c>
      <c r="V119" s="114" t="e">
        <f>(Implements7[[#This Row],[PriceP]]-Implements7[[#This Row],[TradeIn$]])/Implements7[[#This Row],[Life (yr)]]/Implements7[[#This Row],[Use (hr/yr)]]</f>
        <v>#N/A</v>
      </c>
      <c r="W119" s="117" t="e">
        <f>((Implements7[[#This Row],[PriceP]]+Implements7[[#This Row],[TradeIn$]])/2*($BP$7+$BP$8+$BP$9)+Implements7[[#This Row],[Shed (ft^2)]]*$BP$12)/Implements7[[#This Row],[Use (hr/yr)]]</f>
        <v>#N/A</v>
      </c>
      <c r="X119" s="114" t="e">
        <f>Implements7[[#This Row],[PriceL]]*(VLOOKUP(Implements7[[#This Row],[ASABEtype]],$BC$6:$BM$52,2)*(Implements7[[#This Row],[Life (yr)]]*Implements7[[#This Row],[Use (hr/yr)]]/1000)^VLOOKUP(Implements7[[#This Row],[ASABEtype]],$BC$6:$BM$52,3))/Implements7[[#This Row],[Life (yr)]]/Implements7[[#This Row],[Use (hr/yr)]]</f>
        <v>#N/A</v>
      </c>
      <c r="Y119" s="114" t="e">
        <f>Implements7[[#This Row],[Depr ($/hr)]]+Implements7[[#This Row],[OH ($/hr)]]</f>
        <v>#N/A</v>
      </c>
      <c r="Z119" s="114" t="e">
        <f>(Implements7[[#This Row],[PriceP]]-Implements7[[#This Row],[TradeIn$]])/Implements7[[#This Row],[Life (yr)]]/Implements7[[#This Row],[Use (ac/yr)]]</f>
        <v>#N/A</v>
      </c>
      <c r="AA119" s="117" t="e">
        <f>((Implements7[[#This Row],[PriceP]]+Implements7[[#This Row],[TradeIn$]])/2*($BP$7+$BP$8+$BP$9)+Implements7[[#This Row],[Shed (ft^2)]]*$BP$12)/Implements7[[#This Row],[Use (ac/yr)]]</f>
        <v>#N/A</v>
      </c>
      <c r="AB119" s="196" t="e">
        <f>IF(Implements7[[#This Row],[Use basis]]=N237,Implements7[[#This Row],[Rep ($/hr)]],Implements7[[#This Row],[PriceL]]*(VLOOKUP(Implements7[[#This Row],[ASABEtype]],$BC$6:$BM$52,2)*(Implements7[[#This Row],[Life (yr)]]*Implements7[[#This Row],[Use (hr/yr)]]/1000)^VLOOKUP(Implements7[[#This Row],[ASABEtype]],$BC$6:$BM$52,3))/Implements7[[#This Row],[Life (yr)]]/Implements7[[#This Row],[Use (ac/yr)]])</f>
        <v>#N/A</v>
      </c>
      <c r="AC119" s="115" t="e">
        <f>$BP$18/(Implements7[[#This Row],[Width]]*Implements7[[#This Row],[Speed]]*Implements7[[#This Row],[Efficiency]])</f>
        <v>#DIV/0!</v>
      </c>
      <c r="AD119" s="116" t="e">
        <f>IF(Implements7[[#This Row],[Use basis]]=$N$128,Implements7[[#This Row],[Ownership costs ($/hr)]],SUM(Implements7[[#This Row],[Depr ($/ac)2]:[OH ($/ac)]]))</f>
        <v>#N/A</v>
      </c>
      <c r="AE119" s="116"/>
      <c r="AF119" s="116"/>
    </row>
    <row r="120" spans="2:33">
      <c r="B120" s="100" t="str">
        <f>Implements7[[#This Row],[Implement type]]&amp;", "&amp;Implements7[[#This Row],[Width]]&amp;" "&amp;Implements7[[#This Row],[Width Unit]]</f>
        <v xml:space="preserve">,  </v>
      </c>
      <c r="C120" s="105"/>
      <c r="D120" s="106"/>
      <c r="E120" s="105"/>
      <c r="F120" s="106"/>
      <c r="G120" s="105"/>
      <c r="H120" s="186"/>
      <c r="I120" s="187"/>
      <c r="J120" s="195">
        <f t="shared" si="12"/>
        <v>0</v>
      </c>
      <c r="K120" s="306" t="e">
        <f>VLOOKUP(Implements7[[#This Row],[ASABEtype]],ASABECoefficients8[],4,FALSE)/Implements7[[#This Row],[Use (hr/yr)]]</f>
        <v>#N/A</v>
      </c>
      <c r="L120" s="106"/>
      <c r="M120" s="111">
        <f t="shared" si="11"/>
        <v>0</v>
      </c>
      <c r="N120" s="111"/>
      <c r="O120" s="106"/>
      <c r="P120" s="106"/>
      <c r="Q120" s="187"/>
      <c r="R120" s="187"/>
      <c r="S120" s="106"/>
      <c r="T120" s="112" t="e">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#N/A</v>
      </c>
      <c r="U120" s="113" t="e">
        <f>Implements7[[#This Row],[TradeIn%]]*Implements7[[#This Row],[PriceL]]</f>
        <v>#N/A</v>
      </c>
      <c r="V120" s="114" t="e">
        <f>(Implements7[[#This Row],[PriceP]]-Implements7[[#This Row],[TradeIn$]])/Implements7[[#This Row],[Life (yr)]]/Implements7[[#This Row],[Use (hr/yr)]]</f>
        <v>#N/A</v>
      </c>
      <c r="W120" s="117" t="e">
        <f>((Implements7[[#This Row],[PriceP]]+Implements7[[#This Row],[TradeIn$]])/2*($BP$7+$BP$8+$BP$9)+Implements7[[#This Row],[Shed (ft^2)]]*$BP$12)/Implements7[[#This Row],[Use (hr/yr)]]</f>
        <v>#N/A</v>
      </c>
      <c r="X120" s="114" t="e">
        <f>Implements7[[#This Row],[PriceL]]*(VLOOKUP(Implements7[[#This Row],[ASABEtype]],$BC$6:$BM$52,2)*(Implements7[[#This Row],[Life (yr)]]*Implements7[[#This Row],[Use (hr/yr)]]/1000)^VLOOKUP(Implements7[[#This Row],[ASABEtype]],$BC$6:$BM$52,3))/Implements7[[#This Row],[Life (yr)]]/Implements7[[#This Row],[Use (hr/yr)]]</f>
        <v>#N/A</v>
      </c>
      <c r="Y120" s="114" t="e">
        <f>Implements7[[#This Row],[Depr ($/hr)]]+Implements7[[#This Row],[OH ($/hr)]]</f>
        <v>#N/A</v>
      </c>
      <c r="Z120" s="114" t="e">
        <f>(Implements7[[#This Row],[PriceP]]-Implements7[[#This Row],[TradeIn$]])/Implements7[[#This Row],[Life (yr)]]/Implements7[[#This Row],[Use (ac/yr)]]</f>
        <v>#N/A</v>
      </c>
      <c r="AA120" s="117" t="e">
        <f>((Implements7[[#This Row],[PriceP]]+Implements7[[#This Row],[TradeIn$]])/2*($BP$7+$BP$8+$BP$9)+Implements7[[#This Row],[Shed (ft^2)]]*$BP$12)/Implements7[[#This Row],[Use (ac/yr)]]</f>
        <v>#N/A</v>
      </c>
      <c r="AB120" s="196" t="e">
        <f>IF(Implements7[[#This Row],[Use basis]]=N238,Implements7[[#This Row],[Rep ($/hr)]],Implements7[[#This Row],[PriceL]]*(VLOOKUP(Implements7[[#This Row],[ASABEtype]],$BC$6:$BM$52,2)*(Implements7[[#This Row],[Life (yr)]]*Implements7[[#This Row],[Use (hr/yr)]]/1000)^VLOOKUP(Implements7[[#This Row],[ASABEtype]],$BC$6:$BM$52,3))/Implements7[[#This Row],[Life (yr)]]/Implements7[[#This Row],[Use (ac/yr)]])</f>
        <v>#N/A</v>
      </c>
      <c r="AC120" s="115" t="e">
        <f>$BP$18/(Implements7[[#This Row],[Width]]*Implements7[[#This Row],[Speed]]*Implements7[[#This Row],[Efficiency]])</f>
        <v>#DIV/0!</v>
      </c>
      <c r="AD120" s="116" t="e">
        <f>IF(Implements7[[#This Row],[Use basis]]=$N$128,Implements7[[#This Row],[Ownership costs ($/hr)]],SUM(Implements7[[#This Row],[Depr ($/ac)2]:[OH ($/ac)]]))</f>
        <v>#N/A</v>
      </c>
      <c r="AE120" s="116"/>
      <c r="AF120" s="116"/>
    </row>
    <row r="121" spans="2:33">
      <c r="C121" s="105"/>
      <c r="D121" s="106"/>
      <c r="E121" s="105"/>
      <c r="F121" s="106"/>
      <c r="G121" s="105"/>
      <c r="H121" s="186"/>
      <c r="I121" s="187"/>
      <c r="J121" s="195">
        <f>H121/(1-I121)</f>
        <v>0</v>
      </c>
      <c r="K121" s="306" t="e">
        <f>VLOOKUP(Implements7[[#This Row],[ASABEtype]],ASABECoefficients8[],4,FALSE)/Implements7[[#This Row],[Use (hr/yr)]]</f>
        <v>#N/A</v>
      </c>
      <c r="L121" s="106"/>
      <c r="M121" s="111">
        <f t="shared" si="11"/>
        <v>0</v>
      </c>
      <c r="N121" s="111"/>
      <c r="O121" s="106"/>
      <c r="P121" s="106"/>
      <c r="Q121" s="187"/>
      <c r="R121" s="187"/>
      <c r="S121" s="106"/>
      <c r="T121" s="112" t="e">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#N/A</v>
      </c>
      <c r="U121" s="113" t="e">
        <f>Implements7[[#This Row],[TradeIn%]]*Implements7[[#This Row],[PriceL]]</f>
        <v>#N/A</v>
      </c>
      <c r="V121" s="114" t="e">
        <f>(Implements7[[#This Row],[PriceP]]-Implements7[[#This Row],[TradeIn$]])/Implements7[[#This Row],[Life (yr)]]/Implements7[[#This Row],[Use (hr/yr)]]</f>
        <v>#N/A</v>
      </c>
      <c r="W121" s="117" t="e">
        <f>((Implements7[[#This Row],[PriceP]]+Implements7[[#This Row],[TradeIn$]])/2*($BP$7+$BP$8+$BP$9)+Implements7[[#This Row],[Shed (ft^2)]]*$BP$12)/Implements7[[#This Row],[Use (hr/yr)]]</f>
        <v>#N/A</v>
      </c>
      <c r="X121" s="114" t="e">
        <f>Implements7[[#This Row],[PriceL]]*(VLOOKUP(Implements7[[#This Row],[ASABEtype]],$BC$6:$BM$52,2)*(Implements7[[#This Row],[Life (yr)]]*Implements7[[#This Row],[Use (hr/yr)]]/1000)^VLOOKUP(Implements7[[#This Row],[ASABEtype]],$BC$6:$BM$52,3))/Implements7[[#This Row],[Life (yr)]]/Implements7[[#This Row],[Use (hr/yr)]]</f>
        <v>#N/A</v>
      </c>
      <c r="Y121" s="114" t="e">
        <f>Implements7[[#This Row],[Depr ($/hr)]]+Implements7[[#This Row],[OH ($/hr)]]</f>
        <v>#N/A</v>
      </c>
      <c r="Z121" s="114" t="e">
        <f>(Implements7[[#This Row],[PriceP]]-Implements7[[#This Row],[TradeIn$]])/Implements7[[#This Row],[Life (yr)]]/Implements7[[#This Row],[Use (ac/yr)]]</f>
        <v>#N/A</v>
      </c>
      <c r="AA121" s="117" t="e">
        <f>((Implements7[[#This Row],[PriceP]]+Implements7[[#This Row],[TradeIn$]])/2*($BP$7+$BP$8+$BP$9)+Implements7[[#This Row],[Shed (ft^2)]]*$BP$12)/Implements7[[#This Row],[Use (ac/yr)]]</f>
        <v>#N/A</v>
      </c>
      <c r="AB121" s="196" t="e">
        <f>IF(Implements7[[#This Row],[Use basis]]=N193,Implements7[[#This Row],[Rep ($/hr)]],Implements7[[#This Row],[PriceL]]*(VLOOKUP(Implements7[[#This Row],[ASABEtype]],$BC$6:$BM$52,2)*(Implements7[[#This Row],[Life (yr)]]*Implements7[[#This Row],[Use (hr/yr)]]/1000)^VLOOKUP(Implements7[[#This Row],[ASABEtype]],$BC$6:$BM$52,3))/Implements7[[#This Row],[Life (yr)]]/Implements7[[#This Row],[Use (ac/yr)]])</f>
        <v>#N/A</v>
      </c>
      <c r="AC121" s="115" t="e">
        <f>$BP$18/(Implements7[[#This Row],[Width]]*Implements7[[#This Row],[Speed]]*Implements7[[#This Row],[Efficiency]])</f>
        <v>#DIV/0!</v>
      </c>
      <c r="AD121" s="116" t="e">
        <f>IF(Implements7[[#This Row],[Use basis]]=$N$128,Implements7[[#This Row],[Ownership costs ($/hr)]],SUM(Implements7[[#This Row],[Depr ($/ac)2]:[OH ($/ac)]]))</f>
        <v>#N/A</v>
      </c>
      <c r="AE121" s="116"/>
      <c r="AF121" s="116"/>
    </row>
    <row r="122" spans="2:33">
      <c r="C122" s="105"/>
      <c r="D122" s="106"/>
      <c r="E122" s="105"/>
      <c r="F122" s="106"/>
      <c r="G122" s="105"/>
      <c r="H122" s="186"/>
      <c r="I122" s="187"/>
      <c r="J122" s="195"/>
      <c r="K122" s="110"/>
      <c r="L122" s="106"/>
      <c r="M122" s="111"/>
      <c r="N122" s="111"/>
      <c r="O122" s="106"/>
      <c r="P122" s="106"/>
      <c r="Q122" s="187"/>
      <c r="R122" s="187"/>
      <c r="S122" s="106"/>
      <c r="T122" s="112"/>
      <c r="U122" s="113"/>
      <c r="V122" s="114"/>
      <c r="W122" s="114"/>
      <c r="X122" s="114"/>
      <c r="Y122" s="114"/>
      <c r="Z122" s="114"/>
      <c r="AA122" s="114"/>
      <c r="AB122" s="196"/>
      <c r="AC122" s="115"/>
      <c r="AD122" s="115"/>
      <c r="AE122" s="116"/>
      <c r="AF122" s="116"/>
    </row>
    <row r="123" spans="2:33">
      <c r="C123" s="105"/>
      <c r="D123" s="106"/>
      <c r="E123" s="105"/>
      <c r="F123" s="106"/>
      <c r="G123" s="105"/>
      <c r="H123" s="186"/>
      <c r="I123" s="187"/>
      <c r="J123" s="195"/>
      <c r="K123" s="110"/>
      <c r="L123" s="106"/>
      <c r="M123" s="111"/>
      <c r="N123" s="111"/>
      <c r="O123" s="106"/>
      <c r="P123" s="106"/>
      <c r="Q123" s="187"/>
      <c r="R123" s="187"/>
      <c r="S123" s="106"/>
      <c r="T123" s="112"/>
      <c r="U123" s="113"/>
      <c r="V123" s="114"/>
      <c r="W123" s="114"/>
      <c r="X123" s="114"/>
      <c r="Y123" s="114"/>
      <c r="Z123" s="114"/>
      <c r="AA123" s="114"/>
      <c r="AB123" s="196"/>
      <c r="AC123" s="115"/>
      <c r="AD123" s="115"/>
      <c r="AE123" s="116"/>
      <c r="AF123" s="116"/>
    </row>
    <row r="124" spans="2:33">
      <c r="C124" s="105"/>
      <c r="D124" s="106"/>
      <c r="E124" s="105"/>
      <c r="F124" s="106"/>
      <c r="G124" s="105"/>
      <c r="H124" s="186"/>
      <c r="I124" s="187"/>
      <c r="J124" s="195"/>
      <c r="K124" s="110"/>
      <c r="L124" s="106"/>
      <c r="M124" s="111"/>
      <c r="N124" s="111"/>
      <c r="O124" s="106"/>
      <c r="P124" s="106"/>
      <c r="Q124" s="187"/>
      <c r="R124" s="187"/>
      <c r="S124" s="106"/>
      <c r="T124" s="112"/>
      <c r="U124" s="113"/>
      <c r="V124" s="114"/>
      <c r="W124" s="114"/>
      <c r="X124" s="114"/>
      <c r="Y124" s="114"/>
      <c r="Z124" s="114"/>
      <c r="AA124" s="114"/>
      <c r="AB124" s="196"/>
      <c r="AC124" s="115"/>
      <c r="AD124" s="115"/>
      <c r="AE124" s="116"/>
      <c r="AF124" s="116"/>
    </row>
    <row r="125" spans="2:33">
      <c r="C125" s="105"/>
      <c r="D125" s="106"/>
      <c r="E125" s="105"/>
      <c r="F125" s="106"/>
      <c r="G125" s="105"/>
      <c r="H125" s="186"/>
      <c r="I125" s="187"/>
      <c r="J125" s="195"/>
      <c r="K125" s="110"/>
      <c r="L125" s="106"/>
      <c r="M125" s="111"/>
      <c r="N125" s="111"/>
      <c r="O125" s="106"/>
      <c r="P125" s="106"/>
      <c r="Q125" s="187"/>
      <c r="R125" s="187"/>
      <c r="S125" s="106"/>
      <c r="T125" s="112"/>
      <c r="U125" s="113"/>
      <c r="V125" s="114"/>
      <c r="W125" s="114"/>
      <c r="X125" s="114"/>
      <c r="Y125" s="114"/>
      <c r="Z125" s="114"/>
      <c r="AA125" s="114"/>
      <c r="AB125" s="196"/>
      <c r="AC125" s="115"/>
      <c r="AD125" s="115"/>
      <c r="AE125" s="116"/>
      <c r="AF125" s="116"/>
    </row>
    <row r="126" spans="2:33">
      <c r="C126" s="105"/>
      <c r="D126" s="106"/>
      <c r="E126" s="105"/>
      <c r="F126" s="106"/>
      <c r="G126" s="105"/>
      <c r="H126" s="186"/>
      <c r="I126" s="187"/>
      <c r="J126" s="195"/>
      <c r="K126" s="110"/>
      <c r="L126" s="106"/>
      <c r="M126" s="111"/>
      <c r="N126" s="111"/>
      <c r="O126" s="106"/>
      <c r="P126" s="106"/>
      <c r="Q126" s="187"/>
      <c r="R126" s="187"/>
      <c r="S126" s="106"/>
      <c r="T126" s="112"/>
      <c r="U126" s="113"/>
      <c r="V126" s="114"/>
      <c r="W126" s="114"/>
      <c r="X126" s="114"/>
      <c r="Y126" s="114"/>
      <c r="Z126" s="114"/>
      <c r="AA126" s="114"/>
      <c r="AB126" s="196"/>
      <c r="AC126" s="115"/>
      <c r="AD126" s="115"/>
      <c r="AE126" s="116"/>
      <c r="AF126" s="116"/>
    </row>
    <row r="128" spans="2:33">
      <c r="N128" s="100" t="s">
        <v>720</v>
      </c>
    </row>
    <row r="129" spans="14:68">
      <c r="N129" s="100" t="s">
        <v>706</v>
      </c>
    </row>
    <row r="140" spans="14:68">
      <c r="BO140" s="147"/>
      <c r="BP140" s="147"/>
    </row>
    <row r="141" spans="14:68">
      <c r="BO141" s="147"/>
      <c r="BP141" s="147"/>
    </row>
    <row r="142" spans="14:68">
      <c r="BO142" s="147"/>
      <c r="BP142" s="147"/>
    </row>
    <row r="143" spans="14:68">
      <c r="BO143" s="147"/>
      <c r="BP143" s="147"/>
    </row>
    <row r="144" spans="14:68">
      <c r="BO144" s="147"/>
      <c r="BP144" s="147"/>
    </row>
    <row r="145" spans="26:68">
      <c r="BO145" s="147"/>
      <c r="BP145" s="147"/>
    </row>
    <row r="146" spans="26:68">
      <c r="BO146" s="147"/>
      <c r="BP146" s="147"/>
    </row>
    <row r="147" spans="26:68">
      <c r="BO147" s="147"/>
      <c r="BP147" s="147"/>
    </row>
    <row r="148" spans="26:68">
      <c r="BO148" s="147"/>
      <c r="BP148" s="147"/>
    </row>
    <row r="149" spans="26:68">
      <c r="BO149" s="147"/>
      <c r="BP149" s="147"/>
    </row>
    <row r="150" spans="26:68">
      <c r="BO150" s="147"/>
      <c r="BP150" s="147"/>
    </row>
    <row r="151" spans="26:68">
      <c r="BO151" s="147"/>
      <c r="BP151" s="147"/>
    </row>
    <row r="152" spans="26:68">
      <c r="BO152" s="147"/>
      <c r="BP152" s="147"/>
    </row>
    <row r="153" spans="26:68">
      <c r="BO153" s="147"/>
      <c r="BP153" s="147"/>
    </row>
    <row r="154" spans="26:68">
      <c r="Z154" s="212"/>
      <c r="AA154" s="212"/>
      <c r="AB154" s="212"/>
      <c r="BO154" s="147"/>
      <c r="BP154" s="147"/>
    </row>
    <row r="155" spans="26:68">
      <c r="BO155" s="147"/>
      <c r="BP155" s="147"/>
    </row>
    <row r="156" spans="26:68">
      <c r="BO156" s="147"/>
      <c r="BP156" s="147"/>
    </row>
    <row r="157" spans="26:68">
      <c r="BO157" s="147"/>
      <c r="BP157" s="147"/>
    </row>
    <row r="158" spans="26:68">
      <c r="BO158" s="147"/>
      <c r="BP158" s="147"/>
    </row>
    <row r="159" spans="26:68">
      <c r="BO159" s="147"/>
      <c r="BP159" s="147"/>
    </row>
    <row r="160" spans="26:68">
      <c r="BO160" s="147"/>
      <c r="BP160" s="147"/>
    </row>
    <row r="161" spans="67:68">
      <c r="BO161" s="147"/>
      <c r="BP161" s="147"/>
    </row>
    <row r="162" spans="67:68">
      <c r="BO162" s="147"/>
      <c r="BP162" s="147"/>
    </row>
    <row r="163" spans="67:68">
      <c r="BO163" s="147"/>
      <c r="BP163" s="147"/>
    </row>
    <row r="164" spans="67:68">
      <c r="BO164" s="147"/>
      <c r="BP164" s="147"/>
    </row>
    <row r="165" spans="67:68">
      <c r="BO165" s="147"/>
      <c r="BP165" s="147"/>
    </row>
    <row r="166" spans="67:68">
      <c r="BO166" s="147"/>
      <c r="BP166" s="147"/>
    </row>
    <row r="167" spans="67:68">
      <c r="BO167" s="147"/>
      <c r="BP167" s="147"/>
    </row>
    <row r="168" spans="67:68">
      <c r="BO168" s="147"/>
      <c r="BP168" s="147"/>
    </row>
    <row r="169" spans="67:68">
      <c r="BO169" s="147"/>
      <c r="BP169" s="147"/>
    </row>
    <row r="170" spans="67:68">
      <c r="BO170" s="147"/>
      <c r="BP170" s="147"/>
    </row>
    <row r="171" spans="67:68">
      <c r="BO171" s="147"/>
      <c r="BP171" s="147"/>
    </row>
    <row r="172" spans="67:68">
      <c r="BO172" s="147"/>
      <c r="BP172" s="147"/>
    </row>
    <row r="173" spans="67:68">
      <c r="BO173" s="147"/>
      <c r="BP173" s="147"/>
    </row>
    <row r="174" spans="67:68">
      <c r="BO174" s="147"/>
      <c r="BP174" s="147"/>
    </row>
    <row r="175" spans="67:68">
      <c r="BO175" s="147"/>
      <c r="BP175" s="147"/>
    </row>
    <row r="176" spans="67:68">
      <c r="BO176" s="147"/>
      <c r="BP176" s="147"/>
    </row>
    <row r="177" spans="67:68">
      <c r="BO177" s="147"/>
      <c r="BP177" s="147"/>
    </row>
    <row r="178" spans="67:68">
      <c r="BO178" s="147"/>
      <c r="BP178" s="147"/>
    </row>
    <row r="179" spans="67:68">
      <c r="BO179" s="147"/>
      <c r="BP179" s="147"/>
    </row>
    <row r="180" spans="67:68">
      <c r="BO180" s="147"/>
      <c r="BP180" s="147"/>
    </row>
    <row r="181" spans="67:68">
      <c r="BO181" s="147"/>
      <c r="BP181" s="147"/>
    </row>
    <row r="182" spans="67:68">
      <c r="BO182" s="147"/>
      <c r="BP182" s="147"/>
    </row>
    <row r="183" spans="67:68">
      <c r="BO183" s="147"/>
      <c r="BP183" s="147"/>
    </row>
    <row r="184" spans="67:68">
      <c r="BO184" s="147"/>
      <c r="BP184" s="147"/>
    </row>
    <row r="207" spans="95:95">
      <c r="CQ207" s="168"/>
    </row>
    <row r="210" spans="77:99">
      <c r="BY210" s="122"/>
      <c r="BZ210" s="122"/>
      <c r="CA210" s="122"/>
      <c r="CB210" s="122"/>
      <c r="CC210" s="122"/>
      <c r="CD210" s="122"/>
      <c r="CE210" s="122"/>
      <c r="CF210" s="122"/>
      <c r="CG210" s="122"/>
      <c r="CH210" s="122"/>
      <c r="CI210" s="122"/>
      <c r="CJ210" s="122"/>
      <c r="CK210" s="122"/>
      <c r="CL210" s="122"/>
      <c r="CM210" s="122"/>
      <c r="CN210" s="122"/>
      <c r="CO210" s="122"/>
      <c r="CP210" s="122"/>
      <c r="CQ210" s="122"/>
      <c r="CR210" s="122"/>
      <c r="CS210" s="122"/>
      <c r="CT210" s="122"/>
      <c r="CU210" s="122"/>
    </row>
  </sheetData>
  <sheetProtection sheet="1" objects="1" scenarios="1"/>
  <dataValidations disablePrompts="1" count="7">
    <dataValidation type="list" allowBlank="1" showInputMessage="1" showErrorMessage="1" sqref="AS12" xr:uid="{9E7D28B7-A223-489D-B5CE-3C0CBE770CD4}">
      <formula1>$BB$6:$BB$52</formula1>
    </dataValidation>
    <dataValidation type="list" allowBlank="1" showInputMessage="1" showErrorMessage="1" sqref="O5" xr:uid="{ED8A3FAF-3B4F-4764-9E93-9F1E488394E3}">
      <formula1>repair_impl</formula1>
    </dataValidation>
    <dataValidation type="list" allowBlank="1" showInputMessage="1" showErrorMessage="1" sqref="N110:N118" xr:uid="{3DD06EC3-1F7B-4738-B9F5-CE2D92785352}">
      <formula1>$N$131:$N$132</formula1>
    </dataValidation>
    <dataValidation type="list" allowBlank="1" showInputMessage="1" showErrorMessage="1" sqref="O62:O98" xr:uid="{65AC59A8-DBC3-4832-B652-6B50706AFDF6}">
      <formula1>$BG$7:$BG$50</formula1>
    </dataValidation>
    <dataValidation type="list" allowBlank="1" showInputMessage="1" showErrorMessage="1" sqref="N6:N61 N119:N126 N99:N109" xr:uid="{526B5529-95C8-48F0-8E13-25E58C285166}">
      <formula1>$N$128:$N$129</formula1>
    </dataValidation>
    <dataValidation type="list" allowBlank="1" showInputMessage="1" showErrorMessage="1" sqref="O99:O106 O6:O61" xr:uid="{E90B6457-3A27-4F49-AEF2-6A4193BDAD2F}">
      <formula1>$BC$6:$BC$49</formula1>
    </dataValidation>
    <dataValidation type="list" allowBlank="1" showInputMessage="1" showErrorMessage="1" sqref="O107:O126 AS13:AS32 AS6:AS11" xr:uid="{9762F8F4-AEA2-4FDC-B62A-A0F55E304027}">
      <formula1>$BC$6:$BC$52</formula1>
    </dataValidation>
  </dataValidations>
  <pageMargins left="0.7" right="0.7" top="0.75" bottom="0.75" header="0.3" footer="0.3"/>
  <legacyDrawing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rx>
  <Cntr/>
</Prx>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ba6830-88fc-4660-8252-66421c0ed606">
      <Terms xmlns="http://schemas.microsoft.com/office/infopath/2007/PartnerControls"/>
    </lcf76f155ced4ddcb4097134ff3c332f>
    <TaxCatchAll xmlns="68029b82-de8b-4bb8-a3ab-fd0183ed5d7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8E1293EDA749C499D09F25756402A22" ma:contentTypeVersion="18" ma:contentTypeDescription="Create a new document." ma:contentTypeScope="" ma:versionID="5d5302aff14df483c43236a570fa4496">
  <xsd:schema xmlns:xsd="http://www.w3.org/2001/XMLSchema" xmlns:xs="http://www.w3.org/2001/XMLSchema" xmlns:p="http://schemas.microsoft.com/office/2006/metadata/properties" xmlns:ns2="efba6830-88fc-4660-8252-66421c0ed606" xmlns:ns3="68029b82-de8b-4bb8-a3ab-fd0183ed5d77" targetNamespace="http://schemas.microsoft.com/office/2006/metadata/properties" ma:root="true" ma:fieldsID="e4ef6fd8f4a36105861edc94ec9f0e2c" ns2:_="" ns3:_="">
    <xsd:import namespace="efba6830-88fc-4660-8252-66421c0ed606"/>
    <xsd:import namespace="68029b82-de8b-4bb8-a3ab-fd0183ed5d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a6830-88fc-4660-8252-66421c0ed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29b82-de8b-4bb8-a3ab-fd0183ed5d7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298e622-2bdb-4ed5-999f-2e6ceaea9292}" ma:internalName="TaxCatchAll" ma:showField="CatchAllData" ma:web="68029b82-de8b-4bb8-a3ab-fd0183ed5d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3EE08E-1DBA-4ADE-965D-106B0E0E3C2F}">
  <ds:schemaRefs/>
</ds:datastoreItem>
</file>

<file path=customXml/itemProps2.xml><?xml version="1.0" encoding="utf-8"?>
<ds:datastoreItem xmlns:ds="http://schemas.openxmlformats.org/officeDocument/2006/customXml" ds:itemID="{2542F0BC-94D8-4787-B282-3DCC9A0E61EF}">
  <ds:schemaRefs>
    <ds:schemaRef ds:uri="http://schemas.microsoft.com/office/infopath/2007/PartnerControls"/>
    <ds:schemaRef ds:uri="9f608c11-4ccd-421c-a88d-29e29a7a365f"/>
    <ds:schemaRef ds:uri="http://schemas.openxmlformats.org/package/2006/metadata/core-properties"/>
    <ds:schemaRef ds:uri="http://schemas.microsoft.com/office/2006/metadata/properties"/>
    <ds:schemaRef ds:uri="http://purl.org/dc/terms/"/>
    <ds:schemaRef ds:uri="7bd0c97a-79aa-4cc6-bd7d-1cd468b1e455"/>
    <ds:schemaRef ds:uri="http://purl.org/dc/elements/1.1/"/>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E0F2C58C-4A57-4D5C-9EA2-9883EF3351F5}"/>
</file>

<file path=customXml/itemProps4.xml><?xml version="1.0" encoding="utf-8"?>
<ds:datastoreItem xmlns:ds="http://schemas.openxmlformats.org/officeDocument/2006/customXml" ds:itemID="{EE29C18A-F1AB-4E66-837E-100F14FB78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Introduction</vt:lpstr>
      <vt:lpstr>Input prices</vt:lpstr>
      <vt:lpstr>Input quantities</vt:lpstr>
      <vt:lpstr>Irrigation costs</vt:lpstr>
      <vt:lpstr>Equipment</vt:lpstr>
      <vt:lpstr>Custom hire</vt:lpstr>
      <vt:lpstr>Organic Corn</vt:lpstr>
      <vt:lpstr>Organic Soybeans</vt:lpstr>
      <vt:lpstr>Machinery Input Tables</vt:lpstr>
      <vt:lpstr>'Organic Corn'!Print_Area</vt:lpstr>
      <vt:lpstr>'Organic Soybeans'!Print_Area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 Brown</dc:creator>
  <cp:keywords/>
  <dc:description/>
  <cp:lastModifiedBy>Rahe, Mallory</cp:lastModifiedBy>
  <cp:revision/>
  <dcterms:created xsi:type="dcterms:W3CDTF">2014-11-07T21:30:57Z</dcterms:created>
  <dcterms:modified xsi:type="dcterms:W3CDTF">2025-10-07T19:56:21Z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0x010100C8E1293EDA749C499D09F25756402A22</vt:lpwstr>
  </property>
  <property fmtid="{D5CDD505-2E9C-101B-9397-08002B2CF9AE}" pid="3" name="MediaServiceImageTags">
    <vt:lpwstr/>
  </property>
</Properties>
</file>