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ABP Publications/"/>
    </mc:Choice>
  </mc:AlternateContent>
  <xr:revisionPtr revIDLastSave="0" documentId="8_{3C1B918A-E727-4799-83E7-81D216E105CC}" xr6:coauthVersionLast="47" xr6:coauthVersionMax="47" xr10:uidLastSave="{00000000-0000-0000-0000-000000000000}"/>
  <bookViews>
    <workbookView xWindow="57480" yWindow="-5280" windowWidth="29040" windowHeight="16440" activeTab="6" xr2:uid="{A3128A76-7503-4CF2-8A06-5CDA2B835BDE}"/>
  </bookViews>
  <sheets>
    <sheet name="Introduction" sheetId="32" r:id="rId1"/>
    <sheet name="Input prices" sheetId="8" r:id="rId2"/>
    <sheet name="Input quantities" sheetId="24" r:id="rId3"/>
    <sheet name="Irrigation costs" sheetId="25" state="hidden" r:id="rId4"/>
    <sheet name="Equipment" sheetId="22" state="hidden" r:id="rId5"/>
    <sheet name="Custom hire" sheetId="23" r:id="rId6"/>
    <sheet name="Organic Corn" sheetId="30" r:id="rId7"/>
    <sheet name="Organic Soybeans" sheetId="31" r:id="rId8"/>
    <sheet name="Machinery Input Tables" sheetId="28" state="hidden" r:id="rId9"/>
  </sheets>
  <externalReferences>
    <externalReference r:id="rId10"/>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 localSheetId="0">[1]!Table4[Activity]</definedName>
    <definedName name="CustomImps">#REF!</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Sel">#REF!</definedName>
    <definedName name="import">#REF!</definedName>
    <definedName name="income">#REF!</definedName>
    <definedName name="insecticide2">#REF!,#REF!</definedName>
    <definedName name="Introduction">#REF!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 localSheetId="0">#REF!</definedName>
    <definedName name="power">#REF!,#REF!,#REF!,#REF!,#REF!,#REF!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6">'Organic Corn'!$B$3:$H$54</definedName>
    <definedName name="_xlnm.Print_Area" localSheetId="7">'Organic Soybeans'!$B$3:$H$53</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localSheetId="0" hidden="1">{"detail",#N/A,FALSE,"Trac_Table";"tractable",#N/A,FALSE,"Trac_Table";"sensitivity",#N/A,FALSE,"Trac_Table"}</definedName>
    <definedName name="wrn.all." hidden="1">{"detail",#N/A,FALSE,"Trac_Table";"tractable",#N/A,FALSE,"Trac_Table";"sensitivity",#N/A,FALSE,"Trac_Table"}</definedName>
    <definedName name="ww" localSheetId="0">[1]!Table4[Activity]</definedName>
    <definedName name="ww">#REF!</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5" i="31" l="1"/>
  <c r="C75" i="31"/>
  <c r="B76" i="31"/>
  <c r="C76" i="31"/>
  <c r="C74" i="31"/>
  <c r="B74" i="31"/>
  <c r="D6" i="31"/>
  <c r="D6" i="30"/>
  <c r="K14" i="24"/>
  <c r="J14" i="24"/>
  <c r="K13" i="24"/>
  <c r="J13" i="24"/>
  <c r="E44" i="22" l="1"/>
  <c r="F44" i="22"/>
  <c r="H44" i="22"/>
  <c r="E45" i="22"/>
  <c r="E74" i="31" s="1"/>
  <c r="F45" i="22"/>
  <c r="H45" i="22"/>
  <c r="G74" i="31" s="1"/>
  <c r="E46" i="22"/>
  <c r="F46" i="22"/>
  <c r="D75" i="31" s="1"/>
  <c r="H46" i="22"/>
  <c r="G75" i="31" s="1"/>
  <c r="E10" i="22"/>
  <c r="F10" i="22"/>
  <c r="H10" i="22"/>
  <c r="G46" i="22" l="1"/>
  <c r="E75" i="31"/>
  <c r="G44" i="22"/>
  <c r="I44" i="22" s="1"/>
  <c r="G45" i="22"/>
  <c r="F74" i="31" s="1"/>
  <c r="D74" i="31"/>
  <c r="G10" i="22"/>
  <c r="I10" i="22" s="1"/>
  <c r="I46" i="22" l="1"/>
  <c r="F75" i="31"/>
  <c r="H75" i="31" s="1"/>
  <c r="I45" i="22"/>
  <c r="AD118" i="28" l="1"/>
  <c r="AC118" i="28"/>
  <c r="AB118" i="28"/>
  <c r="AA118" i="28"/>
  <c r="Z118" i="28"/>
  <c r="AB117" i="28"/>
  <c r="AB116" i="28"/>
  <c r="AB115" i="28"/>
  <c r="AB114" i="28"/>
  <c r="AB113" i="28"/>
  <c r="AB112" i="28"/>
  <c r="AB111" i="28"/>
  <c r="AB110" i="28"/>
  <c r="AB109" i="28"/>
  <c r="AB108" i="28"/>
  <c r="AB107" i="28"/>
  <c r="AB106" i="28"/>
  <c r="AB105" i="28"/>
  <c r="AB104" i="28"/>
  <c r="AB103" i="28"/>
  <c r="AB102" i="28"/>
  <c r="AB101" i="28"/>
  <c r="AB100" i="28"/>
  <c r="AB99" i="28"/>
  <c r="AB7" i="28"/>
  <c r="AB8" i="28"/>
  <c r="AB9" i="28"/>
  <c r="AB10" i="28"/>
  <c r="AB11" i="28"/>
  <c r="AB12" i="28"/>
  <c r="AB13" i="28"/>
  <c r="AB14" i="28"/>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AB48" i="28"/>
  <c r="AB49" i="28"/>
  <c r="AB50" i="28"/>
  <c r="AB51" i="28"/>
  <c r="AB52" i="28"/>
  <c r="AB53" i="28"/>
  <c r="AB54" i="28"/>
  <c r="AB55" i="28"/>
  <c r="AB56" i="28"/>
  <c r="AB57" i="28"/>
  <c r="AB58" i="28"/>
  <c r="AB59" i="28"/>
  <c r="AB60" i="28"/>
  <c r="AB61" i="28"/>
  <c r="AB62" i="28"/>
  <c r="AB63" i="28"/>
  <c r="AB64" i="28"/>
  <c r="AB65" i="28"/>
  <c r="AB66" i="28"/>
  <c r="AB67" i="28"/>
  <c r="AB68" i="28"/>
  <c r="AB69" i="28"/>
  <c r="AB70" i="28"/>
  <c r="AB71" i="28"/>
  <c r="AB72" i="28"/>
  <c r="AB73" i="28"/>
  <c r="AB74" i="28"/>
  <c r="AB75" i="28"/>
  <c r="AB76" i="28"/>
  <c r="AB77" i="28"/>
  <c r="AB78" i="28"/>
  <c r="AB79" i="28"/>
  <c r="AB80" i="28"/>
  <c r="AB81" i="28"/>
  <c r="AB82" i="28"/>
  <c r="AB83" i="28"/>
  <c r="AB84" i="28"/>
  <c r="AB85" i="28"/>
  <c r="AB86" i="28"/>
  <c r="AB87" i="28"/>
  <c r="AB88" i="28"/>
  <c r="AB89" i="28"/>
  <c r="AB90" i="28"/>
  <c r="AB91" i="28"/>
  <c r="AB92" i="28"/>
  <c r="AB93" i="28"/>
  <c r="AB94" i="28"/>
  <c r="AB95" i="28"/>
  <c r="AB96" i="28"/>
  <c r="AB97" i="28"/>
  <c r="AB98" i="28"/>
  <c r="AB119" i="28"/>
  <c r="AB120" i="28"/>
  <c r="AB121" i="28"/>
  <c r="AB6" i="28"/>
  <c r="E106" i="22"/>
  <c r="E105" i="22"/>
  <c r="E104" i="22"/>
  <c r="E103" i="22"/>
  <c r="E102" i="22"/>
  <c r="E101" i="22"/>
  <c r="E100" i="22"/>
  <c r="E99" i="22"/>
  <c r="E98" i="22"/>
  <c r="E97" i="22"/>
  <c r="E90" i="22"/>
  <c r="E89" i="22"/>
  <c r="E88" i="22"/>
  <c r="E87" i="22"/>
  <c r="E86" i="22"/>
  <c r="E85" i="22"/>
  <c r="E84" i="22"/>
  <c r="E83" i="22"/>
  <c r="E82" i="22"/>
  <c r="E81" i="22"/>
  <c r="E72" i="22"/>
  <c r="E71" i="22"/>
  <c r="E70" i="22"/>
  <c r="E69" i="22"/>
  <c r="E68" i="22"/>
  <c r="E67" i="22"/>
  <c r="E66" i="22"/>
  <c r="E65" i="22"/>
  <c r="E64" i="22"/>
  <c r="E63" i="22"/>
  <c r="E62" i="22"/>
  <c r="E54" i="22"/>
  <c r="E53" i="22"/>
  <c r="E52" i="22"/>
  <c r="E51" i="22"/>
  <c r="E50" i="22"/>
  <c r="E49" i="22"/>
  <c r="E48" i="22"/>
  <c r="E47" i="22"/>
  <c r="E76" i="31" s="1"/>
  <c r="E43" i="22"/>
  <c r="E17" i="22"/>
  <c r="E16" i="22"/>
  <c r="E15" i="22"/>
  <c r="E14" i="22"/>
  <c r="E13" i="22"/>
  <c r="E12" i="22"/>
  <c r="E9" i="22"/>
  <c r="E35" i="22"/>
  <c r="E34" i="22"/>
  <c r="E33" i="22"/>
  <c r="E32" i="22"/>
  <c r="E31" i="22"/>
  <c r="E30" i="22"/>
  <c r="E29" i="22"/>
  <c r="E28" i="22"/>
  <c r="E27" i="22"/>
  <c r="E26" i="22"/>
  <c r="E25" i="22"/>
  <c r="E24" i="22"/>
  <c r="G106" i="22"/>
  <c r="G105" i="22"/>
  <c r="G90" i="22"/>
  <c r="G89" i="22"/>
  <c r="G88" i="22"/>
  <c r="G72" i="22"/>
  <c r="G71" i="22"/>
  <c r="G70" i="22"/>
  <c r="G69" i="22"/>
  <c r="G54" i="22"/>
  <c r="G53" i="22"/>
  <c r="G52" i="22"/>
  <c r="G35" i="22"/>
  <c r="BP6" i="28"/>
  <c r="BP10" i="28"/>
  <c r="E8" i="22"/>
  <c r="H106" i="22"/>
  <c r="H105" i="22"/>
  <c r="H104" i="22"/>
  <c r="H103" i="22"/>
  <c r="H102" i="22"/>
  <c r="H101" i="22"/>
  <c r="H100" i="22"/>
  <c r="H99" i="22"/>
  <c r="H98" i="22"/>
  <c r="H97" i="22"/>
  <c r="H90" i="22"/>
  <c r="H89" i="22"/>
  <c r="H88" i="22"/>
  <c r="H87" i="22"/>
  <c r="H86" i="22"/>
  <c r="H85" i="22"/>
  <c r="H84" i="22"/>
  <c r="H83" i="22"/>
  <c r="H82" i="22"/>
  <c r="H81" i="22"/>
  <c r="H72" i="22"/>
  <c r="H71" i="22"/>
  <c r="H70" i="22"/>
  <c r="H69" i="22"/>
  <c r="H68" i="22"/>
  <c r="H67" i="22"/>
  <c r="H66" i="22"/>
  <c r="H65" i="22"/>
  <c r="H64" i="22"/>
  <c r="H63" i="22"/>
  <c r="H62" i="22"/>
  <c r="H54" i="22"/>
  <c r="H53" i="22"/>
  <c r="H52" i="22"/>
  <c r="H51" i="22"/>
  <c r="H50" i="22"/>
  <c r="H49" i="22"/>
  <c r="H48" i="22"/>
  <c r="H47" i="22"/>
  <c r="G76" i="31" s="1"/>
  <c r="H43" i="22"/>
  <c r="H35" i="22"/>
  <c r="H34" i="22"/>
  <c r="H33" i="22"/>
  <c r="H32" i="22"/>
  <c r="H31" i="22"/>
  <c r="H30" i="22"/>
  <c r="H29" i="22"/>
  <c r="H28" i="22"/>
  <c r="H27" i="22"/>
  <c r="H26" i="22"/>
  <c r="H25" i="22"/>
  <c r="H24" i="22"/>
  <c r="H17" i="22"/>
  <c r="H16" i="22"/>
  <c r="H15" i="22"/>
  <c r="H14" i="22"/>
  <c r="H13" i="22"/>
  <c r="H12" i="22"/>
  <c r="H9" i="22"/>
  <c r="H8" i="22"/>
  <c r="F106" i="22"/>
  <c r="F105" i="22"/>
  <c r="F104" i="22"/>
  <c r="F103" i="22"/>
  <c r="F102" i="22"/>
  <c r="F101" i="22"/>
  <c r="F100" i="22"/>
  <c r="F99" i="22"/>
  <c r="F98" i="22"/>
  <c r="F97" i="22"/>
  <c r="G97" i="22" s="1"/>
  <c r="F90" i="22"/>
  <c r="F89" i="22"/>
  <c r="F88" i="22"/>
  <c r="F87" i="22"/>
  <c r="F86" i="22"/>
  <c r="G86" i="22" s="1"/>
  <c r="F85" i="22"/>
  <c r="F84" i="22"/>
  <c r="F83" i="22"/>
  <c r="F82" i="22"/>
  <c r="F81" i="22"/>
  <c r="F72" i="22"/>
  <c r="F71" i="22"/>
  <c r="F70" i="22"/>
  <c r="F69" i="22"/>
  <c r="F68" i="22"/>
  <c r="F67" i="22"/>
  <c r="F66" i="22"/>
  <c r="F65" i="22"/>
  <c r="F64" i="22"/>
  <c r="F63" i="22"/>
  <c r="F62" i="22"/>
  <c r="F54" i="22"/>
  <c r="F53" i="22"/>
  <c r="F52" i="22"/>
  <c r="F51" i="22"/>
  <c r="F50" i="22"/>
  <c r="F49" i="22"/>
  <c r="F48" i="22"/>
  <c r="F47" i="22"/>
  <c r="D76" i="31" s="1"/>
  <c r="F43" i="22"/>
  <c r="F35" i="22"/>
  <c r="F34" i="22"/>
  <c r="F33" i="22"/>
  <c r="F32" i="22"/>
  <c r="F31" i="22"/>
  <c r="F30" i="22"/>
  <c r="F29" i="22"/>
  <c r="F28" i="22"/>
  <c r="F27" i="22"/>
  <c r="F26" i="22"/>
  <c r="F25" i="22"/>
  <c r="F24" i="22"/>
  <c r="F17" i="22"/>
  <c r="F16" i="22"/>
  <c r="F15" i="22"/>
  <c r="F14" i="22"/>
  <c r="F13" i="22"/>
  <c r="F12" i="22"/>
  <c r="F9" i="22"/>
  <c r="F8" i="22"/>
  <c r="AC121" i="28"/>
  <c r="M121" i="28"/>
  <c r="K121" i="28"/>
  <c r="J121" i="28"/>
  <c r="AC120" i="28"/>
  <c r="M120" i="28"/>
  <c r="K120" i="28"/>
  <c r="J120" i="28"/>
  <c r="B120" i="28"/>
  <c r="AC119" i="28"/>
  <c r="M119" i="28"/>
  <c r="K119" i="28"/>
  <c r="J119" i="28"/>
  <c r="X119" i="28" s="1"/>
  <c r="B119" i="28"/>
  <c r="M118" i="28"/>
  <c r="K118" i="28"/>
  <c r="J118" i="28"/>
  <c r="B118" i="28"/>
  <c r="AC117" i="28"/>
  <c r="M117" i="28"/>
  <c r="K117" i="28"/>
  <c r="J117" i="28"/>
  <c r="B117" i="28"/>
  <c r="AC116" i="28"/>
  <c r="M116" i="28"/>
  <c r="K116" i="28"/>
  <c r="J116" i="28"/>
  <c r="X116" i="28" s="1"/>
  <c r="B116" i="28"/>
  <c r="AC115" i="28"/>
  <c r="M115" i="28"/>
  <c r="K115" i="28"/>
  <c r="X115" i="28" s="1"/>
  <c r="J115" i="28"/>
  <c r="B115" i="28"/>
  <c r="AC114" i="28"/>
  <c r="X114" i="28"/>
  <c r="M114" i="28"/>
  <c r="K114" i="28"/>
  <c r="J114" i="28"/>
  <c r="B114" i="28"/>
  <c r="AC113" i="28"/>
  <c r="M113" i="28"/>
  <c r="K113" i="28"/>
  <c r="J113" i="28"/>
  <c r="B113" i="28"/>
  <c r="AC112" i="28"/>
  <c r="M112" i="28"/>
  <c r="K112" i="28"/>
  <c r="J112" i="28"/>
  <c r="X112" i="28" s="1"/>
  <c r="B112" i="28"/>
  <c r="AC111" i="28"/>
  <c r="M111" i="28"/>
  <c r="K111" i="28"/>
  <c r="J111" i="28"/>
  <c r="B111" i="28"/>
  <c r="AC110" i="28"/>
  <c r="X110" i="28"/>
  <c r="M110" i="28"/>
  <c r="K110" i="28"/>
  <c r="J110" i="28"/>
  <c r="B110" i="28"/>
  <c r="AC109" i="28"/>
  <c r="M109" i="28"/>
  <c r="K109" i="28"/>
  <c r="J109" i="28"/>
  <c r="B109" i="28"/>
  <c r="AC108" i="28"/>
  <c r="M108" i="28"/>
  <c r="K108" i="28"/>
  <c r="J108" i="28"/>
  <c r="B108" i="28"/>
  <c r="AC107" i="28"/>
  <c r="M107" i="28"/>
  <c r="K107" i="28"/>
  <c r="X107" i="28" s="1"/>
  <c r="J107" i="28"/>
  <c r="B107" i="28"/>
  <c r="AC106" i="28"/>
  <c r="X106" i="28"/>
  <c r="M106" i="28"/>
  <c r="K106" i="28"/>
  <c r="J106" i="28"/>
  <c r="E106" i="28"/>
  <c r="B106" i="28" s="1"/>
  <c r="AC105" i="28"/>
  <c r="M105" i="28"/>
  <c r="K105" i="28"/>
  <c r="J105" i="28"/>
  <c r="E105" i="28"/>
  <c r="B105" i="28" s="1"/>
  <c r="AC104" i="28"/>
  <c r="M104" i="28"/>
  <c r="K104" i="28"/>
  <c r="J104" i="28"/>
  <c r="E104" i="28"/>
  <c r="B104" i="28"/>
  <c r="AC103" i="28"/>
  <c r="M103" i="28"/>
  <c r="K103" i="28"/>
  <c r="X103" i="28" s="1"/>
  <c r="J103" i="28"/>
  <c r="E103" i="28"/>
  <c r="B103" i="28" s="1"/>
  <c r="AC102" i="28"/>
  <c r="X102" i="28"/>
  <c r="M102" i="28"/>
  <c r="K102" i="28"/>
  <c r="J102" i="28"/>
  <c r="E102" i="28"/>
  <c r="B102" i="28" s="1"/>
  <c r="AC101" i="28"/>
  <c r="M101" i="28"/>
  <c r="K101" i="28"/>
  <c r="J101" i="28"/>
  <c r="E101" i="28"/>
  <c r="B101" i="28" s="1"/>
  <c r="AC100" i="28"/>
  <c r="X100" i="28"/>
  <c r="M100" i="28"/>
  <c r="K100" i="28"/>
  <c r="J100" i="28"/>
  <c r="E100" i="28"/>
  <c r="B100" i="28" s="1"/>
  <c r="AC99" i="28"/>
  <c r="M99" i="28"/>
  <c r="K99" i="28"/>
  <c r="X99" i="28" s="1"/>
  <c r="J99" i="28"/>
  <c r="E99" i="28"/>
  <c r="B99" i="28" s="1"/>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AC61" i="28"/>
  <c r="M61" i="28"/>
  <c r="K61" i="28"/>
  <c r="J61" i="28"/>
  <c r="B61" i="28"/>
  <c r="AC60" i="28"/>
  <c r="M60" i="28"/>
  <c r="K60" i="28"/>
  <c r="T60" i="28" s="1"/>
  <c r="U60" i="28" s="1"/>
  <c r="J60" i="28"/>
  <c r="X60" i="28" s="1"/>
  <c r="E60" i="28"/>
  <c r="B60" i="28" s="1"/>
  <c r="AC59" i="28"/>
  <c r="M59" i="28"/>
  <c r="K59" i="28"/>
  <c r="J59" i="28"/>
  <c r="E59" i="28"/>
  <c r="B59" i="28"/>
  <c r="AC58" i="28"/>
  <c r="X58" i="28"/>
  <c r="M58" i="28"/>
  <c r="K58" i="28"/>
  <c r="J58" i="28"/>
  <c r="E58" i="28"/>
  <c r="B58" i="28" s="1"/>
  <c r="AC57" i="28"/>
  <c r="M57" i="28"/>
  <c r="K57" i="28"/>
  <c r="T57" i="28" s="1"/>
  <c r="U57" i="28" s="1"/>
  <c r="J57" i="28"/>
  <c r="X57" i="28" s="1"/>
  <c r="E57" i="28"/>
  <c r="B57" i="28" s="1"/>
  <c r="AC56" i="28"/>
  <c r="M56" i="28"/>
  <c r="K56" i="28"/>
  <c r="T56" i="28" s="1"/>
  <c r="U56" i="28" s="1"/>
  <c r="J56" i="28"/>
  <c r="E56" i="28"/>
  <c r="B56" i="28" s="1"/>
  <c r="AC55" i="28"/>
  <c r="X55" i="28"/>
  <c r="M55" i="28"/>
  <c r="K55" i="28"/>
  <c r="J55" i="28"/>
  <c r="E55" i="28"/>
  <c r="B55" i="28" s="1"/>
  <c r="AC54" i="28"/>
  <c r="M54" i="28"/>
  <c r="K54" i="28"/>
  <c r="T54" i="28" s="1"/>
  <c r="U54" i="28" s="1"/>
  <c r="J54" i="28"/>
  <c r="X54" i="28" s="1"/>
  <c r="E54" i="28"/>
  <c r="B54" i="28" s="1"/>
  <c r="AC53" i="28"/>
  <c r="M53" i="28"/>
  <c r="K53" i="28"/>
  <c r="T53" i="28" s="1"/>
  <c r="U53" i="28" s="1"/>
  <c r="J53" i="28"/>
  <c r="E53" i="28"/>
  <c r="B53" i="28" s="1"/>
  <c r="BK52" i="28"/>
  <c r="AC52" i="28"/>
  <c r="M52" i="28"/>
  <c r="K52" i="28"/>
  <c r="J52" i="28"/>
  <c r="E52" i="28"/>
  <c r="B52" i="28" s="1"/>
  <c r="BK51" i="28"/>
  <c r="AC51" i="28"/>
  <c r="M51" i="28"/>
  <c r="K51" i="28"/>
  <c r="J51" i="28"/>
  <c r="E51" i="28"/>
  <c r="B51" i="28" s="1"/>
  <c r="BK50" i="28"/>
  <c r="AC50" i="28"/>
  <c r="M50" i="28"/>
  <c r="K50" i="28"/>
  <c r="J50" i="28"/>
  <c r="E50" i="28"/>
  <c r="B50" i="28" s="1"/>
  <c r="BK49" i="28"/>
  <c r="AC49" i="28"/>
  <c r="X49" i="28"/>
  <c r="M49" i="28"/>
  <c r="K49" i="28"/>
  <c r="J49" i="28"/>
  <c r="E49" i="28"/>
  <c r="B49" i="28" s="1"/>
  <c r="BK48" i="28"/>
  <c r="AC48" i="28"/>
  <c r="M48" i="28"/>
  <c r="K48" i="28"/>
  <c r="J48" i="28"/>
  <c r="X48" i="28" s="1"/>
  <c r="E48" i="28"/>
  <c r="B48" i="28" s="1"/>
  <c r="BK47" i="28"/>
  <c r="AC47" i="28"/>
  <c r="M47" i="28"/>
  <c r="K47" i="28"/>
  <c r="J47" i="28"/>
  <c r="B47" i="28"/>
  <c r="BK46" i="28"/>
  <c r="AC46" i="28"/>
  <c r="M46" i="28"/>
  <c r="K46" i="28"/>
  <c r="J46" i="28"/>
  <c r="B46" i="28"/>
  <c r="AC45" i="28"/>
  <c r="M45" i="28"/>
  <c r="K45" i="28"/>
  <c r="J45" i="28"/>
  <c r="X45" i="28" s="1"/>
  <c r="B45" i="28"/>
  <c r="BK44" i="28"/>
  <c r="AC44" i="28"/>
  <c r="M44" i="28"/>
  <c r="K44" i="28"/>
  <c r="T44" i="28" s="1"/>
  <c r="J44" i="28"/>
  <c r="B44" i="28"/>
  <c r="BK43" i="28"/>
  <c r="AC43" i="28"/>
  <c r="M43" i="28"/>
  <c r="K43" i="28"/>
  <c r="J43" i="28"/>
  <c r="B43" i="28"/>
  <c r="BK42" i="28"/>
  <c r="AC42" i="28"/>
  <c r="M42" i="28"/>
  <c r="K42" i="28"/>
  <c r="J42" i="28"/>
  <c r="B42" i="28"/>
  <c r="BK41" i="28"/>
  <c r="AC41" i="28"/>
  <c r="M41" i="28"/>
  <c r="K41" i="28"/>
  <c r="T41" i="28" s="1"/>
  <c r="U41" i="28" s="1"/>
  <c r="J41" i="28"/>
  <c r="B41" i="28"/>
  <c r="BK40" i="28"/>
  <c r="AC40" i="28"/>
  <c r="M40" i="28"/>
  <c r="K40" i="28"/>
  <c r="J40" i="28"/>
  <c r="B40" i="28"/>
  <c r="BK39" i="28"/>
  <c r="AC39" i="28"/>
  <c r="M39" i="28"/>
  <c r="K39" i="28"/>
  <c r="J39" i="28"/>
  <c r="X39" i="28" s="1"/>
  <c r="E39" i="28"/>
  <c r="B39" i="28" s="1"/>
  <c r="BK38" i="28"/>
  <c r="AC38" i="28"/>
  <c r="X38" i="28"/>
  <c r="M38" i="28"/>
  <c r="K38" i="28"/>
  <c r="J38" i="28"/>
  <c r="E38" i="28"/>
  <c r="B38" i="28" s="1"/>
  <c r="BK37" i="28"/>
  <c r="AC37" i="28"/>
  <c r="M37" i="28"/>
  <c r="K37" i="28"/>
  <c r="J37" i="28"/>
  <c r="E37" i="28"/>
  <c r="B37" i="28" s="1"/>
  <c r="AC36" i="28"/>
  <c r="T36" i="28"/>
  <c r="M36" i="28"/>
  <c r="K36" i="28"/>
  <c r="H36" i="28"/>
  <c r="E36" i="28"/>
  <c r="B36" i="28" s="1"/>
  <c r="BK35" i="28"/>
  <c r="AC35" i="28"/>
  <c r="M35" i="28"/>
  <c r="K35" i="28"/>
  <c r="H35" i="28"/>
  <c r="E35" i="28"/>
  <c r="B35" i="28" s="1"/>
  <c r="BK34" i="28"/>
  <c r="AC34" i="28"/>
  <c r="M34" i="28"/>
  <c r="K34" i="28"/>
  <c r="J34" i="28"/>
  <c r="B34" i="28"/>
  <c r="BK33" i="28"/>
  <c r="AC33" i="28"/>
  <c r="M33" i="28"/>
  <c r="K33" i="28"/>
  <c r="J33" i="28"/>
  <c r="E33" i="28"/>
  <c r="B33" i="28"/>
  <c r="BK32" i="28"/>
  <c r="BA32" i="28"/>
  <c r="AZ32" i="28"/>
  <c r="AH32" i="28"/>
  <c r="AC32" i="28"/>
  <c r="M32" i="28"/>
  <c r="K32" i="28"/>
  <c r="X32" i="28" s="1"/>
  <c r="J32" i="28"/>
  <c r="E32" i="28"/>
  <c r="B32" i="28" s="1"/>
  <c r="BK31" i="28"/>
  <c r="AZ31" i="28"/>
  <c r="AH31" i="28"/>
  <c r="AC31" i="28"/>
  <c r="M31" i="28"/>
  <c r="K31" i="28"/>
  <c r="J31" i="28"/>
  <c r="B31" i="28"/>
  <c r="BK30" i="28"/>
  <c r="AZ30" i="28"/>
  <c r="AP30" i="28"/>
  <c r="AN30" i="28"/>
  <c r="AM30" i="28"/>
  <c r="AH30" i="28"/>
  <c r="AC30" i="28"/>
  <c r="M30" i="28"/>
  <c r="K30" i="28"/>
  <c r="J30" i="28"/>
  <c r="B30" i="28"/>
  <c r="BK29" i="28"/>
  <c r="AZ29" i="28"/>
  <c r="AP29" i="28"/>
  <c r="AN29" i="28"/>
  <c r="AM29" i="28"/>
  <c r="AH29" i="28"/>
  <c r="AC29" i="28"/>
  <c r="M29" i="28"/>
  <c r="K29" i="28"/>
  <c r="J29" i="28"/>
  <c r="B29" i="28"/>
  <c r="BK28" i="28"/>
  <c r="AZ28" i="28"/>
  <c r="AY28" i="28"/>
  <c r="AP28" i="28"/>
  <c r="AN28" i="28"/>
  <c r="AU28" i="28" s="1"/>
  <c r="AV28" i="28" s="1"/>
  <c r="AW28" i="28" s="1"/>
  <c r="AM28" i="28"/>
  <c r="AH28" i="28"/>
  <c r="AC28" i="28"/>
  <c r="X28" i="28"/>
  <c r="M28" i="28"/>
  <c r="K28" i="28"/>
  <c r="J28" i="28"/>
  <c r="B28" i="28"/>
  <c r="BK27" i="28"/>
  <c r="AZ27" i="28"/>
  <c r="AP27" i="28"/>
  <c r="AY27" i="28" s="1"/>
  <c r="AN27" i="28"/>
  <c r="AM27" i="28"/>
  <c r="AH27" i="28"/>
  <c r="AC27" i="28"/>
  <c r="M27" i="28"/>
  <c r="K27" i="28"/>
  <c r="J27" i="28"/>
  <c r="X27" i="28" s="1"/>
  <c r="B27" i="28"/>
  <c r="BK26" i="28"/>
  <c r="AZ26" i="28"/>
  <c r="AP26" i="28"/>
  <c r="AN26" i="28"/>
  <c r="AM26" i="28"/>
  <c r="AH26" i="28"/>
  <c r="AC26" i="28"/>
  <c r="M26" i="28"/>
  <c r="K26" i="28"/>
  <c r="J26" i="28"/>
  <c r="B26" i="28"/>
  <c r="BK25" i="28"/>
  <c r="AZ25" i="28"/>
  <c r="AP25" i="28"/>
  <c r="AN25" i="28"/>
  <c r="AM25" i="28"/>
  <c r="AH25" i="28"/>
  <c r="AC25" i="28"/>
  <c r="M25" i="28"/>
  <c r="K25" i="28"/>
  <c r="J25" i="28"/>
  <c r="B25" i="28"/>
  <c r="BK24" i="28"/>
  <c r="AZ24" i="28"/>
  <c r="AP24" i="28"/>
  <c r="AN24" i="28"/>
  <c r="AU24" i="28" s="1"/>
  <c r="AV24" i="28" s="1"/>
  <c r="AW24" i="28" s="1"/>
  <c r="AM24" i="28"/>
  <c r="AH24" i="28"/>
  <c r="AC24" i="28"/>
  <c r="X24" i="28"/>
  <c r="M24" i="28"/>
  <c r="K24" i="28"/>
  <c r="J24" i="28"/>
  <c r="B24" i="28"/>
  <c r="BK23" i="28"/>
  <c r="AZ23" i="28"/>
  <c r="AP23" i="28"/>
  <c r="AU23" i="28" s="1"/>
  <c r="AV23" i="28" s="1"/>
  <c r="AW23" i="28" s="1"/>
  <c r="AN23" i="28"/>
  <c r="AM23" i="28"/>
  <c r="AH23" i="28"/>
  <c r="AC23" i="28"/>
  <c r="M23" i="28"/>
  <c r="K23" i="28"/>
  <c r="J23" i="28"/>
  <c r="X23" i="28" s="1"/>
  <c r="B23" i="28"/>
  <c r="BK22" i="28"/>
  <c r="AZ22" i="28"/>
  <c r="AP22" i="28"/>
  <c r="AN22" i="28"/>
  <c r="AM22" i="28"/>
  <c r="AH22" i="28"/>
  <c r="AC22" i="28"/>
  <c r="M22" i="28"/>
  <c r="K22" i="28"/>
  <c r="J22" i="28"/>
  <c r="B22" i="28"/>
  <c r="BK21" i="28"/>
  <c r="AZ21" i="28"/>
  <c r="AU21" i="28"/>
  <c r="AV21" i="28" s="1"/>
  <c r="AW21" i="28" s="1"/>
  <c r="AP21" i="28"/>
  <c r="AN21" i="28"/>
  <c r="AM21" i="28"/>
  <c r="AH21" i="28"/>
  <c r="AC21" i="28"/>
  <c r="M21" i="28"/>
  <c r="K21" i="28"/>
  <c r="J21" i="28"/>
  <c r="B21" i="28"/>
  <c r="BK20" i="28"/>
  <c r="AZ20" i="28"/>
  <c r="AU20" i="28"/>
  <c r="AV20" i="28" s="1"/>
  <c r="AW20" i="28" s="1"/>
  <c r="AP20" i="28"/>
  <c r="AN20" i="28"/>
  <c r="AM20" i="28"/>
  <c r="AH20" i="28"/>
  <c r="AC20" i="28"/>
  <c r="M20" i="28"/>
  <c r="K20" i="28"/>
  <c r="T20" i="28" s="1"/>
  <c r="U20" i="28" s="1"/>
  <c r="J20" i="28"/>
  <c r="X20" i="28" s="1"/>
  <c r="B20" i="28"/>
  <c r="BK19" i="28"/>
  <c r="AZ19" i="28"/>
  <c r="AP19" i="28"/>
  <c r="AY19" i="28" s="1"/>
  <c r="AN19" i="28"/>
  <c r="AU19" i="28" s="1"/>
  <c r="AV19" i="28" s="1"/>
  <c r="AW19" i="28" s="1"/>
  <c r="AM19" i="28"/>
  <c r="AH19" i="28"/>
  <c r="AC19" i="28"/>
  <c r="M19" i="28"/>
  <c r="K19" i="28"/>
  <c r="J19" i="28"/>
  <c r="B19" i="28"/>
  <c r="BK18" i="28"/>
  <c r="AZ18" i="28"/>
  <c r="AP18" i="28"/>
  <c r="AN18" i="28"/>
  <c r="AM18" i="28"/>
  <c r="AY18" i="28" s="1"/>
  <c r="AH18" i="28"/>
  <c r="AC18" i="28"/>
  <c r="M18" i="28"/>
  <c r="K18" i="28"/>
  <c r="J18" i="28"/>
  <c r="B18" i="28"/>
  <c r="BP17" i="28"/>
  <c r="T120" i="28" s="1"/>
  <c r="U120" i="28" s="1"/>
  <c r="BK17" i="28"/>
  <c r="AZ17" i="28"/>
  <c r="AP17" i="28"/>
  <c r="AN17" i="28"/>
  <c r="AM17" i="28"/>
  <c r="AY17" i="28" s="1"/>
  <c r="AH17" i="28"/>
  <c r="AC17" i="28"/>
  <c r="M17" i="28"/>
  <c r="K17" i="28"/>
  <c r="J17" i="28"/>
  <c r="B17" i="28"/>
  <c r="BK16" i="28"/>
  <c r="AZ16" i="28"/>
  <c r="AP16" i="28"/>
  <c r="AN16" i="28"/>
  <c r="AM16" i="28"/>
  <c r="AY16" i="28" s="1"/>
  <c r="AH16" i="28"/>
  <c r="AC16" i="28"/>
  <c r="T16" i="28"/>
  <c r="U16" i="28" s="1"/>
  <c r="M16" i="28"/>
  <c r="K16" i="28"/>
  <c r="J16" i="28"/>
  <c r="B16" i="28"/>
  <c r="BK15" i="28"/>
  <c r="AZ15" i="28"/>
  <c r="AP15" i="28"/>
  <c r="AN15" i="28"/>
  <c r="AU15" i="28" s="1"/>
  <c r="AV15" i="28" s="1"/>
  <c r="AW15" i="28" s="1"/>
  <c r="AM15" i="28"/>
  <c r="AY15" i="28" s="1"/>
  <c r="AH15" i="28"/>
  <c r="AC15" i="28"/>
  <c r="M15" i="28"/>
  <c r="K15" i="28"/>
  <c r="J15" i="28"/>
  <c r="B15" i="28"/>
  <c r="BK14" i="28"/>
  <c r="AZ14" i="28"/>
  <c r="AP14" i="28"/>
  <c r="AN14" i="28"/>
  <c r="AM14" i="28"/>
  <c r="AY14" i="28" s="1"/>
  <c r="AH14" i="28"/>
  <c r="AC14" i="28"/>
  <c r="M14" i="28"/>
  <c r="K14" i="28"/>
  <c r="J14" i="28"/>
  <c r="B14" i="28"/>
  <c r="BK13" i="28"/>
  <c r="AZ13" i="28"/>
  <c r="AP13" i="28"/>
  <c r="AN13" i="28"/>
  <c r="AM13" i="28"/>
  <c r="AH13" i="28"/>
  <c r="AC13" i="28"/>
  <c r="M13" i="28"/>
  <c r="K13" i="28"/>
  <c r="X13" i="28" s="1"/>
  <c r="J13" i="28"/>
  <c r="E13" i="28"/>
  <c r="B13" i="28" s="1"/>
  <c r="BP12" i="28"/>
  <c r="BK12" i="28"/>
  <c r="AZ12" i="28"/>
  <c r="AP12" i="28"/>
  <c r="AN12" i="28"/>
  <c r="AU12" i="28" s="1"/>
  <c r="AV12" i="28" s="1"/>
  <c r="AW12" i="28" s="1"/>
  <c r="AM12" i="28"/>
  <c r="AH12" i="28"/>
  <c r="AC12" i="28"/>
  <c r="M12" i="28"/>
  <c r="K12" i="28"/>
  <c r="T12" i="28" s="1"/>
  <c r="U12" i="28" s="1"/>
  <c r="V12" i="28" s="1"/>
  <c r="J12" i="28"/>
  <c r="E12" i="28"/>
  <c r="B12" i="28" s="1"/>
  <c r="BK11" i="28"/>
  <c r="AZ11" i="28"/>
  <c r="AY11" i="28"/>
  <c r="AP11" i="28"/>
  <c r="AN11" i="28"/>
  <c r="AU11" i="28" s="1"/>
  <c r="AV11" i="28" s="1"/>
  <c r="AM11" i="28"/>
  <c r="AH11" i="28"/>
  <c r="AC11" i="28"/>
  <c r="U11" i="28"/>
  <c r="V11" i="28" s="1"/>
  <c r="T11" i="28"/>
  <c r="M11" i="28"/>
  <c r="K11" i="28"/>
  <c r="J11" i="28"/>
  <c r="E11" i="28"/>
  <c r="B11" i="28"/>
  <c r="BK10" i="28"/>
  <c r="AZ10" i="28"/>
  <c r="AP10" i="28"/>
  <c r="AN10" i="28"/>
  <c r="AM10" i="28"/>
  <c r="AY10" i="28" s="1"/>
  <c r="AH10" i="28"/>
  <c r="AC10" i="28"/>
  <c r="M10" i="28"/>
  <c r="K10" i="28"/>
  <c r="J10" i="28"/>
  <c r="X10" i="28" s="1"/>
  <c r="E10" i="28"/>
  <c r="B10" i="28"/>
  <c r="BK9" i="28"/>
  <c r="AZ9" i="28"/>
  <c r="AY9" i="28"/>
  <c r="AP9" i="28"/>
  <c r="AN9" i="28"/>
  <c r="AM9" i="28"/>
  <c r="AH9" i="28"/>
  <c r="AC9" i="28"/>
  <c r="M9" i="28"/>
  <c r="K9" i="28"/>
  <c r="T9" i="28" s="1"/>
  <c r="U9" i="28" s="1"/>
  <c r="J9" i="28"/>
  <c r="E9" i="28"/>
  <c r="B9" i="28" s="1"/>
  <c r="BK8" i="28"/>
  <c r="AZ8" i="28"/>
  <c r="AP8" i="28"/>
  <c r="AY8" i="28" s="1"/>
  <c r="AN8" i="28"/>
  <c r="AU8" i="28" s="1"/>
  <c r="AV8" i="28" s="1"/>
  <c r="AW8" i="28" s="1"/>
  <c r="AM8" i="28"/>
  <c r="AH8" i="28"/>
  <c r="AC8" i="28"/>
  <c r="M8" i="28"/>
  <c r="K8" i="28"/>
  <c r="J8" i="28"/>
  <c r="E8" i="28"/>
  <c r="B8" i="28"/>
  <c r="BK7" i="28"/>
  <c r="AZ7" i="28"/>
  <c r="AP7" i="28"/>
  <c r="AY7" i="28" s="1"/>
  <c r="AN7" i="28"/>
  <c r="AM7" i="28"/>
  <c r="AH7" i="28"/>
  <c r="AC7" i="28"/>
  <c r="X7" i="28"/>
  <c r="M7" i="28"/>
  <c r="K7" i="28"/>
  <c r="J7" i="28"/>
  <c r="E7" i="28"/>
  <c r="B7" i="28" s="1"/>
  <c r="BK6" i="28"/>
  <c r="AZ6" i="28"/>
  <c r="AP6" i="28"/>
  <c r="AU6" i="28" s="1"/>
  <c r="AN6" i="28"/>
  <c r="AM6" i="28"/>
  <c r="AY6" i="28" s="1"/>
  <c r="AH6" i="28"/>
  <c r="AC6" i="28"/>
  <c r="M6" i="28"/>
  <c r="K6" i="28"/>
  <c r="J6" i="28"/>
  <c r="X6" i="28" s="1"/>
  <c r="E6" i="28"/>
  <c r="B6" i="28" s="1"/>
  <c r="G16" i="22" l="1"/>
  <c r="G104" i="22"/>
  <c r="G81" i="22"/>
  <c r="G66" i="22"/>
  <c r="G17" i="22"/>
  <c r="G32" i="22"/>
  <c r="G50" i="22"/>
  <c r="G43" i="22"/>
  <c r="G101" i="22"/>
  <c r="G24" i="22"/>
  <c r="G15" i="22"/>
  <c r="G98" i="22"/>
  <c r="G25" i="22"/>
  <c r="G48" i="22"/>
  <c r="G99" i="22"/>
  <c r="G62" i="22"/>
  <c r="G65" i="22"/>
  <c r="G8" i="22"/>
  <c r="G9" i="22"/>
  <c r="G63" i="22"/>
  <c r="G83" i="22"/>
  <c r="G26" i="22"/>
  <c r="G13" i="22"/>
  <c r="G28" i="22"/>
  <c r="G29" i="22"/>
  <c r="G33" i="22"/>
  <c r="G82" i="22"/>
  <c r="G100" i="22"/>
  <c r="G30" i="22"/>
  <c r="G31" i="22"/>
  <c r="G34" i="22"/>
  <c r="G47" i="22"/>
  <c r="F76" i="31" s="1"/>
  <c r="H76" i="31" s="1"/>
  <c r="G64" i="22"/>
  <c r="G84" i="22"/>
  <c r="G102" i="22"/>
  <c r="G85" i="22"/>
  <c r="G103" i="22"/>
  <c r="G12" i="22"/>
  <c r="G67" i="22"/>
  <c r="G87" i="22"/>
  <c r="G27" i="22"/>
  <c r="G49" i="22"/>
  <c r="G68" i="22"/>
  <c r="G14" i="22"/>
  <c r="G51" i="22"/>
  <c r="V9" i="28"/>
  <c r="Z9" i="28"/>
  <c r="AA9" i="28"/>
  <c r="Z41" i="28"/>
  <c r="V41" i="28"/>
  <c r="Z20" i="28"/>
  <c r="V20" i="28"/>
  <c r="Y20" i="28" s="1"/>
  <c r="W20" i="28"/>
  <c r="T10" i="28"/>
  <c r="U10" i="28" s="1"/>
  <c r="T59" i="28"/>
  <c r="U59" i="28" s="1"/>
  <c r="AU29" i="28"/>
  <c r="AV29" i="28" s="1"/>
  <c r="AW29" i="28" s="1"/>
  <c r="T100" i="28"/>
  <c r="U100" i="28" s="1"/>
  <c r="Z100" i="28" s="1"/>
  <c r="X50" i="28"/>
  <c r="T50" i="28"/>
  <c r="U50" i="28" s="1"/>
  <c r="AA50" i="28" s="1"/>
  <c r="AU17" i="28"/>
  <c r="AV17" i="28" s="1"/>
  <c r="AW17" i="28" s="1"/>
  <c r="T33" i="28"/>
  <c r="U33" i="28" s="1"/>
  <c r="Z33" i="28" s="1"/>
  <c r="X40" i="28"/>
  <c r="X53" i="28"/>
  <c r="X56" i="28"/>
  <c r="X59" i="28"/>
  <c r="X111" i="28"/>
  <c r="AU18" i="28"/>
  <c r="T21" i="28"/>
  <c r="U21" i="28" s="1"/>
  <c r="Z21" i="28" s="1"/>
  <c r="T6" i="28"/>
  <c r="U6" i="28" s="1"/>
  <c r="AU14" i="28"/>
  <c r="AV14" i="28" s="1"/>
  <c r="AW14" i="28" s="1"/>
  <c r="BA14" i="28" s="1"/>
  <c r="X33" i="28"/>
  <c r="X37" i="28"/>
  <c r="X120" i="28"/>
  <c r="AU10" i="28"/>
  <c r="AV10" i="28" s="1"/>
  <c r="T34" i="28"/>
  <c r="U34" i="28" s="1"/>
  <c r="T7" i="28"/>
  <c r="U7" i="28" s="1"/>
  <c r="AA7" i="28" s="1"/>
  <c r="AY12" i="28"/>
  <c r="AY13" i="28"/>
  <c r="AU16" i="28"/>
  <c r="AV16" i="28" s="1"/>
  <c r="AW16" i="28" s="1"/>
  <c r="T29" i="28"/>
  <c r="U29" i="28" s="1"/>
  <c r="AU13" i="28"/>
  <c r="AV13" i="28" s="1"/>
  <c r="AW13" i="28" s="1"/>
  <c r="AY20" i="28"/>
  <c r="X21" i="28"/>
  <c r="X31" i="28"/>
  <c r="T39" i="28"/>
  <c r="U39" i="28" s="1"/>
  <c r="V39" i="28" s="1"/>
  <c r="T42" i="28"/>
  <c r="U42" i="28" s="1"/>
  <c r="T8" i="28"/>
  <c r="U8" i="28" s="1"/>
  <c r="V8" i="28" s="1"/>
  <c r="AU9" i="28"/>
  <c r="AV9" i="28" s="1"/>
  <c r="AW9" i="28" s="1"/>
  <c r="T49" i="28"/>
  <c r="U49" i="28" s="1"/>
  <c r="Z49" i="28" s="1"/>
  <c r="T52" i="28"/>
  <c r="U52" i="28" s="1"/>
  <c r="V52" i="28" s="1"/>
  <c r="T55" i="28"/>
  <c r="U55" i="28" s="1"/>
  <c r="AA55" i="28" s="1"/>
  <c r="T58" i="28"/>
  <c r="U58" i="28" s="1"/>
  <c r="T61" i="28"/>
  <c r="X12" i="28"/>
  <c r="T26" i="28"/>
  <c r="U26" i="28" s="1"/>
  <c r="V26" i="28" s="1"/>
  <c r="Y26" i="28" s="1"/>
  <c r="T28" i="28"/>
  <c r="U28" i="28" s="1"/>
  <c r="Z28" i="28" s="1"/>
  <c r="T30" i="28"/>
  <c r="U30" i="28" s="1"/>
  <c r="V30" i="28" s="1"/>
  <c r="Y30" i="28" s="1"/>
  <c r="X46" i="28"/>
  <c r="X108" i="28"/>
  <c r="X118" i="28"/>
  <c r="X121" i="28"/>
  <c r="X15" i="28"/>
  <c r="X16" i="28"/>
  <c r="X18" i="28"/>
  <c r="X34" i="28"/>
  <c r="T48" i="28"/>
  <c r="U48" i="28" s="1"/>
  <c r="AA48" i="28" s="1"/>
  <c r="AV6" i="28"/>
  <c r="AW6" i="28" s="1"/>
  <c r="T18" i="28"/>
  <c r="U18" i="28" s="1"/>
  <c r="Z18" i="28" s="1"/>
  <c r="AY25" i="28"/>
  <c r="T15" i="28"/>
  <c r="U15" i="28" s="1"/>
  <c r="T17" i="28"/>
  <c r="U17" i="28" s="1"/>
  <c r="AY24" i="28"/>
  <c r="AU7" i="28"/>
  <c r="AV7" i="28" s="1"/>
  <c r="AW7" i="28" s="1"/>
  <c r="T14" i="28"/>
  <c r="U14" i="28" s="1"/>
  <c r="Z14" i="28" s="1"/>
  <c r="AU22" i="28"/>
  <c r="AV22" i="28" s="1"/>
  <c r="AW22" i="28" s="1"/>
  <c r="AU25" i="28"/>
  <c r="AV25" i="28" s="1"/>
  <c r="AW25" i="28" s="1"/>
  <c r="AW10" i="28"/>
  <c r="AX10" i="28"/>
  <c r="V16" i="28"/>
  <c r="Z16" i="28"/>
  <c r="Z59" i="28"/>
  <c r="V59" i="28"/>
  <c r="Y59" i="28" s="1"/>
  <c r="Z34" i="28"/>
  <c r="AD34" i="28" s="1"/>
  <c r="V34" i="28"/>
  <c r="V49" i="28"/>
  <c r="V6" i="28"/>
  <c r="Z6" i="28"/>
  <c r="V7" i="28"/>
  <c r="Z7" i="28"/>
  <c r="Z29" i="28"/>
  <c r="V29" i="28"/>
  <c r="Z8" i="28"/>
  <c r="Z120" i="28"/>
  <c r="AD120" i="28" s="1"/>
  <c r="V120" i="28"/>
  <c r="Z30" i="28"/>
  <c r="AW11" i="28"/>
  <c r="AX11" i="28"/>
  <c r="Z48" i="28"/>
  <c r="V18" i="28"/>
  <c r="V15" i="28"/>
  <c r="Z15" i="28"/>
  <c r="V17" i="28"/>
  <c r="Z17" i="28"/>
  <c r="V14" i="28"/>
  <c r="BA22" i="28"/>
  <c r="BA25" i="28"/>
  <c r="X14" i="28"/>
  <c r="X44" i="28"/>
  <c r="Z60" i="28"/>
  <c r="V60" i="28"/>
  <c r="AY21" i="28"/>
  <c r="AX23" i="28"/>
  <c r="BA23" i="28" s="1"/>
  <c r="AX24" i="28"/>
  <c r="BA24" i="28" s="1"/>
  <c r="X25" i="28"/>
  <c r="AY26" i="28"/>
  <c r="AU27" i="28"/>
  <c r="AV27" i="28" s="1"/>
  <c r="AW27" i="28" s="1"/>
  <c r="V33" i="28"/>
  <c r="J35" i="28"/>
  <c r="X41" i="28"/>
  <c r="X42" i="28"/>
  <c r="T45" i="28"/>
  <c r="U45" i="28" s="1"/>
  <c r="W45" i="28" s="1"/>
  <c r="Z50" i="28"/>
  <c r="W60" i="28"/>
  <c r="AA60" i="28"/>
  <c r="W58" i="28"/>
  <c r="AA57" i="28"/>
  <c r="AA54" i="28"/>
  <c r="AA49" i="28"/>
  <c r="W61" i="28"/>
  <c r="AA105" i="28"/>
  <c r="W103" i="28"/>
  <c r="W100" i="28"/>
  <c r="AA120" i="28"/>
  <c r="AA39" i="28"/>
  <c r="AA30" i="28"/>
  <c r="AA18" i="28"/>
  <c r="W121" i="28"/>
  <c r="W59" i="28"/>
  <c r="AA58" i="28"/>
  <c r="W56" i="28"/>
  <c r="W53" i="28"/>
  <c r="AA29" i="28"/>
  <c r="W120" i="28"/>
  <c r="AA52" i="28"/>
  <c r="W48" i="28"/>
  <c r="AA41" i="28"/>
  <c r="AD41" i="28" s="1"/>
  <c r="W30" i="28"/>
  <c r="AX29" i="28"/>
  <c r="BA29" i="28" s="1"/>
  <c r="W26" i="28"/>
  <c r="AX25" i="28"/>
  <c r="AX21" i="28"/>
  <c r="BA21" i="28" s="1"/>
  <c r="W18" i="28"/>
  <c r="AA17" i="28"/>
  <c r="Z56" i="28"/>
  <c r="V56" i="28"/>
  <c r="AA6" i="28"/>
  <c r="W8" i="28"/>
  <c r="AX8" i="28"/>
  <c r="BA8" i="28" s="1"/>
  <c r="W9" i="28"/>
  <c r="Y9" i="28" s="1"/>
  <c r="AA14" i="28"/>
  <c r="X19" i="28"/>
  <c r="T22" i="28"/>
  <c r="U22" i="28" s="1"/>
  <c r="AA22" i="28" s="1"/>
  <c r="AY23" i="28"/>
  <c r="X26" i="28"/>
  <c r="AU26" i="28"/>
  <c r="AV26" i="28" s="1"/>
  <c r="AW26" i="28" s="1"/>
  <c r="W29" i="28"/>
  <c r="W33" i="28"/>
  <c r="J36" i="28"/>
  <c r="W49" i="28"/>
  <c r="AA56" i="28"/>
  <c r="AA16" i="28"/>
  <c r="X8" i="28"/>
  <c r="AX9" i="28"/>
  <c r="BA9" i="28" s="1"/>
  <c r="W10" i="28"/>
  <c r="T19" i="28"/>
  <c r="U19" i="28" s="1"/>
  <c r="AA19" i="28" s="1"/>
  <c r="AX22" i="28"/>
  <c r="AX27" i="28"/>
  <c r="AX28" i="28"/>
  <c r="BA28" i="28" s="1"/>
  <c r="X29" i="28"/>
  <c r="AY30" i="28"/>
  <c r="V100" i="28"/>
  <c r="Y100" i="28" s="1"/>
  <c r="X30" i="28"/>
  <c r="W34" i="28"/>
  <c r="U44" i="28"/>
  <c r="AA44" i="28" s="1"/>
  <c r="AA103" i="28"/>
  <c r="X109" i="28"/>
  <c r="AX26" i="28"/>
  <c r="AA34" i="28"/>
  <c r="X43" i="28"/>
  <c r="X47" i="28"/>
  <c r="AA59" i="28"/>
  <c r="AA100" i="28"/>
  <c r="T13" i="28"/>
  <c r="U13" i="28" s="1"/>
  <c r="W13" i="28" s="1"/>
  <c r="AA28" i="28"/>
  <c r="AD28" i="28" s="1"/>
  <c r="AA33" i="28"/>
  <c r="AD33" i="28" s="1"/>
  <c r="Z54" i="28"/>
  <c r="V54" i="28"/>
  <c r="V58" i="28"/>
  <c r="Z58" i="28"/>
  <c r="X61" i="28"/>
  <c r="X113" i="28"/>
  <c r="W11" i="28"/>
  <c r="Y11" i="28" s="1"/>
  <c r="W12" i="28"/>
  <c r="Y12" i="28" s="1"/>
  <c r="AA10" i="28"/>
  <c r="AX19" i="28"/>
  <c r="BA19" i="28" s="1"/>
  <c r="AY29" i="28"/>
  <c r="T32" i="28"/>
  <c r="U32" i="28" s="1"/>
  <c r="Z39" i="28"/>
  <c r="W41" i="28"/>
  <c r="Y41" i="28" s="1"/>
  <c r="AD100" i="28"/>
  <c r="W54" i="28"/>
  <c r="Z11" i="28"/>
  <c r="Z12" i="28"/>
  <c r="AD12" i="28" s="1"/>
  <c r="W15" i="28"/>
  <c r="W16" i="28"/>
  <c r="AX20" i="28"/>
  <c r="BA20" i="28" s="1"/>
  <c r="X52" i="28"/>
  <c r="AV18" i="28"/>
  <c r="AW18" i="28" s="1"/>
  <c r="W6" i="28"/>
  <c r="X9" i="28"/>
  <c r="AA11" i="28"/>
  <c r="AA12" i="28"/>
  <c r="AX15" i="28"/>
  <c r="BA15" i="28" s="1"/>
  <c r="T23" i="28"/>
  <c r="U23" i="28" s="1"/>
  <c r="W23" i="28" s="1"/>
  <c r="T25" i="28"/>
  <c r="U25" i="28" s="1"/>
  <c r="AA25" i="28" s="1"/>
  <c r="X51" i="28"/>
  <c r="Z53" i="28"/>
  <c r="V53" i="28"/>
  <c r="Z57" i="28"/>
  <c r="AD57" i="28" s="1"/>
  <c r="V57" i="28"/>
  <c r="Y57" i="28" s="1"/>
  <c r="U61" i="28"/>
  <c r="AA61" i="28" s="1"/>
  <c r="X11" i="28"/>
  <c r="AX12" i="28"/>
  <c r="BA12" i="28" s="1"/>
  <c r="AX14" i="28"/>
  <c r="W17" i="28"/>
  <c r="T24" i="28"/>
  <c r="U24" i="28" s="1"/>
  <c r="W57" i="28"/>
  <c r="T101" i="28"/>
  <c r="U101" i="28" s="1"/>
  <c r="AA101" i="28" s="1"/>
  <c r="AX16" i="28"/>
  <c r="BA16" i="28" s="1"/>
  <c r="AA20" i="28"/>
  <c r="AD20" i="28" s="1"/>
  <c r="AX6" i="28"/>
  <c r="BA6" i="28" s="1"/>
  <c r="W7" i="28"/>
  <c r="W14" i="28"/>
  <c r="AA15" i="28"/>
  <c r="X17" i="28"/>
  <c r="X22" i="28"/>
  <c r="AY22" i="28"/>
  <c r="T27" i="28"/>
  <c r="U27" i="28" s="1"/>
  <c r="AA27" i="28" s="1"/>
  <c r="AA53" i="28"/>
  <c r="W104" i="28"/>
  <c r="T37" i="28"/>
  <c r="U37" i="28" s="1"/>
  <c r="AA37" i="28" s="1"/>
  <c r="T99" i="28"/>
  <c r="U99" i="28" s="1"/>
  <c r="W99" i="28" s="1"/>
  <c r="X101" i="28"/>
  <c r="T102" i="28"/>
  <c r="U102" i="28" s="1"/>
  <c r="X104" i="28"/>
  <c r="T105" i="28"/>
  <c r="U105" i="28" s="1"/>
  <c r="W105" i="28" s="1"/>
  <c r="T121" i="28"/>
  <c r="U121" i="28" s="1"/>
  <c r="AA121" i="28" s="1"/>
  <c r="AU30" i="28"/>
  <c r="AV30" i="28" s="1"/>
  <c r="AW30" i="28" s="1"/>
  <c r="T31" i="28"/>
  <c r="U31" i="28" s="1"/>
  <c r="AA31" i="28" s="1"/>
  <c r="T46" i="28"/>
  <c r="U46" i="28" s="1"/>
  <c r="W46" i="28" s="1"/>
  <c r="T51" i="28"/>
  <c r="U51" i="28" s="1"/>
  <c r="AA51" i="28" s="1"/>
  <c r="T109" i="28"/>
  <c r="U109" i="28" s="1"/>
  <c r="W109" i="28" s="1"/>
  <c r="T113" i="28"/>
  <c r="U113" i="28" s="1"/>
  <c r="T117" i="28"/>
  <c r="U117" i="28" s="1"/>
  <c r="W117" i="28" s="1"/>
  <c r="T35" i="28"/>
  <c r="U35" i="28" s="1"/>
  <c r="AA35" i="28" s="1"/>
  <c r="T40" i="28"/>
  <c r="U40" i="28" s="1"/>
  <c r="AA40" i="28" s="1"/>
  <c r="T43" i="28"/>
  <c r="U43" i="28" s="1"/>
  <c r="AA43" i="28" s="1"/>
  <c r="T103" i="28"/>
  <c r="U103" i="28" s="1"/>
  <c r="X105" i="28"/>
  <c r="T106" i="28"/>
  <c r="U106" i="28" s="1"/>
  <c r="W106" i="28" s="1"/>
  <c r="T110" i="28"/>
  <c r="U110" i="28" s="1"/>
  <c r="AA110" i="28" s="1"/>
  <c r="T114" i="28"/>
  <c r="U114" i="28" s="1"/>
  <c r="T118" i="28"/>
  <c r="U118" i="28" s="1"/>
  <c r="T38" i="28"/>
  <c r="U38" i="28" s="1"/>
  <c r="T47" i="28"/>
  <c r="U47" i="28" s="1"/>
  <c r="AA47" i="28" s="1"/>
  <c r="X117" i="28"/>
  <c r="T107" i="28"/>
  <c r="U107" i="28" s="1"/>
  <c r="W107" i="28" s="1"/>
  <c r="T111" i="28"/>
  <c r="U111" i="28" s="1"/>
  <c r="W111" i="28" s="1"/>
  <c r="T115" i="28"/>
  <c r="U115" i="28" s="1"/>
  <c r="W115" i="28" s="1"/>
  <c r="T119" i="28"/>
  <c r="U119" i="28" s="1"/>
  <c r="T104" i="28"/>
  <c r="U104" i="28" s="1"/>
  <c r="T108" i="28"/>
  <c r="U108" i="28" s="1"/>
  <c r="T112" i="28"/>
  <c r="U112" i="28" s="1"/>
  <c r="W112" i="28" s="1"/>
  <c r="T116" i="28"/>
  <c r="U116" i="28" s="1"/>
  <c r="W116" i="28" s="1"/>
  <c r="W51" i="28" l="1"/>
  <c r="V21" i="28"/>
  <c r="W50" i="28"/>
  <c r="V50" i="28"/>
  <c r="Y50" i="28" s="1"/>
  <c r="V48" i="28"/>
  <c r="Y48" i="28" s="1"/>
  <c r="AA8" i="28"/>
  <c r="Z35" i="28"/>
  <c r="AX13" i="28"/>
  <c r="BA13" i="28" s="1"/>
  <c r="W22" i="28"/>
  <c r="AA21" i="28"/>
  <c r="AD21" i="28" s="1"/>
  <c r="AA26" i="28"/>
  <c r="W110" i="28"/>
  <c r="Y34" i="28"/>
  <c r="V10" i="28"/>
  <c r="Z10" i="28"/>
  <c r="AD50" i="28"/>
  <c r="AD8" i="28"/>
  <c r="W52" i="28"/>
  <c r="V42" i="28"/>
  <c r="Z42" i="28"/>
  <c r="AD39" i="28"/>
  <c r="Y10" i="28"/>
  <c r="AX7" i="28"/>
  <c r="BA7" i="28" s="1"/>
  <c r="Z55" i="28"/>
  <c r="AD55" i="28" s="1"/>
  <c r="Y54" i="28"/>
  <c r="V55" i="28"/>
  <c r="W28" i="28"/>
  <c r="Y28" i="28" s="1"/>
  <c r="W39" i="28"/>
  <c r="Y39" i="28" s="1"/>
  <c r="W43" i="28"/>
  <c r="W55" i="28"/>
  <c r="Z52" i="28"/>
  <c r="Y15" i="28"/>
  <c r="AD6" i="28"/>
  <c r="W40" i="28"/>
  <c r="AA42" i="28"/>
  <c r="W21" i="28"/>
  <c r="V28" i="28"/>
  <c r="Z26" i="28"/>
  <c r="AD26" i="28" s="1"/>
  <c r="Y6" i="28"/>
  <c r="AD15" i="28"/>
  <c r="AD56" i="28"/>
  <c r="W42" i="28"/>
  <c r="AD9" i="28"/>
  <c r="Y60" i="28"/>
  <c r="AX17" i="28"/>
  <c r="BA17" i="28" s="1"/>
  <c r="AD10" i="28"/>
  <c r="W37" i="28"/>
  <c r="Y120" i="28"/>
  <c r="Z113" i="28"/>
  <c r="V113" i="28"/>
  <c r="Z114" i="28"/>
  <c r="V114" i="28"/>
  <c r="Z32" i="28"/>
  <c r="V32" i="28"/>
  <c r="Z106" i="28"/>
  <c r="V106" i="28"/>
  <c r="Y106" i="28" s="1"/>
  <c r="V104" i="28"/>
  <c r="Y104" i="28" s="1"/>
  <c r="Z104" i="28"/>
  <c r="Z27" i="28"/>
  <c r="AD27" i="28" s="1"/>
  <c r="V27" i="28"/>
  <c r="V101" i="28"/>
  <c r="Z101" i="28"/>
  <c r="AD101" i="28" s="1"/>
  <c r="AD53" i="28"/>
  <c r="AX30" i="28"/>
  <c r="BA30" i="28" s="1"/>
  <c r="AD58" i="28"/>
  <c r="W47" i="28"/>
  <c r="AA112" i="28"/>
  <c r="X35" i="28"/>
  <c r="AA106" i="28"/>
  <c r="AD59" i="28"/>
  <c r="Z38" i="28"/>
  <c r="V38" i="28"/>
  <c r="V118" i="28"/>
  <c r="Z46" i="28"/>
  <c r="V46" i="28"/>
  <c r="Y46" i="28" s="1"/>
  <c r="AX18" i="28"/>
  <c r="BA18" i="28" s="1"/>
  <c r="Z108" i="28"/>
  <c r="V108" i="28"/>
  <c r="Z121" i="28"/>
  <c r="AD121" i="28" s="1"/>
  <c r="V121" i="28"/>
  <c r="Y121" i="28" s="1"/>
  <c r="Y58" i="28"/>
  <c r="Z44" i="28"/>
  <c r="AD44" i="28" s="1"/>
  <c r="V44" i="28"/>
  <c r="W27" i="28"/>
  <c r="W108" i="28"/>
  <c r="AA107" i="28"/>
  <c r="AA116" i="28"/>
  <c r="Y33" i="28"/>
  <c r="W101" i="28"/>
  <c r="AD14" i="28"/>
  <c r="AD18" i="28"/>
  <c r="Y8" i="28"/>
  <c r="AD16" i="28"/>
  <c r="Z117" i="28"/>
  <c r="V117" i="28"/>
  <c r="Y117" i="28" s="1"/>
  <c r="V45" i="28"/>
  <c r="Y45" i="28" s="1"/>
  <c r="Z45" i="28"/>
  <c r="AD49" i="28"/>
  <c r="V13" i="28"/>
  <c r="Y13" i="28" s="1"/>
  <c r="Z13" i="28"/>
  <c r="Y49" i="28"/>
  <c r="AA13" i="28"/>
  <c r="Z105" i="28"/>
  <c r="AD105" i="28" s="1"/>
  <c r="V105" i="28"/>
  <c r="Y105" i="28" s="1"/>
  <c r="W32" i="28"/>
  <c r="AA46" i="28"/>
  <c r="BA26" i="28"/>
  <c r="Y56" i="28"/>
  <c r="AA111" i="28"/>
  <c r="AA109" i="28"/>
  <c r="Y14" i="28"/>
  <c r="Y18" i="28"/>
  <c r="Y29" i="28"/>
  <c r="Y16" i="28"/>
  <c r="Z19" i="28"/>
  <c r="AD19" i="28" s="1"/>
  <c r="W19" i="28"/>
  <c r="V19" i="28"/>
  <c r="Z25" i="28"/>
  <c r="AD25" i="28" s="1"/>
  <c r="V25" i="28"/>
  <c r="AA38" i="28"/>
  <c r="V23" i="28"/>
  <c r="Y23" i="28" s="1"/>
  <c r="Z23" i="28"/>
  <c r="Z51" i="28"/>
  <c r="AD51" i="28" s="1"/>
  <c r="V51" i="28"/>
  <c r="Y51" i="28" s="1"/>
  <c r="W38" i="28"/>
  <c r="AA114" i="28"/>
  <c r="X36" i="28"/>
  <c r="U36" i="28"/>
  <c r="AA45" i="28"/>
  <c r="Z110" i="28"/>
  <c r="AD110" i="28" s="1"/>
  <c r="V110" i="28"/>
  <c r="Y110" i="28" s="1"/>
  <c r="W113" i="28"/>
  <c r="V119" i="28"/>
  <c r="Z119" i="28"/>
  <c r="AD119" i="28" s="1"/>
  <c r="V24" i="28"/>
  <c r="Z24" i="28"/>
  <c r="AD11" i="28"/>
  <c r="AD54" i="28"/>
  <c r="W31" i="28"/>
  <c r="AA115" i="28"/>
  <c r="AA99" i="28"/>
  <c r="AA113" i="28"/>
  <c r="BA27" i="28"/>
  <c r="AD60" i="28"/>
  <c r="BA11" i="28"/>
  <c r="AD29" i="28"/>
  <c r="Z47" i="28"/>
  <c r="AD47" i="28" s="1"/>
  <c r="V47" i="28"/>
  <c r="Y47" i="28" s="1"/>
  <c r="V37" i="28"/>
  <c r="Y37" i="28" s="1"/>
  <c r="Z37" i="28"/>
  <c r="AD37" i="28" s="1"/>
  <c r="Z109" i="28"/>
  <c r="V109" i="28"/>
  <c r="Y109" i="28" s="1"/>
  <c r="AD109" i="28" s="1"/>
  <c r="Y53" i="28"/>
  <c r="AA108" i="28"/>
  <c r="Z103" i="28"/>
  <c r="AD103" i="28" s="1"/>
  <c r="V103" i="28"/>
  <c r="Y103" i="28" s="1"/>
  <c r="V111" i="28"/>
  <c r="Y111" i="28" s="1"/>
  <c r="AD111" i="28" s="1"/>
  <c r="Z111" i="28"/>
  <c r="Z40" i="28"/>
  <c r="V40" i="28"/>
  <c r="Z102" i="28"/>
  <c r="AD102" i="28" s="1"/>
  <c r="V102" i="28"/>
  <c r="W102" i="28"/>
  <c r="V35" i="28"/>
  <c r="AA23" i="28"/>
  <c r="W25" i="28"/>
  <c r="AA119" i="28"/>
  <c r="W35" i="28"/>
  <c r="AA117" i="28"/>
  <c r="W119" i="28"/>
  <c r="AD52" i="28"/>
  <c r="AD17" i="28"/>
  <c r="AD7" i="28"/>
  <c r="V99" i="28"/>
  <c r="Y99" i="28" s="1"/>
  <c r="Z99" i="28"/>
  <c r="AD99" i="28" s="1"/>
  <c r="AD35" i="28"/>
  <c r="V61" i="28"/>
  <c r="Y61" i="28" s="1"/>
  <c r="AD61" i="28" s="1"/>
  <c r="Z61" i="28"/>
  <c r="Z116" i="28"/>
  <c r="V116" i="28"/>
  <c r="Y116" i="28" s="1"/>
  <c r="Z112" i="28"/>
  <c r="V112" i="28"/>
  <c r="Y112" i="28" s="1"/>
  <c r="AA32" i="28"/>
  <c r="W114" i="28"/>
  <c r="Z31" i="28"/>
  <c r="V31" i="28"/>
  <c r="W118" i="28"/>
  <c r="V115" i="28"/>
  <c r="Y115" i="28" s="1"/>
  <c r="Z115" i="28"/>
  <c r="Z43" i="28"/>
  <c r="AD43" i="28" s="1"/>
  <c r="V43" i="28"/>
  <c r="V107" i="28"/>
  <c r="Y107" i="28" s="1"/>
  <c r="AD107" i="28" s="1"/>
  <c r="Z107" i="28"/>
  <c r="W44" i="28"/>
  <c r="AA24" i="28"/>
  <c r="Z22" i="28"/>
  <c r="AD22" i="28" s="1"/>
  <c r="V22" i="28"/>
  <c r="Y22" i="28" s="1"/>
  <c r="W24" i="28"/>
  <c r="AA104" i="28"/>
  <c r="AA102" i="28"/>
  <c r="Y52" i="28"/>
  <c r="Y17" i="28"/>
  <c r="AD48" i="28"/>
  <c r="AD30" i="28"/>
  <c r="Y7" i="28"/>
  <c r="BA10" i="28"/>
  <c r="Y40" i="28" l="1"/>
  <c r="AD40" i="28" s="1"/>
  <c r="AD13" i="28"/>
  <c r="Y108" i="28"/>
  <c r="AD108" i="28" s="1"/>
  <c r="AD23" i="28"/>
  <c r="Y42" i="28"/>
  <c r="Y55" i="28"/>
  <c r="Y21" i="28"/>
  <c r="Y35" i="28"/>
  <c r="AD38" i="28"/>
  <c r="Y27" i="28"/>
  <c r="AD113" i="28"/>
  <c r="Y43" i="28"/>
  <c r="AD42" i="28"/>
  <c r="Y31" i="28"/>
  <c r="AD31" i="28" s="1"/>
  <c r="AD24" i="28"/>
  <c r="AD104" i="28"/>
  <c r="Y24" i="28"/>
  <c r="AD46" i="28"/>
  <c r="Y32" i="28"/>
  <c r="AD112" i="28"/>
  <c r="AD116" i="28"/>
  <c r="AD45" i="28"/>
  <c r="Y118" i="28"/>
  <c r="AD32" i="28"/>
  <c r="Y102" i="28"/>
  <c r="Y25" i="28"/>
  <c r="Y114" i="28"/>
  <c r="Y119" i="28"/>
  <c r="AD106" i="28"/>
  <c r="AD115" i="28"/>
  <c r="Y44" i="28"/>
  <c r="AD114" i="28"/>
  <c r="V36" i="28"/>
  <c r="W36" i="28"/>
  <c r="AA36" i="28"/>
  <c r="Z36" i="28"/>
  <c r="AD36" i="28" s="1"/>
  <c r="Y19" i="28"/>
  <c r="AD117" i="28"/>
  <c r="Y38" i="28"/>
  <c r="Y101" i="28"/>
  <c r="Y113" i="28"/>
  <c r="Y36" i="28" l="1"/>
  <c r="H60" i="31" l="1"/>
  <c r="H61" i="31"/>
  <c r="H60" i="30"/>
  <c r="H61" i="30"/>
  <c r="H62" i="30"/>
  <c r="E59" i="30"/>
  <c r="E58" i="31"/>
  <c r="E18" i="31"/>
  <c r="B54" i="31"/>
  <c r="B55" i="30"/>
  <c r="D8" i="23" l="1"/>
  <c r="C8" i="23"/>
  <c r="C9" i="23"/>
  <c r="C75" i="30"/>
  <c r="B75" i="30"/>
  <c r="C74" i="30"/>
  <c r="B74" i="30"/>
  <c r="C73" i="30"/>
  <c r="B73" i="30"/>
  <c r="C72" i="30"/>
  <c r="C71" i="30"/>
  <c r="C70" i="30"/>
  <c r="C69" i="30"/>
  <c r="C68" i="30"/>
  <c r="B72" i="30"/>
  <c r="B71" i="30"/>
  <c r="B70" i="30"/>
  <c r="B69" i="30"/>
  <c r="B68" i="30"/>
  <c r="C82" i="31"/>
  <c r="C81" i="31"/>
  <c r="C80" i="31"/>
  <c r="C79" i="31"/>
  <c r="C78" i="31"/>
  <c r="C77" i="31"/>
  <c r="B82" i="31"/>
  <c r="B81" i="31"/>
  <c r="B80" i="31"/>
  <c r="B79" i="31"/>
  <c r="B78" i="31"/>
  <c r="B77" i="31"/>
  <c r="F82" i="31"/>
  <c r="F81" i="31"/>
  <c r="I72" i="22" l="1"/>
  <c r="I54" i="22"/>
  <c r="G82" i="31"/>
  <c r="D82" i="31"/>
  <c r="E82" i="31"/>
  <c r="D81" i="31"/>
  <c r="E81" i="31"/>
  <c r="D80" i="31"/>
  <c r="D79" i="31"/>
  <c r="D78" i="31"/>
  <c r="D77" i="31"/>
  <c r="D73" i="31"/>
  <c r="D75" i="30"/>
  <c r="D74" i="30"/>
  <c r="D73" i="30"/>
  <c r="D72" i="30"/>
  <c r="D71" i="30"/>
  <c r="D70" i="30"/>
  <c r="D68" i="30"/>
  <c r="D67" i="30"/>
  <c r="I106" i="22" l="1"/>
  <c r="I90" i="22"/>
  <c r="E72" i="30"/>
  <c r="D69" i="30"/>
  <c r="E75" i="30"/>
  <c r="E77" i="31"/>
  <c r="I71" i="22"/>
  <c r="E80" i="31"/>
  <c r="E79" i="31"/>
  <c r="E73" i="31"/>
  <c r="E70" i="30"/>
  <c r="E69" i="30"/>
  <c r="E73" i="30"/>
  <c r="I105" i="22"/>
  <c r="I69" i="22"/>
  <c r="I88" i="22"/>
  <c r="I52" i="22"/>
  <c r="G81" i="31"/>
  <c r="E74" i="30"/>
  <c r="E78" i="31"/>
  <c r="E71" i="30"/>
  <c r="E68" i="30"/>
  <c r="I53" i="22"/>
  <c r="I70" i="22"/>
  <c r="I89" i="22"/>
  <c r="E67" i="30"/>
  <c r="I68" i="22" l="1"/>
  <c r="F39" i="31"/>
  <c r="F40" i="30"/>
  <c r="E15" i="30" l="1"/>
  <c r="F79" i="31" l="1"/>
  <c r="F74" i="30"/>
  <c r="F70" i="30"/>
  <c r="F69" i="30"/>
  <c r="F72" i="30"/>
  <c r="F71" i="30"/>
  <c r="F77" i="31"/>
  <c r="F73" i="30"/>
  <c r="F78" i="31"/>
  <c r="F75" i="30"/>
  <c r="F80" i="31"/>
  <c r="F67" i="30"/>
  <c r="F73" i="31"/>
  <c r="F68" i="30"/>
  <c r="D19" i="31"/>
  <c r="H59" i="31" s="1"/>
  <c r="C24" i="31" l="1"/>
  <c r="D24" i="31"/>
  <c r="D25" i="30"/>
  <c r="C25" i="30"/>
  <c r="C67" i="31"/>
  <c r="F68" i="31"/>
  <c r="D68" i="31"/>
  <c r="B68" i="31"/>
  <c r="F67" i="31"/>
  <c r="E67" i="31"/>
  <c r="D67" i="31"/>
  <c r="B67" i="31"/>
  <c r="F66" i="31"/>
  <c r="F65" i="31"/>
  <c r="D37" i="23"/>
  <c r="D35" i="23"/>
  <c r="D34" i="23"/>
  <c r="D30" i="23"/>
  <c r="D28" i="23"/>
  <c r="D27" i="23"/>
  <c r="D23" i="23"/>
  <c r="D21" i="23"/>
  <c r="D20" i="23"/>
  <c r="D16" i="23"/>
  <c r="C68" i="31" s="1"/>
  <c r="D14" i="23"/>
  <c r="C66" i="31" s="1"/>
  <c r="D13" i="23"/>
  <c r="C65" i="31" s="1"/>
  <c r="D9" i="23"/>
  <c r="D7" i="23"/>
  <c r="D6" i="23"/>
  <c r="C6" i="23"/>
  <c r="C23" i="23"/>
  <c r="C21" i="23"/>
  <c r="C20" i="23"/>
  <c r="D66" i="31"/>
  <c r="D65" i="31"/>
  <c r="B66" i="31"/>
  <c r="B65" i="31"/>
  <c r="C73" i="31"/>
  <c r="B73" i="31"/>
  <c r="D13" i="31"/>
  <c r="H58" i="31" s="1"/>
  <c r="C59" i="31"/>
  <c r="H57" i="31"/>
  <c r="C57" i="31"/>
  <c r="D33" i="31"/>
  <c r="C61" i="31" s="1"/>
  <c r="D29" i="31"/>
  <c r="D28" i="31"/>
  <c r="F7" i="31"/>
  <c r="D13" i="30"/>
  <c r="H59" i="30" s="1"/>
  <c r="C58" i="31" l="1"/>
  <c r="B95" i="31"/>
  <c r="B94" i="31"/>
  <c r="B100" i="31"/>
  <c r="B99" i="31"/>
  <c r="B98" i="31"/>
  <c r="B97" i="31"/>
  <c r="B96" i="31"/>
  <c r="I93" i="31"/>
  <c r="H93" i="31"/>
  <c r="G93" i="31"/>
  <c r="F93" i="31"/>
  <c r="E93" i="31"/>
  <c r="D93" i="31"/>
  <c r="C93" i="31"/>
  <c r="F13" i="31"/>
  <c r="F24" i="31"/>
  <c r="G67" i="31"/>
  <c r="E15" i="31"/>
  <c r="E19" i="31"/>
  <c r="E22" i="31"/>
  <c r="E23" i="31"/>
  <c r="E21" i="31"/>
  <c r="E17" i="31"/>
  <c r="F6" i="31"/>
  <c r="F10" i="31" s="1"/>
  <c r="E16" i="31"/>
  <c r="C67" i="30"/>
  <c r="B67" i="30"/>
  <c r="D24" i="30"/>
  <c r="D19" i="30"/>
  <c r="C24" i="30"/>
  <c r="H58" i="30"/>
  <c r="C58" i="30"/>
  <c r="D34" i="30"/>
  <c r="C62" i="30" s="1"/>
  <c r="D30" i="30"/>
  <c r="D29" i="30"/>
  <c r="F7" i="30"/>
  <c r="D32" i="25"/>
  <c r="C59" i="30" l="1"/>
  <c r="F20" i="31"/>
  <c r="F37" i="31"/>
  <c r="B86" i="30"/>
  <c r="B91" i="30"/>
  <c r="B90" i="30"/>
  <c r="B89" i="30"/>
  <c r="B88" i="30"/>
  <c r="B87" i="30"/>
  <c r="B92" i="30"/>
  <c r="F25" i="30"/>
  <c r="H85" i="30"/>
  <c r="E85" i="30"/>
  <c r="I85" i="30"/>
  <c r="G85" i="30"/>
  <c r="F85" i="30"/>
  <c r="D85" i="30"/>
  <c r="C85" i="30"/>
  <c r="F13" i="30"/>
  <c r="E21" i="30"/>
  <c r="C7" i="25"/>
  <c r="D6" i="25"/>
  <c r="C6" i="25"/>
  <c r="F14" i="31"/>
  <c r="F31" i="31"/>
  <c r="D7" i="25"/>
  <c r="B7" i="25"/>
  <c r="C8" i="25"/>
  <c r="E23" i="30"/>
  <c r="E16" i="30"/>
  <c r="E17" i="30"/>
  <c r="E24" i="30"/>
  <c r="E19" i="30"/>
  <c r="E22" i="30"/>
  <c r="F6" i="30"/>
  <c r="F10" i="30" s="1"/>
  <c r="B17" i="25"/>
  <c r="D17" i="25"/>
  <c r="C17" i="25"/>
  <c r="D9" i="25"/>
  <c r="B6" i="25"/>
  <c r="E18" i="30" l="1"/>
  <c r="F20" i="30"/>
  <c r="F38" i="30"/>
  <c r="F14" i="30"/>
  <c r="F32" i="30"/>
  <c r="B5" i="25" l="1"/>
  <c r="B11" i="25" s="1"/>
  <c r="D29" i="25"/>
  <c r="D5" i="25" s="1"/>
  <c r="D11" i="25" s="1"/>
  <c r="D18" i="25" s="1"/>
  <c r="C29" i="25"/>
  <c r="C5" i="25" s="1"/>
  <c r="C11" i="25" s="1"/>
  <c r="C18" i="25" s="1"/>
  <c r="B18" i="25" l="1"/>
  <c r="G36" i="22" l="1"/>
  <c r="F107" i="22"/>
  <c r="E73" i="22"/>
  <c r="F55" i="22"/>
  <c r="E107" i="22"/>
  <c r="F73" i="22"/>
  <c r="E91" i="22"/>
  <c r="F91" i="22"/>
  <c r="E36" i="22"/>
  <c r="E18" i="22"/>
  <c r="F36" i="22"/>
  <c r="F18" i="22"/>
  <c r="E55" i="22"/>
  <c r="G55" i="22" l="1"/>
  <c r="G18" i="22"/>
  <c r="G91" i="22"/>
  <c r="G73" i="22"/>
  <c r="G107" i="22"/>
  <c r="E83" i="31"/>
  <c r="C29" i="31" s="1"/>
  <c r="F29" i="31" s="1"/>
  <c r="D76" i="30"/>
  <c r="D83" i="31"/>
  <c r="E76" i="30"/>
  <c r="C30" i="30" s="1"/>
  <c r="F30" i="30" s="1"/>
  <c r="C60" i="31" l="1"/>
  <c r="C28" i="31"/>
  <c r="F28" i="31" s="1"/>
  <c r="C61" i="30"/>
  <c r="C29" i="30"/>
  <c r="F29" i="30" s="1"/>
  <c r="G72" i="30"/>
  <c r="H72" i="30" s="1"/>
  <c r="I14" i="22"/>
  <c r="I24" i="22"/>
  <c r="I83" i="22"/>
  <c r="G71" i="30"/>
  <c r="I13" i="22"/>
  <c r="I34" i="22"/>
  <c r="G74" i="30"/>
  <c r="H74" i="30" s="1"/>
  <c r="I16" i="22"/>
  <c r="I101" i="22"/>
  <c r="G79" i="31"/>
  <c r="H79" i="31" s="1"/>
  <c r="I50" i="22"/>
  <c r="I66" i="22"/>
  <c r="I86" i="22"/>
  <c r="I81" i="22"/>
  <c r="I29" i="22"/>
  <c r="I63" i="22"/>
  <c r="I99" i="22"/>
  <c r="I82" i="22"/>
  <c r="F83" i="31"/>
  <c r="F30" i="31" l="1"/>
  <c r="I32" i="22"/>
  <c r="I28" i="22"/>
  <c r="I65" i="22"/>
  <c r="G73" i="31"/>
  <c r="H73" i="31" s="1"/>
  <c r="I43" i="22"/>
  <c r="I97" i="22"/>
  <c r="I47" i="22"/>
  <c r="I26" i="22"/>
  <c r="H36" i="22"/>
  <c r="H55" i="22"/>
  <c r="H107" i="22"/>
  <c r="H18" i="22"/>
  <c r="H73" i="22"/>
  <c r="G68" i="30"/>
  <c r="H68" i="30" s="1"/>
  <c r="I9" i="22"/>
  <c r="I102" i="22"/>
  <c r="I31" i="22"/>
  <c r="I64" i="22"/>
  <c r="G80" i="31"/>
  <c r="H80" i="31" s="1"/>
  <c r="I51" i="22"/>
  <c r="G67" i="30"/>
  <c r="H67" i="30" s="1"/>
  <c r="I8" i="22"/>
  <c r="I67" i="22"/>
  <c r="I98" i="22"/>
  <c r="I104" i="22"/>
  <c r="G77" i="31"/>
  <c r="H77" i="31" s="1"/>
  <c r="I48" i="22"/>
  <c r="G75" i="30"/>
  <c r="H75" i="30" s="1"/>
  <c r="I17" i="22"/>
  <c r="I25" i="22"/>
  <c r="I35" i="22"/>
  <c r="I30" i="22"/>
  <c r="I87" i="22"/>
  <c r="I100" i="22"/>
  <c r="I27" i="22"/>
  <c r="I84" i="22"/>
  <c r="G70" i="30"/>
  <c r="H70" i="30" s="1"/>
  <c r="I12" i="22"/>
  <c r="G69" i="30"/>
  <c r="H69" i="30" s="1"/>
  <c r="I62" i="22"/>
  <c r="F76" i="30"/>
  <c r="F31" i="30" s="1"/>
  <c r="H82" i="31"/>
  <c r="I73" i="22" l="1"/>
  <c r="I103" i="22"/>
  <c r="I107" i="22" s="1"/>
  <c r="I85" i="22"/>
  <c r="I91" i="22" s="1"/>
  <c r="H91" i="22"/>
  <c r="G78" i="31"/>
  <c r="H78" i="31" s="1"/>
  <c r="I49" i="22"/>
  <c r="I55" i="22" s="1"/>
  <c r="I33" i="22"/>
  <c r="I36" i="22" s="1"/>
  <c r="G73" i="30"/>
  <c r="H73" i="30" s="1"/>
  <c r="I15" i="22"/>
  <c r="I18" i="22" s="1"/>
  <c r="H81" i="31"/>
  <c r="H74" i="31"/>
  <c r="H71" i="30"/>
  <c r="G83" i="31" l="1"/>
  <c r="F38" i="31" s="1"/>
  <c r="F40" i="31" s="1"/>
  <c r="H76" i="30"/>
  <c r="G76" i="30"/>
  <c r="F39" i="30" s="1"/>
  <c r="F41" i="30" s="1"/>
  <c r="H83" i="31"/>
  <c r="F48" i="31" l="1"/>
  <c r="F49" i="30"/>
  <c r="C37" i="23"/>
  <c r="C35" i="23"/>
  <c r="C34" i="23"/>
  <c r="C30" i="23"/>
  <c r="C28" i="23"/>
  <c r="C27" i="23"/>
  <c r="C16" i="23"/>
  <c r="E68" i="31" s="1"/>
  <c r="G68" i="31" s="1"/>
  <c r="C14" i="23"/>
  <c r="C13" i="23"/>
  <c r="C7" i="23"/>
  <c r="E65" i="31" l="1"/>
  <c r="G65" i="31" s="1"/>
  <c r="E66" i="31"/>
  <c r="G66" i="31" s="1"/>
  <c r="G69" i="31" l="1"/>
  <c r="F27" i="31" s="1"/>
  <c r="C33" i="31" s="1"/>
  <c r="F33" i="31" s="1"/>
  <c r="C100" i="31" l="1"/>
  <c r="F96" i="31"/>
  <c r="I96" i="31"/>
  <c r="D98" i="31"/>
  <c r="I94" i="31"/>
  <c r="E100" i="31"/>
  <c r="G99" i="31"/>
  <c r="E96" i="31"/>
  <c r="D100" i="31"/>
  <c r="H96" i="31"/>
  <c r="E98" i="31"/>
  <c r="G96" i="31"/>
  <c r="C95" i="31"/>
  <c r="C94" i="31"/>
  <c r="G95" i="31"/>
  <c r="H97" i="31"/>
  <c r="H94" i="31"/>
  <c r="G100" i="31"/>
  <c r="F97" i="31"/>
  <c r="I99" i="31"/>
  <c r="F94" i="31"/>
  <c r="C99" i="31"/>
  <c r="H99" i="31"/>
  <c r="F100" i="31"/>
  <c r="G97" i="31"/>
  <c r="I98" i="31"/>
  <c r="D94" i="31"/>
  <c r="H95" i="31"/>
  <c r="D96" i="31"/>
  <c r="D99" i="31"/>
  <c r="E97" i="31"/>
  <c r="D97" i="31"/>
  <c r="H100" i="31"/>
  <c r="D95" i="31"/>
  <c r="E94" i="31"/>
  <c r="C98" i="31"/>
  <c r="E95" i="31"/>
  <c r="F95" i="31"/>
  <c r="G94" i="31"/>
  <c r="I95" i="31"/>
  <c r="F99" i="31"/>
  <c r="I97" i="31"/>
  <c r="G98" i="31"/>
  <c r="I100" i="31"/>
  <c r="H98" i="31"/>
  <c r="C96" i="31"/>
  <c r="E99" i="31"/>
  <c r="F98" i="31"/>
  <c r="C97" i="31"/>
  <c r="F34" i="31"/>
  <c r="F44" i="31" s="1"/>
  <c r="C34" i="30"/>
  <c r="F34" i="30" s="1"/>
  <c r="F35" i="30" l="1"/>
  <c r="F87" i="30"/>
  <c r="H89" i="30"/>
  <c r="D88" i="30"/>
  <c r="I91" i="30"/>
  <c r="E91" i="30"/>
  <c r="C92" i="30"/>
  <c r="G92" i="30"/>
  <c r="G86" i="30"/>
  <c r="E92" i="30"/>
  <c r="H90" i="30"/>
  <c r="H88" i="30"/>
  <c r="C86" i="30"/>
  <c r="I87" i="30"/>
  <c r="D86" i="30"/>
  <c r="F89" i="30"/>
  <c r="F92" i="30"/>
  <c r="I89" i="30"/>
  <c r="D89" i="30"/>
  <c r="F88" i="30"/>
  <c r="I86" i="30"/>
  <c r="I88" i="30"/>
  <c r="G87" i="30"/>
  <c r="D91" i="30"/>
  <c r="C88" i="30"/>
  <c r="G91" i="30"/>
  <c r="I90" i="30"/>
  <c r="H91" i="30"/>
  <c r="G90" i="30"/>
  <c r="D87" i="30"/>
  <c r="C87" i="30"/>
  <c r="D92" i="30"/>
  <c r="I92" i="30"/>
  <c r="D90" i="30"/>
  <c r="E89" i="30"/>
  <c r="H87" i="30"/>
  <c r="F86" i="30"/>
  <c r="G89" i="30"/>
  <c r="C91" i="30"/>
  <c r="C90" i="30"/>
  <c r="F91" i="30"/>
  <c r="H86" i="30"/>
  <c r="E88" i="30"/>
  <c r="E87" i="30"/>
  <c r="F90" i="30"/>
  <c r="E90" i="30"/>
  <c r="H92" i="30"/>
  <c r="G88" i="30"/>
  <c r="E86" i="30"/>
  <c r="C89" i="30"/>
  <c r="F42" i="31"/>
  <c r="F49" i="31" s="1"/>
  <c r="F47" i="31"/>
  <c r="F48" i="30" l="1"/>
  <c r="F45" i="30"/>
  <c r="F43" i="30"/>
  <c r="F50" i="30" s="1"/>
  <c r="F45" i="31"/>
  <c r="F46" i="31"/>
  <c r="F101" i="31" s="1"/>
  <c r="F46" i="30" l="1"/>
  <c r="F47" i="30"/>
  <c r="F9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Massey, Raymond E.</author>
  </authors>
  <commentList>
    <comment ref="H26" authorId="0" shapeId="0" xr:uid="{0360A8CB-EB1C-4AEE-B213-94B2155B33A6}">
      <text>
        <r>
          <rPr>
            <sz val="9"/>
            <color indexed="81"/>
            <rFont val="Tahoma"/>
            <family val="2"/>
          </rPr>
          <t>Land charge is attributed to growing wheat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Massey, Ray</author>
    <author>William Lazarus</author>
    <author>William F Lazarus</author>
  </authors>
  <commentList>
    <comment ref="W5" authorId="0" shapeId="0" xr:uid="{F036FD94-CF22-4FD3-9447-71CFF55CAAE5}">
      <text>
        <r>
          <rPr>
            <b/>
            <sz val="9"/>
            <color indexed="81"/>
            <rFont val="Tahoma"/>
            <family val="2"/>
          </rPr>
          <t>Massey, Ray:</t>
        </r>
        <r>
          <rPr>
            <sz val="9"/>
            <color indexed="81"/>
            <rFont val="Tahoma"/>
            <family val="2"/>
          </rPr>
          <t xml:space="preserve">
OH = interest + insurance + taxes + housing</t>
        </r>
      </text>
    </comment>
    <comment ref="AA5" authorId="0" shapeId="0" xr:uid="{DD6891C0-564F-4BAD-BB63-6BC6690A9673}">
      <text>
        <r>
          <rPr>
            <b/>
            <sz val="9"/>
            <color indexed="81"/>
            <rFont val="Tahoma"/>
            <family val="2"/>
          </rPr>
          <t>Massey, Ray:</t>
        </r>
        <r>
          <rPr>
            <sz val="9"/>
            <color indexed="81"/>
            <rFont val="Tahoma"/>
            <family val="2"/>
          </rPr>
          <t xml:space="preserve">
OH = interest + insurance + taxes + housing</t>
        </r>
      </text>
    </comment>
    <comment ref="AX5" authorId="0" shapeId="0" xr:uid="{71820FCB-774A-4CA3-A265-6E40963A7EDD}">
      <text>
        <r>
          <rPr>
            <b/>
            <sz val="9"/>
            <color indexed="81"/>
            <rFont val="Tahoma"/>
            <family val="2"/>
          </rPr>
          <t>Massey, Ray:</t>
        </r>
        <r>
          <rPr>
            <sz val="9"/>
            <color indexed="81"/>
            <rFont val="Tahoma"/>
            <family val="2"/>
          </rPr>
          <t xml:space="preserve">
OH = interest + insurance + taxes + housing</t>
        </r>
      </text>
    </comment>
    <comment ref="BP12" authorId="1" shapeId="0" xr:uid="{B3B5E7E0-B0FF-42F5-85FE-1DDF86CA8148}">
      <text>
        <r>
          <rPr>
            <b/>
            <sz val="8"/>
            <color indexed="81"/>
            <rFont val="Tahoma"/>
            <family val="2"/>
          </rPr>
          <t>William Lazarus:</t>
        </r>
        <r>
          <rPr>
            <sz val="8"/>
            <color indexed="81"/>
            <rFont val="Tahoma"/>
            <family val="2"/>
          </rPr>
          <t xml:space="preserve">
Based on Petrolia's average building cost of $3.75/ft2 from Huhnke OkSU round bale storage fact sheet BAE1716, * 15% for debt servicing and overhead, adjusted for inflation based on Jan 2021 Ag Prices Building materials index of 126.3/ Jan 2004  level of 73.3 = 1.72.
From Lazarus Machinery cost</t>
        </r>
      </text>
    </comment>
    <comment ref="BO14" authorId="2" shapeId="0" xr:uid="{0FBA7980-9BAF-4973-807C-3D9EDEC81FD9}">
      <text>
        <r>
          <rPr>
            <b/>
            <sz val="9"/>
            <color indexed="81"/>
            <rFont val="Tahoma"/>
            <family val="2"/>
          </rPr>
          <t>William F Lazarus:</t>
        </r>
        <r>
          <rPr>
            <sz val="9"/>
            <color indexed="81"/>
            <rFont val="Tahoma"/>
            <family val="2"/>
          </rPr>
          <t xml:space="preserve">
The national net farm income is used in the salvage value formulas as an indicator of the strength of the market for used equipment.  If we expect to own a machine for 12-years from 2023, we are really interested in the machinery market in the year 2033, but of course since 2033 estimates are unavailable the best we can really do is use the USDA estimate for 2023, which is $1136.9 billion in the Feb. 7, 2023 forecast.  We have converted the 2023 estimates to 1996 dollars because the formulas were based on 1996 inflation levels.</t>
        </r>
      </text>
    </comment>
    <comment ref="BP15" authorId="2" shapeId="0" xr:uid="{E645F15B-C6C4-4EBC-825A-3A0864A70A46}">
      <text>
        <r>
          <rPr>
            <b/>
            <sz val="9"/>
            <color indexed="81"/>
            <rFont val="Tahoma"/>
            <family val="2"/>
          </rPr>
          <t>William F Lazarus:</t>
        </r>
        <r>
          <rPr>
            <sz val="9"/>
            <color indexed="81"/>
            <rFont val="Tahoma"/>
            <family val="2"/>
          </rPr>
          <t xml:space="preserve">
from the Bureau of Econ Analysis National Income and Product Accts, in the econ report of the president</t>
        </r>
      </text>
    </comment>
    <comment ref="BO17" authorId="2" shapeId="0" xr:uid="{3DC8150B-1E09-4659-BFA7-0FE683A59BE8}">
      <text>
        <r>
          <rPr>
            <b/>
            <sz val="9"/>
            <color indexed="81"/>
            <rFont val="Tahoma"/>
            <family val="2"/>
          </rPr>
          <t>William F Lazarus:</t>
        </r>
        <r>
          <rPr>
            <sz val="9"/>
            <color indexed="81"/>
            <rFont val="Tahoma"/>
            <family val="2"/>
          </rPr>
          <t xml:space="preserve">
The national net farm income is used in the salvage value formulas as an indicator of the strength of the market for used equipment.  If we expect to own a machine for 12-years from 2020, we are really interested in the machinery market in the year 2031, but of course since 2028 estimates are unavailable the best we can really do is use USDA estimates for 2020.  We have converted the 2020 estimates to 1996 dollars because the formulas were based on 1996 inflation levels.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<sst xmlns="http://schemas.openxmlformats.org/spreadsheetml/2006/main" count="2175" uniqueCount="887">
  <si>
    <t>Corn</t>
  </si>
  <si>
    <t>Soybeans</t>
  </si>
  <si>
    <t>Milo</t>
  </si>
  <si>
    <t>Wheat</t>
  </si>
  <si>
    <t>Units</t>
  </si>
  <si>
    <t>All Budgets</t>
  </si>
  <si>
    <t>Dryland</t>
  </si>
  <si>
    <t>Full Season</t>
  </si>
  <si>
    <t>Double Crop</t>
  </si>
  <si>
    <t>Yield</t>
  </si>
  <si>
    <t>Seed bag capacity</t>
  </si>
  <si>
    <t>Phosphorous</t>
  </si>
  <si>
    <t>Potassium</t>
  </si>
  <si>
    <t>Lime</t>
  </si>
  <si>
    <t>Herbicide applications</t>
  </si>
  <si>
    <t>Passes</t>
  </si>
  <si>
    <t>Operating interest</t>
  </si>
  <si>
    <t>Input Prices</t>
  </si>
  <si>
    <t>$/pound N applied</t>
  </si>
  <si>
    <t>$/ton</t>
  </si>
  <si>
    <t>Seed</t>
  </si>
  <si>
    <t>$/unit</t>
  </si>
  <si>
    <t>Herbicide</t>
  </si>
  <si>
    <t>$/hour</t>
  </si>
  <si>
    <t>$/gallon</t>
  </si>
  <si>
    <t>Ownership Costs</t>
  </si>
  <si>
    <t>Farm business overhead</t>
  </si>
  <si>
    <t>$/acre</t>
  </si>
  <si>
    <t>Would you like to see the quantities and prices used to calculate costs?</t>
  </si>
  <si>
    <t>Yes</t>
  </si>
  <si>
    <t>Price</t>
  </si>
  <si>
    <t>Total</t>
  </si>
  <si>
    <t>Primary crop revenue</t>
  </si>
  <si>
    <t>bushels</t>
  </si>
  <si>
    <t>Byproduct crop revenue</t>
  </si>
  <si>
    <t>Direct government payments</t>
  </si>
  <si>
    <t>Other income</t>
  </si>
  <si>
    <t>Quantity</t>
  </si>
  <si>
    <t>Nitrogen</t>
  </si>
  <si>
    <t>Crop protection</t>
  </si>
  <si>
    <t>Crop supplies, storage, and marketing</t>
  </si>
  <si>
    <t>Crop consulting and insurance</t>
  </si>
  <si>
    <t>Custom hire and rental</t>
  </si>
  <si>
    <t>Machinery repairs and maintenance</t>
  </si>
  <si>
    <t>Other expense</t>
  </si>
  <si>
    <t>Real estate charge</t>
  </si>
  <si>
    <t>Operating costs per bushel</t>
  </si>
  <si>
    <t>Ownership costs per bushel</t>
  </si>
  <si>
    <t>Total costs per bushel</t>
  </si>
  <si>
    <t>Selected input quantities</t>
  </si>
  <si>
    <t>per acre</t>
  </si>
  <si>
    <t>Selected input prices</t>
  </si>
  <si>
    <t xml:space="preserve">  $ per unit</t>
  </si>
  <si>
    <t>Yield, bushels</t>
  </si>
  <si>
    <t>Seeding rate, count</t>
  </si>
  <si>
    <t>Sum of allocated labor, hours</t>
  </si>
  <si>
    <t>Skilled labor, per hour</t>
  </si>
  <si>
    <t>Farm diesel, per gallon</t>
  </si>
  <si>
    <t>Labor</t>
  </si>
  <si>
    <t>Fuel</t>
  </si>
  <si>
    <t>Trips across</t>
  </si>
  <si>
    <t>Machine activity (not custom)</t>
  </si>
  <si>
    <t>(hours)</t>
  </si>
  <si>
    <t>(gallons)</t>
  </si>
  <si>
    <t>(dollars)</t>
  </si>
  <si>
    <t>field</t>
  </si>
  <si>
    <t/>
  </si>
  <si>
    <t>Start</t>
  </si>
  <si>
    <t>cropnum-22706</t>
  </si>
  <si>
    <t>primyieldtype-22706</t>
  </si>
  <si>
    <t>byyieldtype-22706</t>
  </si>
  <si>
    <t>irrigation2-22706</t>
  </si>
  <si>
    <t>leasenum-22706</t>
  </si>
  <si>
    <t>40hp-22706</t>
  </si>
  <si>
    <t>60hp-22706</t>
  </si>
  <si>
    <t>75hp-22706</t>
  </si>
  <si>
    <t>105twd-22706</t>
  </si>
  <si>
    <t>140twd-22706</t>
  </si>
  <si>
    <t>105mfwd-22706</t>
  </si>
  <si>
    <t>130mfwd-22706</t>
  </si>
  <si>
    <t>160mfwd-22706</t>
  </si>
  <si>
    <t>200mfwd-22706</t>
  </si>
  <si>
    <t>225mfwd-22706</t>
  </si>
  <si>
    <t>2604wd-22706</t>
  </si>
  <si>
    <t>3104wd-22706</t>
  </si>
  <si>
    <t>360 4wd-22706</t>
  </si>
  <si>
    <t>4254wd-22706</t>
  </si>
  <si>
    <t>225tt-22706</t>
  </si>
  <si>
    <t>425tt-22706</t>
  </si>
  <si>
    <t>description-1-22706</t>
  </si>
  <si>
    <t>acres-1-22706</t>
  </si>
  <si>
    <t>receipts-1-22706</t>
  </si>
  <si>
    <t>receipts-2-22706</t>
  </si>
  <si>
    <t>receipts-3-22706</t>
  </si>
  <si>
    <t>receipts-4-22706</t>
  </si>
  <si>
    <t>receipts-5-22706</t>
  </si>
  <si>
    <t>receipts-6-22706</t>
  </si>
  <si>
    <t>seed1-1-22706</t>
  </si>
  <si>
    <t>seed1-2-22706</t>
  </si>
  <si>
    <t>seed1-3-22706</t>
  </si>
  <si>
    <t>seed1-4-22706</t>
  </si>
  <si>
    <t>seed1-5-22706</t>
  </si>
  <si>
    <t>seed1-6-22706</t>
  </si>
  <si>
    <t>seed2-1-22706</t>
  </si>
  <si>
    <t>seed2-2-22706</t>
  </si>
  <si>
    <t>seed2-3-22706</t>
  </si>
  <si>
    <t>seed2-4-22706</t>
  </si>
  <si>
    <t>seed2-5-22706</t>
  </si>
  <si>
    <t>seed2-6-22706</t>
  </si>
  <si>
    <t>fertilizer1-1-22706</t>
  </si>
  <si>
    <t>fertilizer1-2-22706</t>
  </si>
  <si>
    <t>fertilizer1-3-22706</t>
  </si>
  <si>
    <t>fertilizer1-4-22706</t>
  </si>
  <si>
    <t>fertilizer1-5-22706</t>
  </si>
  <si>
    <t>fertilizer1-6-22706</t>
  </si>
  <si>
    <t>fertilizer1-7-22706</t>
  </si>
  <si>
    <t>fertilizer1-8-22706</t>
  </si>
  <si>
    <t>fertilizer2-1-22706</t>
  </si>
  <si>
    <t>fertilizer2-2-22706</t>
  </si>
  <si>
    <t>fertilizer2-3-22706</t>
  </si>
  <si>
    <t>fertilizer2-4-22706</t>
  </si>
  <si>
    <t>fertilizer2-5-22706</t>
  </si>
  <si>
    <t>fertilizer2-6-22706</t>
  </si>
  <si>
    <t>fertilizer2-7-22706</t>
  </si>
  <si>
    <t>fertilizer2-8-22706</t>
  </si>
  <si>
    <t>herbicide1-1-22706</t>
  </si>
  <si>
    <t>herbicide1-2-22706</t>
  </si>
  <si>
    <t>herbicide1-3-22706</t>
  </si>
  <si>
    <t>herbicide1-4-22706</t>
  </si>
  <si>
    <t>herbicide1-5-22706</t>
  </si>
  <si>
    <t>herbicide1-6-22706</t>
  </si>
  <si>
    <t>herbicide1-7-22706</t>
  </si>
  <si>
    <t>herbicide1-8-22706</t>
  </si>
  <si>
    <t>herbicide2-1-22706</t>
  </si>
  <si>
    <t>herbicide2-2-22706</t>
  </si>
  <si>
    <t>herbicide2-3-22706</t>
  </si>
  <si>
    <t>herbicide2-4-22706</t>
  </si>
  <si>
    <t>herbicide2-5-22706</t>
  </si>
  <si>
    <t>herbicide2-6-22706</t>
  </si>
  <si>
    <t>herbicide2-7-22706</t>
  </si>
  <si>
    <t>herbicide2-8-22706</t>
  </si>
  <si>
    <t>herbicide2-9-22706</t>
  </si>
  <si>
    <t>insecticide1-1-22706</t>
  </si>
  <si>
    <t>insecticide1-2-22706</t>
  </si>
  <si>
    <t>insecticide1-3-22706</t>
  </si>
  <si>
    <t>insecticide1-4-22706</t>
  </si>
  <si>
    <t>insecticide2-1-22706</t>
  </si>
  <si>
    <t>insecticide2-2-22706</t>
  </si>
  <si>
    <t>insecticide2-3-22706</t>
  </si>
  <si>
    <t>insecticide2-4-22706</t>
  </si>
  <si>
    <t>insecticide2-5-22706</t>
  </si>
  <si>
    <t>labor-1-22706</t>
  </si>
  <si>
    <t>labor-2-22706</t>
  </si>
  <si>
    <t>labor-3-22706</t>
  </si>
  <si>
    <t>irrigation1-1-22706</t>
  </si>
  <si>
    <t>irrigation1-2-22706</t>
  </si>
  <si>
    <t>irrigation1-3-22706</t>
  </si>
  <si>
    <t>land-1-22706</t>
  </si>
  <si>
    <t>land-2-22706</t>
  </si>
  <si>
    <t>land-3-22706</t>
  </si>
  <si>
    <t>land-3-9106</t>
  </si>
  <si>
    <t>land-4-22706</t>
  </si>
  <si>
    <t>otheritems1-1-22706</t>
  </si>
  <si>
    <t>otheritems1-2-22706</t>
  </si>
  <si>
    <t>otheritems1-3-22706</t>
  </si>
  <si>
    <t>otheritems1-4-22706</t>
  </si>
  <si>
    <t>otheritems1-5-22706</t>
  </si>
  <si>
    <t>otheritems1-6-22706</t>
  </si>
  <si>
    <t>otheritems1-7-22706</t>
  </si>
  <si>
    <t>postharvest-1-22706</t>
  </si>
  <si>
    <t>postharvest-2-22706</t>
  </si>
  <si>
    <t>postharvest-3-22706</t>
  </si>
  <si>
    <t>postharvest-4-22706</t>
  </si>
  <si>
    <t>postharvest-5-22706</t>
  </si>
  <si>
    <t>postharvest-6-22706</t>
  </si>
  <si>
    <t>postharvest-7-22706</t>
  </si>
  <si>
    <t>postharvest-8-22706</t>
  </si>
  <si>
    <t>postharvest-9-22706</t>
  </si>
  <si>
    <t>postharvest-10-22706</t>
  </si>
  <si>
    <t>overhead-1-22706</t>
  </si>
  <si>
    <t>overhead-2-22706</t>
  </si>
  <si>
    <t>overhead-3-22706</t>
  </si>
  <si>
    <t>overhead-4-22706</t>
  </si>
  <si>
    <t>overhead-5-22706</t>
  </si>
  <si>
    <t>overhead-6-22706</t>
  </si>
  <si>
    <t>landlord_share-1-22706</t>
  </si>
  <si>
    <t>landlord_share-2-22706</t>
  </si>
  <si>
    <t>landlord_share-3-22706</t>
  </si>
  <si>
    <t>landlord_share-4-22706</t>
  </si>
  <si>
    <t>landlord_share-5-22706</t>
  </si>
  <si>
    <t>landlord_share-6-22706</t>
  </si>
  <si>
    <t>landlord_share-7-22706</t>
  </si>
  <si>
    <t>landlord_share-8-22706</t>
  </si>
  <si>
    <t>landlord_share-9-22706</t>
  </si>
  <si>
    <t>landlord_share-10-22706</t>
  </si>
  <si>
    <t>landlord_share-11-22706</t>
  </si>
  <si>
    <t>customhire1-1-22706</t>
  </si>
  <si>
    <t>customhire1-2-22706</t>
  </si>
  <si>
    <t>customhire1-3-22706</t>
  </si>
  <si>
    <t>customhire1-4-22706</t>
  </si>
  <si>
    <t>customhire1-5-22706</t>
  </si>
  <si>
    <t>customhire1-6-22706</t>
  </si>
  <si>
    <t>customhire1-7-22706</t>
  </si>
  <si>
    <t>customhire1-8-22706</t>
  </si>
  <si>
    <t>customhire1-9-22706</t>
  </si>
  <si>
    <t>customhire1-10-22706</t>
  </si>
  <si>
    <t>customhire1-11-22706</t>
  </si>
  <si>
    <t>customhire1-12-22706</t>
  </si>
  <si>
    <t>customhire1-13-22706</t>
  </si>
  <si>
    <t>customhire2-1-22706</t>
  </si>
  <si>
    <t>customhire2-2-22706</t>
  </si>
  <si>
    <t>customhire2-3-22706</t>
  </si>
  <si>
    <t>customhire2-4-22706</t>
  </si>
  <si>
    <t>customhire2-5-22706</t>
  </si>
  <si>
    <t>customhire2-6-22706</t>
  </si>
  <si>
    <t>customhire2-7-22706</t>
  </si>
  <si>
    <t>customhire2-8-22706</t>
  </si>
  <si>
    <t>size-1-3806</t>
  </si>
  <si>
    <t>15 ft</t>
  </si>
  <si>
    <t>size-2-3806</t>
  </si>
  <si>
    <t>16.3 ft</t>
  </si>
  <si>
    <t>size-3-3806</t>
  </si>
  <si>
    <t>6 ft</t>
  </si>
  <si>
    <t>size-4-3806</t>
  </si>
  <si>
    <t>35 ft</t>
  </si>
  <si>
    <t>size-5-3806</t>
  </si>
  <si>
    <t>30 ft</t>
  </si>
  <si>
    <t>size-6-3806</t>
  </si>
  <si>
    <t>30" O.C., 17 ft</t>
  </si>
  <si>
    <t>size-7-3806</t>
  </si>
  <si>
    <t>16 ft</t>
  </si>
  <si>
    <t>size-8-3806</t>
  </si>
  <si>
    <t>17.5 ft</t>
  </si>
  <si>
    <t>size-9-3806</t>
  </si>
  <si>
    <t>22 ft</t>
  </si>
  <si>
    <t>size-10-3806</t>
  </si>
  <si>
    <t>12 ft</t>
  </si>
  <si>
    <t>size-11-3806</t>
  </si>
  <si>
    <t>6 row</t>
  </si>
  <si>
    <t>size-12-3806</t>
  </si>
  <si>
    <t>(16/31 row 30/15")</t>
  </si>
  <si>
    <t>size-13-3806</t>
  </si>
  <si>
    <t>size-14-3806</t>
  </si>
  <si>
    <t>size-15-3806</t>
  </si>
  <si>
    <t>size-16-3806</t>
  </si>
  <si>
    <t>size-17-3806</t>
  </si>
  <si>
    <t>size-18-3806</t>
  </si>
  <si>
    <t>size-27-101707</t>
  </si>
  <si>
    <t>7 ft swath</t>
  </si>
  <si>
    <t>size-19-3806</t>
  </si>
  <si>
    <t>size-28-101707</t>
  </si>
  <si>
    <t>size-25-101707</t>
  </si>
  <si>
    <t>10 wheel, 20 ft</t>
  </si>
  <si>
    <t>size-26-101707</t>
  </si>
  <si>
    <t>9.5 ft</t>
  </si>
  <si>
    <t>size-20-101707</t>
  </si>
  <si>
    <t>1000 lb</t>
  </si>
  <si>
    <t>size-21-3806</t>
  </si>
  <si>
    <t>size-22-3806</t>
  </si>
  <si>
    <t>size-23-3806</t>
  </si>
  <si>
    <t>8 row</t>
  </si>
  <si>
    <t>size-24-3806</t>
  </si>
  <si>
    <t>500 bushel</t>
  </si>
  <si>
    <t>power-1-22706</t>
  </si>
  <si>
    <t>power-2-22706</t>
  </si>
  <si>
    <t>power-3-22706</t>
  </si>
  <si>
    <t>power-4-22706</t>
  </si>
  <si>
    <t>310 4WD</t>
  </si>
  <si>
    <t>power-5-22706</t>
  </si>
  <si>
    <t>power-6-22706</t>
  </si>
  <si>
    <t>power-7-22706</t>
  </si>
  <si>
    <t>power-8-22706</t>
  </si>
  <si>
    <t>power-9-22706</t>
  </si>
  <si>
    <t>power-10-22706</t>
  </si>
  <si>
    <t>power-11-22706</t>
  </si>
  <si>
    <t>power-12-22706</t>
  </si>
  <si>
    <t>200 MFWD</t>
  </si>
  <si>
    <t>power-13-22706</t>
  </si>
  <si>
    <t>power-14-22706</t>
  </si>
  <si>
    <t>power-15-22706</t>
  </si>
  <si>
    <t>power-16-22706</t>
  </si>
  <si>
    <t>power-17-22706</t>
  </si>
  <si>
    <t>power-18-22706</t>
  </si>
  <si>
    <t>power-19-22706</t>
  </si>
  <si>
    <t>power-20-22706</t>
  </si>
  <si>
    <t>130 MFWD</t>
  </si>
  <si>
    <t>power-21-22706</t>
  </si>
  <si>
    <t>power-22-22706</t>
  </si>
  <si>
    <t>power-23-22706</t>
  </si>
  <si>
    <t>power-24-22706</t>
  </si>
  <si>
    <t>power-25-22706</t>
  </si>
  <si>
    <t>power-26-22706</t>
  </si>
  <si>
    <t>power-27-22706</t>
  </si>
  <si>
    <t>power-28-22706</t>
  </si>
  <si>
    <t>power-29-22706</t>
  </si>
  <si>
    <t>power-30-22706</t>
  </si>
  <si>
    <t>power-31-22706</t>
  </si>
  <si>
    <t>power-32-22706</t>
  </si>
  <si>
    <t>power-33-22706</t>
  </si>
  <si>
    <t>power-34-22706</t>
  </si>
  <si>
    <t>power-35-22706</t>
  </si>
  <si>
    <t>power-36-22706</t>
  </si>
  <si>
    <t>power-37-22706</t>
  </si>
  <si>
    <t>power-38-22706</t>
  </si>
  <si>
    <t>passes-1-22706</t>
  </si>
  <si>
    <t>passes-2-22706</t>
  </si>
  <si>
    <t>passes-3-22706</t>
  </si>
  <si>
    <t>passes-4-22706</t>
  </si>
  <si>
    <t>passes-5-22706</t>
  </si>
  <si>
    <t>passes-6-22706</t>
  </si>
  <si>
    <t>passes-7-22706</t>
  </si>
  <si>
    <t>passes-8-22706</t>
  </si>
  <si>
    <t>passes-9-22706</t>
  </si>
  <si>
    <t>passes-10-22706</t>
  </si>
  <si>
    <t>passes-11-22706</t>
  </si>
  <si>
    <t>passes-12-22706</t>
  </si>
  <si>
    <t>passes-13-22706</t>
  </si>
  <si>
    <t>passes-14-22706</t>
  </si>
  <si>
    <t>passes-15-22706</t>
  </si>
  <si>
    <t>passes-16-22706</t>
  </si>
  <si>
    <t>passes-17-22706</t>
  </si>
  <si>
    <t>passes-18-22706</t>
  </si>
  <si>
    <t>passes-19-22706</t>
  </si>
  <si>
    <t>passes-20-22706</t>
  </si>
  <si>
    <t>passes-21-22706</t>
  </si>
  <si>
    <t>passes-22-22706</t>
  </si>
  <si>
    <t>passes-23-22706</t>
  </si>
  <si>
    <t>passes-24-22706</t>
  </si>
  <si>
    <t>passes-25-22706</t>
  </si>
  <si>
    <t>passes-26-22706</t>
  </si>
  <si>
    <t>passes-27-22706</t>
  </si>
  <si>
    <t>passes-28-22706</t>
  </si>
  <si>
    <t>passes-29-22706</t>
  </si>
  <si>
    <t>passes-30-22706</t>
  </si>
  <si>
    <t>passes-31-22706</t>
  </si>
  <si>
    <t>passes-32-22706</t>
  </si>
  <si>
    <t>passes-33-22706</t>
  </si>
  <si>
    <t>passes-34-22706</t>
  </si>
  <si>
    <t>passes-35-22706</t>
  </si>
  <si>
    <t>passes-36-22706</t>
  </si>
  <si>
    <t>passes-37-22706</t>
  </si>
  <si>
    <t>passes-38-22706</t>
  </si>
  <si>
    <t>passes-39-22706</t>
  </si>
  <si>
    <t>passes-40-22706</t>
  </si>
  <si>
    <t>rent-1-82906</t>
  </si>
  <si>
    <t>rent-2-82906</t>
  </si>
  <si>
    <t>rent-3-82906</t>
  </si>
  <si>
    <t>rent-4-82906</t>
  </si>
  <si>
    <t>rent-5-82906</t>
  </si>
  <si>
    <t>rent-6-82906</t>
  </si>
  <si>
    <t>rent-7-82906</t>
  </si>
  <si>
    <t>rent-8-82906</t>
  </si>
  <si>
    <t>rent-9-82906</t>
  </si>
  <si>
    <t>rent-10-82906</t>
  </si>
  <si>
    <t>rent-11-82906</t>
  </si>
  <si>
    <t>rent-12-82906</t>
  </si>
  <si>
    <t>rent-13-82906</t>
  </si>
  <si>
    <t>rent-14-82906</t>
  </si>
  <si>
    <t>rent-15-82906</t>
  </si>
  <si>
    <t>rent-16-82906</t>
  </si>
  <si>
    <t>rent-17-82906</t>
  </si>
  <si>
    <t>rent-18-82906</t>
  </si>
  <si>
    <t>rent-19-82906</t>
  </si>
  <si>
    <t>rent-20-82906</t>
  </si>
  <si>
    <t>rent-21-82906</t>
  </si>
  <si>
    <t>rent-22-82906</t>
  </si>
  <si>
    <t>rent-23-82906</t>
  </si>
  <si>
    <t>rent-24-82906</t>
  </si>
  <si>
    <t>rent-25-82906</t>
  </si>
  <si>
    <t>rent-26-82906</t>
  </si>
  <si>
    <t>rent-27-82906</t>
  </si>
  <si>
    <t>rent-28-82906</t>
  </si>
  <si>
    <t>rent-29-82906</t>
  </si>
  <si>
    <t>rent-30-82906</t>
  </si>
  <si>
    <t>rent-31-82906</t>
  </si>
  <si>
    <t>rent-32-82906</t>
  </si>
  <si>
    <t>rent-33-82906</t>
  </si>
  <si>
    <t>rent-34-82906</t>
  </si>
  <si>
    <t>rent-35-82906</t>
  </si>
  <si>
    <t>rent-36-82906</t>
  </si>
  <si>
    <t>rent-37-82906</t>
  </si>
  <si>
    <t>rent-38-82906</t>
  </si>
  <si>
    <t>rent-39-82906</t>
  </si>
  <si>
    <t>rent-40-82906</t>
  </si>
  <si>
    <t>Crop market price, per bushel</t>
  </si>
  <si>
    <t>2015 DoubleCrop</t>
  </si>
  <si>
    <t>None</t>
  </si>
  <si>
    <t>Input Assumptions</t>
  </si>
  <si>
    <t>Category</t>
  </si>
  <si>
    <r>
      <t>$/pound P</t>
    </r>
    <r>
      <rPr>
        <vertAlign val="subscript"/>
        <sz val="10"/>
        <rFont val="Segoe UI"/>
        <family val="2"/>
        <scheme val="minor"/>
      </rPr>
      <t>2</t>
    </r>
    <r>
      <rPr>
        <sz val="10"/>
        <rFont val="Segoe UI"/>
        <family val="2"/>
        <scheme val="minor"/>
      </rPr>
      <t>O</t>
    </r>
    <r>
      <rPr>
        <vertAlign val="subscript"/>
        <sz val="10"/>
        <rFont val="Segoe UI"/>
        <family val="2"/>
        <scheme val="minor"/>
      </rPr>
      <t>5</t>
    </r>
    <r>
      <rPr>
        <sz val="10"/>
        <rFont val="Segoe UI"/>
        <family val="2"/>
        <scheme val="minor"/>
      </rPr>
      <t xml:space="preserve"> applied</t>
    </r>
  </si>
  <si>
    <r>
      <t>$/pound K</t>
    </r>
    <r>
      <rPr>
        <vertAlign val="subscript"/>
        <sz val="10"/>
        <rFont val="Segoe UI"/>
        <family val="2"/>
        <scheme val="minor"/>
      </rPr>
      <t>2</t>
    </r>
    <r>
      <rPr>
        <sz val="10"/>
        <rFont val="Segoe UI"/>
        <family val="2"/>
        <scheme val="minor"/>
      </rPr>
      <t>O applied</t>
    </r>
  </si>
  <si>
    <t>Annual percentage</t>
  </si>
  <si>
    <t>Production Quantities</t>
  </si>
  <si>
    <t>Skilled labor</t>
  </si>
  <si>
    <t>Diesel fuel</t>
  </si>
  <si>
    <t xml:space="preserve">Management </t>
  </si>
  <si>
    <t>INCOME OVER OPERATING COSTS</t>
  </si>
  <si>
    <t>INCOME OVER TOTAL COSTS</t>
  </si>
  <si>
    <t>RETURN TO LAND AND MANAGEMENT</t>
  </si>
  <si>
    <t>Income</t>
  </si>
  <si>
    <t>Operating costs</t>
  </si>
  <si>
    <t>Ownership costs</t>
  </si>
  <si>
    <t>Total operating costs</t>
  </si>
  <si>
    <t>Total ownership costs</t>
  </si>
  <si>
    <t>Total income</t>
  </si>
  <si>
    <t>Total costs</t>
  </si>
  <si>
    <r>
      <rPr>
        <vertAlign val="superscript"/>
        <sz val="10"/>
        <rFont val="Segoe UI"/>
        <family val="2"/>
        <scheme val="minor"/>
      </rPr>
      <t xml:space="preserve">1 </t>
    </r>
    <r>
      <rPr>
        <sz val="10"/>
        <rFont val="Segoe UI"/>
        <family val="2"/>
        <scheme val="minor"/>
      </rPr>
      <t>Machinery operating cost is the sum of fuel, repairs, maintenance, and value of labor.</t>
    </r>
  </si>
  <si>
    <r>
      <rPr>
        <vertAlign val="superscript"/>
        <sz val="10"/>
        <rFont val="Segoe UI"/>
        <family val="2"/>
        <scheme val="minor"/>
      </rPr>
      <t xml:space="preserve">2 </t>
    </r>
    <r>
      <rPr>
        <sz val="10"/>
        <rFont val="Segoe UI"/>
        <family val="2"/>
        <scheme val="minor"/>
      </rPr>
      <t>Machinery ownership cost is the sum of machinery overhead and depreciation.</t>
    </r>
  </si>
  <si>
    <r>
      <rPr>
        <vertAlign val="superscript"/>
        <sz val="10"/>
        <rFont val="Segoe UI"/>
        <family val="2"/>
        <scheme val="minor"/>
      </rPr>
      <t xml:space="preserve">3 </t>
    </r>
    <r>
      <rPr>
        <sz val="10"/>
        <rFont val="Segoe UI"/>
        <family val="2"/>
        <scheme val="minor"/>
      </rPr>
      <t>Totals may not sum due to rounding</t>
    </r>
  </si>
  <si>
    <r>
      <t>Total Costs</t>
    </r>
    <r>
      <rPr>
        <b/>
        <vertAlign val="superscript"/>
        <sz val="11"/>
        <rFont val="Segoe UI"/>
        <family val="2"/>
        <scheme val="minor"/>
      </rPr>
      <t>3</t>
    </r>
  </si>
  <si>
    <r>
      <t>Operating Costs</t>
    </r>
    <r>
      <rPr>
        <b/>
        <vertAlign val="superscript"/>
        <sz val="11"/>
        <rFont val="Segoe UI"/>
        <family val="2"/>
        <scheme val="minor"/>
      </rPr>
      <t>1</t>
    </r>
  </si>
  <si>
    <r>
      <t>Ownership Costs</t>
    </r>
    <r>
      <rPr>
        <b/>
        <vertAlign val="superscript"/>
        <sz val="11"/>
        <rFont val="Segoe UI"/>
        <family val="2"/>
        <scheme val="minor"/>
      </rPr>
      <t>2</t>
    </r>
  </si>
  <si>
    <t>Machinery ownership</t>
  </si>
  <si>
    <t>Cells with this color can be updated by using future Lazarus data or with data that the user has access to.</t>
  </si>
  <si>
    <t>Implements</t>
  </si>
  <si>
    <t>Selection</t>
  </si>
  <si>
    <t>Implement type</t>
  </si>
  <si>
    <t>Width</t>
  </si>
  <si>
    <t>Width Unit</t>
  </si>
  <si>
    <t>Size</t>
  </si>
  <si>
    <t>Size unit</t>
  </si>
  <si>
    <t>PriceP</t>
  </si>
  <si>
    <t>Discount</t>
  </si>
  <si>
    <t>PriceL</t>
  </si>
  <si>
    <t>Life (yr)</t>
  </si>
  <si>
    <t>Use (hr/yr)</t>
  </si>
  <si>
    <t>Use (ac/yr)</t>
  </si>
  <si>
    <t>ASABEtype</t>
  </si>
  <si>
    <t>Speed</t>
  </si>
  <si>
    <t>Efficiency</t>
  </si>
  <si>
    <t>LaborUse</t>
  </si>
  <si>
    <t>Shed (ft^2)</t>
  </si>
  <si>
    <t>TradeIn%</t>
  </si>
  <si>
    <t>TradeIn$</t>
  </si>
  <si>
    <t>OH ($/ac)</t>
  </si>
  <si>
    <t>hr/ac</t>
  </si>
  <si>
    <t>Ownership costs($/ac)</t>
  </si>
  <si>
    <t>Order in Lazarus</t>
  </si>
  <si>
    <t>Operation type</t>
  </si>
  <si>
    <t>Ft</t>
  </si>
  <si>
    <t>Skid-steer loader</t>
  </si>
  <si>
    <t>Anhydrous applicator</t>
  </si>
  <si>
    <t>Fertilizer spreader</t>
  </si>
  <si>
    <t>Fertilization</t>
  </si>
  <si>
    <t>Cultimulcher</t>
  </si>
  <si>
    <t>Mulcher-packer</t>
  </si>
  <si>
    <t>Finish tillage</t>
  </si>
  <si>
    <t>Field cultivator</t>
  </si>
  <si>
    <t>Field cultivators</t>
  </si>
  <si>
    <t>Tandem disk</t>
  </si>
  <si>
    <t>Tandem disk harrow</t>
  </si>
  <si>
    <t>Chisel plow</t>
  </si>
  <si>
    <t>Forage harvester, pull-type w/corn head</t>
  </si>
  <si>
    <t>Row</t>
  </si>
  <si>
    <t>Forage harvesters</t>
  </si>
  <si>
    <t>Forage harvester, pull-type w/pickup head</t>
  </si>
  <si>
    <t>Forage harvester, self-prop corn head</t>
  </si>
  <si>
    <t>Forage harvester (SP)</t>
  </si>
  <si>
    <t>Ft Folding</t>
  </si>
  <si>
    <t>Forage harvester, self-prop pickup head (2X windrows)</t>
  </si>
  <si>
    <t>Forage harvester, self-prop pickup head</t>
  </si>
  <si>
    <t>Combine belt pickup hd</t>
  </si>
  <si>
    <t>Combine</t>
  </si>
  <si>
    <t>Grain harvest</t>
  </si>
  <si>
    <t>Combine chopping corn hd</t>
  </si>
  <si>
    <t>Beet topper/stalk chopper</t>
  </si>
  <si>
    <t>Combine corn hd</t>
  </si>
  <si>
    <t>Combine platform</t>
  </si>
  <si>
    <t>Wagon</t>
  </si>
  <si>
    <t>Disk mower</t>
  </si>
  <si>
    <t>Mower (rotary)</t>
  </si>
  <si>
    <t>Hay equipment</t>
  </si>
  <si>
    <t>Disk mower/conditioner</t>
  </si>
  <si>
    <t>Mower-conditioner (rotary)</t>
  </si>
  <si>
    <t>Hay merger</t>
  </si>
  <si>
    <t>Side delivery rake</t>
  </si>
  <si>
    <t>Windrower (SP)</t>
  </si>
  <si>
    <t>Hay rake</t>
  </si>
  <si>
    <t>wheel</t>
  </si>
  <si>
    <t>Hay tedder</t>
  </si>
  <si>
    <t>basket</t>
  </si>
  <si>
    <t>Inline bale wrapper</t>
  </si>
  <si>
    <t>Total mixed ration mixer wagons</t>
  </si>
  <si>
    <t>Large rectangular baler</t>
  </si>
  <si>
    <t>3x3</t>
  </si>
  <si>
    <t>4x3</t>
  </si>
  <si>
    <t>Round baler w/net wrap</t>
  </si>
  <si>
    <t>5x6</t>
  </si>
  <si>
    <t>Large round baler</t>
  </si>
  <si>
    <t>Round baler</t>
  </si>
  <si>
    <t>Small square baler, twine tie</t>
  </si>
  <si>
    <t>Rectangular baler</t>
  </si>
  <si>
    <t>Rotary Mower (brush hog)</t>
  </si>
  <si>
    <t>Land management</t>
  </si>
  <si>
    <t>Stalk shredder</t>
  </si>
  <si>
    <t>Air seeder drill w/cart</t>
  </si>
  <si>
    <t>Grain drill</t>
  </si>
  <si>
    <t>Planters</t>
  </si>
  <si>
    <t>No-till drill</t>
  </si>
  <si>
    <t>Presswheel drill</t>
  </si>
  <si>
    <t>Row crop planter</t>
  </si>
  <si>
    <t>Primary tillage</t>
  </si>
  <si>
    <t xml:space="preserve">Chisel plow, front dsk </t>
  </si>
  <si>
    <t>Moldboard plow</t>
  </si>
  <si>
    <t>Bottom</t>
  </si>
  <si>
    <t>Boom sprayer - pull-type</t>
  </si>
  <si>
    <t>Boom type sprayer</t>
  </si>
  <si>
    <t>Weed control</t>
  </si>
  <si>
    <t>Boom sprayer - self-propelled</t>
  </si>
  <si>
    <t>Row cultivator</t>
  </si>
  <si>
    <t>Row crop cultivator</t>
  </si>
  <si>
    <t>Power equipment</t>
  </si>
  <si>
    <t>HP &amp; descriptive information</t>
  </si>
  <si>
    <t>HP</t>
  </si>
  <si>
    <t>Information</t>
  </si>
  <si>
    <t>Fuel (gal/hph)</t>
  </si>
  <si>
    <t>Depr ($/hr)</t>
  </si>
  <si>
    <t>OH ($/hr)</t>
  </si>
  <si>
    <t>Rep ($/hr)</t>
  </si>
  <si>
    <t>Fuel (gal/hr)</t>
  </si>
  <si>
    <t>Ownership costs ($/hr)</t>
  </si>
  <si>
    <t>HP TWD</t>
  </si>
  <si>
    <t>Two wheel drive tractors</t>
  </si>
  <si>
    <t>HP MFWD</t>
  </si>
  <si>
    <t>Mech. front wheel drive tractors</t>
  </si>
  <si>
    <t>HP 4WD</t>
  </si>
  <si>
    <t>Four wheel drive tractors &amp; crawlers</t>
  </si>
  <si>
    <t>HP Tracked 4WD</t>
  </si>
  <si>
    <t>HP Combine</t>
  </si>
  <si>
    <t>HP SP Forage Harvester Base Unit</t>
  </si>
  <si>
    <r>
      <t>Repair estimates are based on coefficients for the following function from the 2006</t>
    </r>
    <r>
      <rPr>
        <u/>
        <sz val="11"/>
        <rFont val="Arial"/>
        <family val="2"/>
      </rPr>
      <t xml:space="preserve"> ASABE Standards</t>
    </r>
    <r>
      <rPr>
        <sz val="11"/>
        <rFont val="Arial"/>
        <family val="2"/>
      </rPr>
      <t xml:space="preserve"> by the</t>
    </r>
  </si>
  <si>
    <t>American Society of Agricultural and Biological Engineers, sections D497.5 FEB2006 and EP496.3 FEB2006</t>
  </si>
  <si>
    <t>Notes: I reduced this from the table Lazarus provides by eliminating the reference to Wu-Perry coefficients</t>
  </si>
  <si>
    <t>Items from Lazarus machdata.xls. Values may have been changed by me.</t>
  </si>
  <si>
    <t>"Coefficients" table</t>
  </si>
  <si>
    <t>Implement used</t>
  </si>
  <si>
    <t>Power Used</t>
  </si>
  <si>
    <t xml:space="preserve">Fuel </t>
  </si>
  <si>
    <t xml:space="preserve">Labor </t>
  </si>
  <si>
    <t>Operating</t>
  </si>
  <si>
    <t>Ownership</t>
  </si>
  <si>
    <t>Total
 cost</t>
  </si>
  <si>
    <t>ASABE Category</t>
  </si>
  <si>
    <t>RF1</t>
  </si>
  <si>
    <t>RF2</t>
  </si>
  <si>
    <t>Life (hr)</t>
  </si>
  <si>
    <t>RV1</t>
  </si>
  <si>
    <t>RV2</t>
  </si>
  <si>
    <t>RV3</t>
  </si>
  <si>
    <t>RV4</t>
  </si>
  <si>
    <t>δ</t>
  </si>
  <si>
    <t>Note</t>
  </si>
  <si>
    <t>Item</t>
  </si>
  <si>
    <t>Value</t>
  </si>
  <si>
    <t>Costs</t>
  </si>
  <si>
    <t>Air-carrier sprayer</t>
  </si>
  <si>
    <t>Labor ($/hr)</t>
  </si>
  <si>
    <t>gallon/acre covered</t>
  </si>
  <si>
    <t>hours/acre covered</t>
  </si>
  <si>
    <t>$/acre covered</t>
  </si>
  <si>
    <t>per acre operated</t>
  </si>
  <si>
    <t>$/acre operated</t>
  </si>
  <si>
    <t>Bean puller-windrower</t>
  </si>
  <si>
    <t>Interest rate, % of average investment</t>
  </si>
  <si>
    <t>Insurance Rate</t>
  </si>
  <si>
    <t>Property taxes</t>
  </si>
  <si>
    <t>Fuel price, $/gallon</t>
  </si>
  <si>
    <t>***</t>
  </si>
  <si>
    <t>Lubrication cost, % of fuel</t>
  </si>
  <si>
    <t>Corn picker sheller</t>
  </si>
  <si>
    <t>Storage cost/sq. foot of space</t>
  </si>
  <si>
    <t>Cotton picker</t>
  </si>
  <si>
    <t>Inflation Rate, % per year</t>
  </si>
  <si>
    <t>2023 U.S. net farm income forecast ($ billions)</t>
  </si>
  <si>
    <t>GDP implicit price deflator, 2022 4th quarter</t>
  </si>
  <si>
    <t>Forage blower</t>
  </si>
  <si>
    <t>GDP implicit price deflator, 1996</t>
  </si>
  <si>
    <t>Forage harvester</t>
  </si>
  <si>
    <t>Real net farm income projected at trade-in, in $ billion 1996 dollars</t>
  </si>
  <si>
    <t>Acres conversion factor</t>
  </si>
  <si>
    <t>Forage wagons</t>
  </si>
  <si>
    <t>Heavy Duty disk harrow</t>
  </si>
  <si>
    <t>Manure handling equipment</t>
  </si>
  <si>
    <t>*</t>
  </si>
  <si>
    <t>Moldboard plows</t>
  </si>
  <si>
    <t>Mower</t>
  </si>
  <si>
    <t>Mower-conditioner</t>
  </si>
  <si>
    <t>Potato harvester</t>
  </si>
  <si>
    <t>Roller packer</t>
  </si>
  <si>
    <t>Rotary hoe</t>
  </si>
  <si>
    <t>Rotary tiller</t>
  </si>
  <si>
    <t>Spring tooth harrow</t>
  </si>
  <si>
    <t>Sugar beet harvester</t>
  </si>
  <si>
    <t>Type</t>
  </si>
  <si>
    <t>Activity</t>
  </si>
  <si>
    <t>Avg. cost/unit</t>
  </si>
  <si>
    <t>Unit</t>
  </si>
  <si>
    <t>Source</t>
  </si>
  <si>
    <t>Field work</t>
  </si>
  <si>
    <t>MU Custom Rates, 2023</t>
  </si>
  <si>
    <t xml:space="preserve">Activity </t>
  </si>
  <si>
    <t>Rate</t>
  </si>
  <si>
    <t>Heavy or offset disking</t>
  </si>
  <si>
    <t xml:space="preserve">Apply dry fertilizer on cropland, single spread </t>
  </si>
  <si>
    <t>Accumulate and stack small square bales and haul locally (mechanical collection)</t>
  </si>
  <si>
    <t>Vertical tillage tool</t>
  </si>
  <si>
    <t>Cut brush (brush hog)</t>
  </si>
  <si>
    <t>per hour</t>
  </si>
  <si>
    <t>Mow pasture or CRP land</t>
  </si>
  <si>
    <t>Planting</t>
  </si>
  <si>
    <t>Move round (or large square) bales locally</t>
  </si>
  <si>
    <t>Tube wrap round bales, with wrap</t>
  </si>
  <si>
    <t>No-till planting, corn or grain sorghum, 30-inch rows</t>
  </si>
  <si>
    <t>No-till planting, corn or grain sorghum, narrow rows</t>
  </si>
  <si>
    <t>No-till planting, soybean, 30-inch rows</t>
  </si>
  <si>
    <t>No-till planting, soybean, 15-inch rows</t>
  </si>
  <si>
    <t>No-till planting, small grains or forage crops, drill</t>
  </si>
  <si>
    <t>Fert and chemicals</t>
  </si>
  <si>
    <t>Apply dry fertilizer on cropland, double spread</t>
  </si>
  <si>
    <t xml:space="preserve">Silage chopping </t>
  </si>
  <si>
    <t>Apply dry fertilizer on cropland, variable rate</t>
  </si>
  <si>
    <t>Apply dry fertilizer on pasture, topdressing</t>
  </si>
  <si>
    <t xml:space="preserve">Apply dry fertilizer plus seed </t>
  </si>
  <si>
    <t>Spray liquid fertilizer</t>
  </si>
  <si>
    <t>Spray liquid fertilizer and other chemicals</t>
  </si>
  <si>
    <t>Inject anhydrous ammonia</t>
  </si>
  <si>
    <t>Spray chemicals with pull-type sprayer</t>
  </si>
  <si>
    <t>Deliver and spread lime (includes lime)</t>
  </si>
  <si>
    <t>per ton</t>
  </si>
  <si>
    <t>Spread lime only</t>
  </si>
  <si>
    <t>Spray chemicals with self-propelled crop sprayer</t>
  </si>
  <si>
    <t>Spray chemicals with floater</t>
  </si>
  <si>
    <t>Harvest and haul</t>
  </si>
  <si>
    <t>Combine corn</t>
  </si>
  <si>
    <t>Combine soybean</t>
  </si>
  <si>
    <t>Combine small grains</t>
  </si>
  <si>
    <t>Combine grass seed</t>
  </si>
  <si>
    <t>Grain cart, in field</t>
  </si>
  <si>
    <t>Haul grain or seed from field to farm storage</t>
  </si>
  <si>
    <t>per bushel</t>
  </si>
  <si>
    <t>Haul grain or seed from bin to market</t>
  </si>
  <si>
    <t>per loaded mile</t>
  </si>
  <si>
    <t>per pound</t>
  </si>
  <si>
    <t>Cut and condition hay</t>
  </si>
  <si>
    <t>Rake hay</t>
  </si>
  <si>
    <t>Round bale only with net wrap</t>
  </si>
  <si>
    <t>per bale</t>
  </si>
  <si>
    <t>Cut, rake and bale with net wrap</t>
  </si>
  <si>
    <t>Pick up and move small square bales locally (hand labor)</t>
  </si>
  <si>
    <t>Kansas State Custom Rates, 2022</t>
  </si>
  <si>
    <t>Average of online responses given on various farm forum boards</t>
  </si>
  <si>
    <t>Corn Silage Pricing Spreadsheet, 2023</t>
  </si>
  <si>
    <t>Sulfur</t>
  </si>
  <si>
    <t>Zinc</t>
  </si>
  <si>
    <t>Boron</t>
  </si>
  <si>
    <t>Irrigation costs</t>
  </si>
  <si>
    <t>Center pivot</t>
  </si>
  <si>
    <t>All costs are listed per acre-inch</t>
  </si>
  <si>
    <t>Repairs</t>
  </si>
  <si>
    <t>Capital investment</t>
  </si>
  <si>
    <t>Lifespan</t>
  </si>
  <si>
    <t>Lifespan (hours)</t>
  </si>
  <si>
    <r>
      <t>δ</t>
    </r>
    <r>
      <rPr>
        <vertAlign val="superscript"/>
        <sz val="10"/>
        <color rgb="FFF1B82D"/>
        <rFont val="Segoe UI"/>
        <family val="2"/>
      </rPr>
      <t>2</t>
    </r>
  </si>
  <si>
    <t>Salvage value of materials</t>
  </si>
  <si>
    <t>Acre-inch is equal to 27,154 gallons</t>
  </si>
  <si>
    <t>Fixed costs</t>
  </si>
  <si>
    <t>Subsoiler</t>
  </si>
  <si>
    <t>Bed leveler</t>
  </si>
  <si>
    <t>Strip-till</t>
  </si>
  <si>
    <t>Disk bedder</t>
  </si>
  <si>
    <t>Vegetable transplanter</t>
  </si>
  <si>
    <t>Peanut digger</t>
  </si>
  <si>
    <t>Peanut shaker</t>
  </si>
  <si>
    <t>Peanut combine</t>
  </si>
  <si>
    <t>Peanut dump cart</t>
  </si>
  <si>
    <t>Cotton Picker</t>
  </si>
  <si>
    <t>Cotton Module Builder</t>
  </si>
  <si>
    <t>Cotton picker with baler</t>
  </si>
  <si>
    <t>Cotton stalk puller</t>
  </si>
  <si>
    <t>Coulter-side dress applicator</t>
  </si>
  <si>
    <t>4 shank</t>
  </si>
  <si>
    <t>7 shank</t>
  </si>
  <si>
    <t>9 shank</t>
  </si>
  <si>
    <t>12 row</t>
  </si>
  <si>
    <t>4 row</t>
  </si>
  <si>
    <t>Sprayer, hooded</t>
  </si>
  <si>
    <t>Sprayer, lay-by</t>
  </si>
  <si>
    <t>ft</t>
  </si>
  <si>
    <t>950 cf</t>
  </si>
  <si>
    <t>Furrow farming</t>
  </si>
  <si>
    <t>Transplanter</t>
  </si>
  <si>
    <t>Chemical application</t>
  </si>
  <si>
    <t>Peanut farming</t>
  </si>
  <si>
    <t>Cotton harvest</t>
  </si>
  <si>
    <t>Fertilizer application</t>
  </si>
  <si>
    <t>HP SP Cotton Picker</t>
  </si>
  <si>
    <t>Input Quantities</t>
  </si>
  <si>
    <r>
      <t xml:space="preserve">Choose the implements and power equipment that most closely matches the field operations you perform in a given crop with your owned machinery. If you hire any field operations done from a custom operator, see the </t>
    </r>
    <r>
      <rPr>
        <b/>
        <sz val="10"/>
        <color theme="1"/>
        <rFont val="Segoe UI"/>
        <family val="2"/>
      </rPr>
      <t>"Custom Hire"</t>
    </r>
    <r>
      <rPr>
        <sz val="10"/>
        <color theme="1"/>
        <rFont val="Segoe UI"/>
        <family val="2"/>
      </rPr>
      <t xml:space="preserve"> tab.</t>
    </r>
  </si>
  <si>
    <t>Machinery Selection</t>
  </si>
  <si>
    <t>Seeds or pounds per acre</t>
  </si>
  <si>
    <t>$/pound applied</t>
  </si>
  <si>
    <t>Note: Equipment and power selection and data are from 2024 Lazarus Machdata.</t>
  </si>
  <si>
    <t xml:space="preserve">Copy entire selection to "Machinery Input table" sheet to replace </t>
  </si>
  <si>
    <t>Use basis</t>
  </si>
  <si>
    <t>Depr ($/ac)2</t>
  </si>
  <si>
    <t>Rep ($/ac)4</t>
  </si>
  <si>
    <t>acre</t>
  </si>
  <si>
    <t>CC FWD ATV</t>
  </si>
  <si>
    <t>Off-road vehicles</t>
  </si>
  <si>
    <t>New</t>
  </si>
  <si>
    <t>CC FWD UTV</t>
  </si>
  <si>
    <t>Ton 4x4 Pickup</t>
  </si>
  <si>
    <t>Light duty trucks</t>
  </si>
  <si>
    <t>New, dually, regular cab, gas engine</t>
  </si>
  <si>
    <t>HP Tandem grain truck</t>
  </si>
  <si>
    <t>Heavy duty trucks</t>
  </si>
  <si>
    <t>less than 20 year old fresh build tandem 20-22ft aluminum bed</t>
  </si>
  <si>
    <t xml:space="preserve">HP Road tractor </t>
  </si>
  <si>
    <t>5-15 year old used daycab less than 400k miles</t>
  </si>
  <si>
    <t>Grain cart</t>
  </si>
  <si>
    <t>hour</t>
  </si>
  <si>
    <t>Grain trailer</t>
  </si>
  <si>
    <t>Bushel HB</t>
  </si>
  <si>
    <t>Trailers</t>
  </si>
  <si>
    <t>Hay trailer</t>
  </si>
  <si>
    <t>Bale</t>
  </si>
  <si>
    <t>Livestock trailer</t>
  </si>
  <si>
    <t xml:space="preserve"> ton cap. 7x20 gooseneck</t>
  </si>
  <si>
    <t>Reset formula to input sheet after copying over</t>
  </si>
  <si>
    <t>Sickle bar mower</t>
  </si>
  <si>
    <t>https://www.durattach.com/108-inch-farm-maxx-sbm-series-sickle-bar-mowers-model-fsbm-9h.html</t>
  </si>
  <si>
    <t>HP SP Sprayer</t>
  </si>
  <si>
    <t>New JD 410R</t>
  </si>
  <si>
    <t>Flood</t>
  </si>
  <si>
    <t>includes fuel for pumping and/or power generation</t>
  </si>
  <si>
    <t>hp/gal/hr</t>
  </si>
  <si>
    <t>1/4 mile system with end gun for 160 acre field</t>
  </si>
  <si>
    <t>35 minutes per acre inch at 700 GPM</t>
  </si>
  <si>
    <t>shaft horsepower required</t>
  </si>
  <si>
    <t>minutes per acre inch at 700 GPM</t>
  </si>
  <si>
    <t>acres watered</t>
  </si>
  <si>
    <t>repair costs, percent of value</t>
  </si>
  <si>
    <t>acre inch</t>
  </si>
  <si>
    <t>headland tubing</t>
  </si>
  <si>
    <t>water efficiency</t>
  </si>
  <si>
    <t>Land leveling</t>
  </si>
  <si>
    <t>per acre, per year</t>
  </si>
  <si>
    <t>GPM pumped</t>
  </si>
  <si>
    <t>acre-inches/hr</t>
  </si>
  <si>
    <t>est. $300/acre spread over 100 years</t>
  </si>
  <si>
    <t>https://www.lsuagcenter.com/~/media/system/8/7/5/a/875a105c7fdf9bc07be233b1281d12ae/2017%20sugarcane%20precision%20grading%20cost%20reportpdf.pdf</t>
  </si>
  <si>
    <t>https://www.irrigation-mart.com/items/DH-PP161010WA?srsltid=AfmBOopMUkCIS0dT13leJSTlolrJ69zFIo-Uq38TtHrMUOjSzX2PryiD</t>
  </si>
  <si>
    <t>CSU irrigation guide</t>
  </si>
  <si>
    <t>$/pass, average</t>
  </si>
  <si>
    <t>Insecticide applications</t>
  </si>
  <si>
    <t>Fungicide applications</t>
  </si>
  <si>
    <t>Irrigation water applied</t>
  </si>
  <si>
    <t>Furrow</t>
  </si>
  <si>
    <t>Non-irrigated</t>
  </si>
  <si>
    <t>Other nutrients</t>
  </si>
  <si>
    <t>Insecticide</t>
  </si>
  <si>
    <t>Fungicide</t>
  </si>
  <si>
    <t>Growth regulators/dessicant</t>
  </si>
  <si>
    <t>280 HP MFWD</t>
  </si>
  <si>
    <t>Row crop planter, 40 Ft Folding, per acre</t>
  </si>
  <si>
    <t>1 Ton 4x4 Pickup</t>
  </si>
  <si>
    <t>Custom hire activities</t>
  </si>
  <si>
    <t>To edit custom hire assumptions, see the custom hire tab.</t>
  </si>
  <si>
    <t>Cost per acre</t>
  </si>
  <si>
    <t>Total per acre</t>
  </si>
  <si>
    <t>Aerially apply fertilizer or seed</t>
  </si>
  <si>
    <t>Aerially apply chemicals</t>
  </si>
  <si>
    <t>FDRC agronomists</t>
  </si>
  <si>
    <t>MU Custom Rates, 2022</t>
  </si>
  <si>
    <t>Machinery fuel</t>
  </si>
  <si>
    <t>$/pass average</t>
  </si>
  <si>
    <t>3% of investment</t>
  </si>
  <si>
    <t>average water applied</t>
  </si>
  <si>
    <t>Annual fixed costs per acre-inch</t>
  </si>
  <si>
    <t>Operating costs, as applied</t>
  </si>
  <si>
    <t>per acre-inch</t>
  </si>
  <si>
    <t>Total costs, per acre-inch</t>
  </si>
  <si>
    <t>Grain trailer, 1000 Bushel HB, per hour</t>
  </si>
  <si>
    <t xml:space="preserve">475 HP Road tractor </t>
  </si>
  <si>
    <t>Draper platform</t>
  </si>
  <si>
    <t>Double-crop Soybean</t>
  </si>
  <si>
    <t>DC Soybeans</t>
  </si>
  <si>
    <t>Secondary rate</t>
  </si>
  <si>
    <t>Grain drying</t>
  </si>
  <si>
    <t>$/percentage moisture removed/bu</t>
  </si>
  <si>
    <t>Harvest moisture</t>
  </si>
  <si>
    <t>Irrigated</t>
  </si>
  <si>
    <t xml:space="preserve"> Milo</t>
  </si>
  <si>
    <t>Nitrogen from anhydrous</t>
  </si>
  <si>
    <t>Total nitrogen</t>
  </si>
  <si>
    <t>Grain auger</t>
  </si>
  <si>
    <t>In</t>
  </si>
  <si>
    <t>Ft long</t>
  </si>
  <si>
    <t>Boom sprayer - pull-type, 90 Ft Folding, per acre</t>
  </si>
  <si>
    <t>325 HP Tandem grain truck</t>
  </si>
  <si>
    <t>Grain auger, 13 In, per hour</t>
  </si>
  <si>
    <t>350 HP 4WD</t>
  </si>
  <si>
    <t>Anhydrous applicator, 36 Ft Folding, per acre</t>
  </si>
  <si>
    <t>130 HP MFWD</t>
  </si>
  <si>
    <t>275 HP Combine</t>
  </si>
  <si>
    <t>Bu</t>
  </si>
  <si>
    <t>Grain cart, 1000 Bu, per hour</t>
  </si>
  <si>
    <t>Tandem disk, 32 Ft Folding, per acre</t>
  </si>
  <si>
    <t>Field cultivator, 42 Ft Folding, per acre</t>
  </si>
  <si>
    <t>Combine chopping corn hd, 20 Ft, per acre</t>
  </si>
  <si>
    <t>or hours</t>
  </si>
  <si>
    <t>Combine platform, 25 Ft, per acre</t>
  </si>
  <si>
    <t>No-till drill, 15 Ft, per acre</t>
  </si>
  <si>
    <t>% of gross revenue</t>
  </si>
  <si>
    <t>ditching and berms</t>
  </si>
  <si>
    <t>Winter Wheat</t>
  </si>
  <si>
    <t>Return to land and management sensitivity analysis</t>
  </si>
  <si>
    <t>Crop Price</t>
  </si>
  <si>
    <t>Check</t>
  </si>
  <si>
    <t>Custom Hire Selection</t>
  </si>
  <si>
    <r>
      <t xml:space="preserve">Choose the activities performed by custom operators for a given crop and the number of times the service is performed by the operator. If you do an activity listed with equipment you own or lease, enter that activity on the </t>
    </r>
    <r>
      <rPr>
        <b/>
        <sz val="10"/>
        <color theme="1"/>
        <rFont val="Segoe UI"/>
        <family val="2"/>
      </rPr>
      <t>"Equipment"</t>
    </r>
    <r>
      <rPr>
        <sz val="10"/>
        <color theme="1"/>
        <rFont val="Segoe UI"/>
        <family val="2"/>
      </rPr>
      <t xml:space="preserve"> tab.</t>
    </r>
  </si>
  <si>
    <t>percent</t>
  </si>
  <si>
    <t>$/bushel</t>
  </si>
  <si>
    <t>pounds applied</t>
  </si>
  <si>
    <t>tons applied</t>
  </si>
  <si>
    <t>passes</t>
  </si>
  <si>
    <t>acre-inches</t>
  </si>
  <si>
    <t>Commodity price</t>
  </si>
  <si>
    <t>Irrigated Corn</t>
  </si>
  <si>
    <r>
      <t xml:space="preserve">Total </t>
    </r>
    <r>
      <rPr>
        <b/>
        <vertAlign val="superscript"/>
        <sz val="10"/>
        <rFont val="Segoe UI"/>
        <family val="2"/>
        <scheme val="minor"/>
      </rPr>
      <t>3</t>
    </r>
  </si>
  <si>
    <t>seeds or pounds</t>
  </si>
  <si>
    <t>Nitrogen (anhydrous ammonia)</t>
  </si>
  <si>
    <t xml:space="preserve">$50,000 standard estimate for well costs - </t>
  </si>
  <si>
    <t>100' deep set up for diesel pump</t>
  </si>
  <si>
    <t>Operator labor</t>
  </si>
  <si>
    <t>Operatorlabor</t>
  </si>
  <si>
    <t>Lime rate, tons</t>
  </si>
  <si>
    <t>Lime, per ton applied</t>
  </si>
  <si>
    <t>Operating interest, annual percentage</t>
  </si>
  <si>
    <t>Half of pivot ownership paid by tenant</t>
  </si>
  <si>
    <t>Life used (%)</t>
  </si>
  <si>
    <t>HP Flatbed truck</t>
  </si>
  <si>
    <t>1980's 2 ton flatbed in decent shape</t>
  </si>
  <si>
    <t>HP MFWD Cab loader</t>
  </si>
  <si>
    <t>Air blast sprayer</t>
  </si>
  <si>
    <t>100 gal</t>
  </si>
  <si>
    <t>Flatbed trailer</t>
  </si>
  <si>
    <t xml:space="preserve">ton cap.  </t>
  </si>
  <si>
    <t>Finish mower</t>
  </si>
  <si>
    <t>200 lb</t>
  </si>
  <si>
    <t>6 ton</t>
  </si>
  <si>
    <t>10 ton</t>
  </si>
  <si>
    <t>Air boom spreader</t>
  </si>
  <si>
    <t>20 ton</t>
  </si>
  <si>
    <t>Boomless sprayer</t>
  </si>
  <si>
    <t xml:space="preserve">Ft. </t>
  </si>
  <si>
    <t>150 gal</t>
  </si>
  <si>
    <t>Orchard work platform</t>
  </si>
  <si>
    <t>2 man</t>
  </si>
  <si>
    <t>Nutrients</t>
  </si>
  <si>
    <t>Starter Fertilizer</t>
  </si>
  <si>
    <t>Poultry Liter</t>
  </si>
  <si>
    <t>Cover Crops/Green Manure</t>
  </si>
  <si>
    <t>Biopesticides</t>
  </si>
  <si>
    <t>Hand Weeding</t>
  </si>
  <si>
    <t>Other</t>
  </si>
  <si>
    <t>Chisel plow, 22 Ft Folding, per acre</t>
  </si>
  <si>
    <t>Field cultivator, 28 Ft Folding, per acre</t>
  </si>
  <si>
    <t>Tandem disk, 21 Ft Folding, per acre</t>
  </si>
  <si>
    <t>Row crop planter, 20 Ft Folding, per acre</t>
  </si>
  <si>
    <t>Combine corn hd, 15 Ft, per acre</t>
  </si>
  <si>
    <t>160 HP MFWD</t>
  </si>
  <si>
    <t>Row cultivator, 30 Ft Folding, per acre</t>
  </si>
  <si>
    <t>Organic Soybean Enterprise Budget</t>
  </si>
  <si>
    <t>Hand Weedning</t>
  </si>
  <si>
    <t>Organic Soybean</t>
  </si>
  <si>
    <t>Organic Corn Enterprise Budget</t>
  </si>
  <si>
    <t>Organic Corn</t>
  </si>
  <si>
    <t>Organic Soybeans</t>
  </si>
  <si>
    <t>Organic</t>
  </si>
  <si>
    <t xml:space="preserve"> </t>
  </si>
  <si>
    <t>200 HP MFWD</t>
  </si>
  <si>
    <t>Developed by: Peter Zimmel, FAPRI</t>
  </si>
  <si>
    <t>This worksheet is for educational purposes only and the user assumes all risks associated with its use.</t>
  </si>
  <si>
    <t xml:space="preserve">Organic Crop Enterprise Budgets for Missouri </t>
  </si>
  <si>
    <t>This budget models expenses and income for organic corn and organic soybean production on a per acre basis. Develop a customized budget by adjusting the assumptions in gray cells to match the management practices and expected yields and prices for your farm.</t>
  </si>
  <si>
    <t>Updated: 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</si>
</sst>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quot;$&quot;#,##0.00"/>
    <numFmt numFmtId="166" formatCode="0.0"/>
    <numFmt numFmtId="167" formatCode="0.0%"/>
    <numFmt numFmtId="168" formatCode="_(* #,##0_);_(* \(#,##0\);_(* &quot;-&quot;??_);_(@_)"/>
    <numFmt numFmtId="169" formatCode="#,##0.000"/>
    <numFmt numFmtId="170" formatCode="#,##0.0_);\(#,##0.0\)"/>
    <numFmt numFmtId="171" formatCode="_(* #,##0.000_);_(* \(#,##0.000\);_(* &quot;-&quot;??_);_(@_)"/>
  </numFmts>
  <fonts count="53">
    <font>
      <sz val="11"/>
      <color theme="1"/>
      <name val="Segoe UI"/>
      <family val="2"/>
      <scheme val="minor"/>
    </font>
    <font>
      <sz val="12"/>
      <color theme="1"/>
      <name val="Segoe UI"/>
      <family val="2"/>
      <scheme val="minor"/>
    </font>
    <font>
      <sz val="10"/>
      <name val="TimesNewRomanPS"/>
    </font>
    <font>
      <sz val="11"/>
      <color theme="1"/>
      <name val="Segoe UI"/>
      <family val="2"/>
      <scheme val="minor"/>
    </font>
    <font>
      <b/>
      <sz val="11"/>
      <color theme="1"/>
      <name val="Segoe UI"/>
      <family val="2"/>
      <scheme val="minor"/>
    </font>
    <font>
      <sz val="9"/>
      <color indexed="81"/>
      <name val="Tahoma"/>
      <family val="2"/>
    </font>
    <font>
      <sz val="12"/>
      <color theme="1"/>
      <name val="Segoe UI"/>
      <family val="2"/>
      <scheme val="minor"/>
    </font>
    <font>
      <sz val="12"/>
      <name val="Segoe UI"/>
      <family val="2"/>
      <scheme val="minor"/>
    </font>
    <font>
      <sz val="11"/>
      <color theme="0"/>
      <name val="Segoe UI"/>
      <family val="2"/>
      <scheme val="minor"/>
    </font>
    <font>
      <sz val="11"/>
      <name val="Segoe UI"/>
      <family val="2"/>
      <scheme val="minor"/>
    </font>
    <font>
      <b/>
      <sz val="11"/>
      <name val="Segoe UI"/>
      <family val="2"/>
      <scheme val="minor"/>
    </font>
    <font>
      <u/>
      <sz val="11"/>
      <color theme="0"/>
      <name val="Segoe UI"/>
      <family val="2"/>
      <scheme val="minor"/>
    </font>
    <font>
      <i/>
      <sz val="11"/>
      <name val="Segoe UI"/>
      <family val="2"/>
      <scheme val="minor"/>
    </font>
    <font>
      <b/>
      <vertAlign val="superscript"/>
      <sz val="11"/>
      <name val="Segoe UI"/>
      <family val="2"/>
      <scheme val="minor"/>
    </font>
    <font>
      <b/>
      <sz val="12"/>
      <color theme="1"/>
      <name val="Segoe UI"/>
      <family val="2"/>
      <scheme val="minor"/>
    </font>
    <font>
      <sz val="12"/>
      <name val="Verdana"/>
      <family val="2"/>
    </font>
    <font>
      <b/>
      <sz val="12"/>
      <name val="Segoe UI"/>
      <family val="2"/>
      <scheme val="minor"/>
    </font>
    <font>
      <b/>
      <sz val="14"/>
      <color rgb="FFF1B82D"/>
      <name val="Segoe UI Black"/>
      <family val="2"/>
      <scheme val="major"/>
    </font>
    <font>
      <sz val="10"/>
      <name val="Segoe UI"/>
      <family val="2"/>
      <scheme val="minor"/>
    </font>
    <font>
      <sz val="10"/>
      <color theme="1"/>
      <name val="Segoe UI"/>
      <family val="2"/>
      <scheme val="minor"/>
    </font>
    <font>
      <vertAlign val="subscript"/>
      <sz val="10"/>
      <name val="Segoe UI"/>
      <family val="2"/>
      <scheme val="minor"/>
    </font>
    <font>
      <b/>
      <u/>
      <sz val="12"/>
      <name val="Segoe UI"/>
      <family val="2"/>
      <scheme val="minor"/>
    </font>
    <font>
      <b/>
      <u/>
      <sz val="11"/>
      <name val="Segoe UI"/>
      <family val="2"/>
      <scheme val="minor"/>
    </font>
    <font>
      <vertAlign val="superscript"/>
      <sz val="10"/>
      <name val="Segoe UI"/>
      <family val="2"/>
      <scheme val="minor"/>
    </font>
    <font>
      <sz val="11"/>
      <color theme="1"/>
      <name val="Segoe UI"/>
      <family val="2"/>
    </font>
    <font>
      <sz val="10"/>
      <color theme="1"/>
      <name val="Segoe UI"/>
      <family val="2"/>
    </font>
    <font>
      <b/>
      <sz val="10"/>
      <color theme="1"/>
      <name val="Segoe UI"/>
      <family val="2"/>
    </font>
    <font>
      <b/>
      <sz val="10"/>
      <color rgb="FFF1B82D"/>
      <name val="Segoe UI"/>
      <family val="2"/>
    </font>
    <font>
      <sz val="10"/>
      <color rgb="FFFFC000"/>
      <name val="Segoe UI"/>
      <family val="2"/>
    </font>
    <font>
      <sz val="10"/>
      <name val="Segoe UI"/>
      <family val="2"/>
    </font>
    <font>
      <b/>
      <sz val="9"/>
      <color indexed="81"/>
      <name val="Tahoma"/>
      <family val="2"/>
    </font>
    <font>
      <b/>
      <sz val="10"/>
      <name val="Segoe UI"/>
      <family val="2"/>
    </font>
    <font>
      <sz val="10"/>
      <color indexed="8"/>
      <name val="Segoe UI"/>
      <family val="2"/>
    </font>
    <font>
      <sz val="10"/>
      <color rgb="FFF1B82D"/>
      <name val="Segoe UI"/>
      <family val="2"/>
    </font>
    <font>
      <sz val="11"/>
      <name val="Arial"/>
      <family val="2"/>
    </font>
    <font>
      <u/>
      <sz val="11"/>
      <name val="Arial"/>
      <family val="2"/>
    </font>
    <font>
      <i/>
      <sz val="8"/>
      <color theme="1"/>
      <name val="Segoe UI"/>
      <family val="2"/>
    </font>
    <font>
      <b/>
      <sz val="8"/>
      <color indexed="81"/>
      <name val="Tahoma"/>
      <family val="2"/>
    </font>
    <font>
      <sz val="8"/>
      <color indexed="81"/>
      <name val="Tahoma"/>
      <family val="2"/>
    </font>
    <font>
      <b/>
      <sz val="11"/>
      <color rgb="FFFFC000"/>
      <name val="Segoe UI"/>
      <family val="2"/>
      <scheme val="minor"/>
    </font>
    <font>
      <i/>
      <sz val="11"/>
      <color rgb="FFFFC000"/>
      <name val="Segoe UI"/>
      <family val="2"/>
      <scheme val="minor"/>
    </font>
    <font>
      <vertAlign val="superscript"/>
      <sz val="10"/>
      <color rgb="FFF1B82D"/>
      <name val="Segoe UI"/>
      <family val="2"/>
    </font>
    <font>
      <sz val="10"/>
      <color indexed="12"/>
      <name val="Segoe UI"/>
      <family val="2"/>
    </font>
    <font>
      <i/>
      <sz val="10"/>
      <name val="Segoe UI"/>
      <family val="2"/>
      <scheme val="minor"/>
    </font>
    <font>
      <b/>
      <sz val="10"/>
      <name val="Segoe UI"/>
      <family val="2"/>
      <scheme val="minor"/>
    </font>
    <font>
      <sz val="8"/>
      <name val="Segoe UI"/>
      <family val="2"/>
      <scheme val="minor"/>
    </font>
    <font>
      <sz val="12"/>
      <color theme="0"/>
      <name val="Segoe UI"/>
      <family val="2"/>
      <scheme val="minor"/>
    </font>
    <font>
      <b/>
      <vertAlign val="superscript"/>
      <sz val="10"/>
      <name val="Segoe UI"/>
      <family val="2"/>
      <scheme val="minor"/>
    </font>
    <font>
      <b/>
      <sz val="14"/>
      <color rgb="FFFFC000"/>
      <name val="Segoe UI Black"/>
      <family val="2"/>
      <scheme val="major"/>
    </font>
    <font>
      <b/>
      <sz val="11"/>
      <color rgb="FF3F3F3F"/>
      <name val="Segoe UI"/>
      <family val="2"/>
      <scheme val="minor"/>
    </font>
    <font>
      <b/>
      <sz val="16"/>
      <color rgb="FFF1B82D"/>
      <name val="Segoe UI Black"/>
      <family val="2"/>
      <scheme val="major"/>
    </font>
    <font>
      <b/>
      <sz val="12"/>
      <color rgb="FF3F3F3F"/>
      <name val="Segoe UI"/>
      <family val="2"/>
      <scheme val="minor"/>
    </font>
    <font>
      <b/>
      <sz val="14"/>
      <color rgb="FFF1B82D"/>
      <name val="Segoe UI"/>
      <family val="2"/>
      <scheme val="minor"/>
    </font>
  </fonts>
  <fills count="11">
    <fill>
      <patternFill patternType="none"/>
    </fill>
    <fill>
      <patternFill patternType="gray125"/>
    </fill>
    <fill>
      <patternFill patternType="solid">
        <fgColor theme="2"/>
        <bgColor indexed="64"/>
      </patternFill>
    </fill>
    <fill>
      <patternFill patternType="solid">
        <fgColor theme="1"/>
        <bgColor indexed="64"/>
      </patternFill>
    </fill>
    <fill>
      <patternFill patternType="gray0625"/>
    </fill>
    <fill>
      <patternFill patternType="solid">
        <fgColor rgb="FFE7E6E6"/>
        <bgColor indexed="64"/>
      </patternFill>
    </fill>
    <fill>
      <patternFill patternType="solid">
        <fgColor theme="0"/>
        <bgColor indexed="64"/>
      </patternFill>
    </fill>
    <fill>
      <patternFill patternType="solid">
        <fgColor theme="1"/>
        <bgColor theme="1"/>
      </patternFill>
    </fill>
    <fill>
      <patternFill patternType="gray125">
        <fgColor auto="1"/>
        <bgColor rgb="FFE7E6E6"/>
      </patternFill>
    </fill>
    <fill>
      <patternFill patternType="solid">
        <fgColor theme="7" tint="0.79998168889431442"/>
        <bgColor indexed="64"/>
      </patternFill>
    </fill>
    <fill>
      <patternFill patternType="solid">
        <fgColor rgb="FFF2F2F2"/>
      </patternFill>
    </fill>
  </fills>
  <borders count="32">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theme="1"/>
      </left>
      <right/>
      <top style="thin">
        <color theme="1"/>
      </top>
      <bottom/>
      <diagonal/>
    </border>
    <border>
      <left/>
      <right/>
      <top style="thin">
        <color theme="4" tint="0.39997558519241921"/>
      </top>
      <bottom style="thin">
        <color theme="4" tint="0.39997558519241921"/>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s>
  <cellStyleXfs count="7">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49" fillId="10" borderId="25" applyNumberFormat="0" applyAlignment="0" applyProtection="0"/>
  </cellStyleXfs>
  <cellXfs count="360">
    <xf numFmtId="0" fontId="0" fillId="0" borderId="0" xfId="0"/>
    <xf numFmtId="0" fontId="4" fillId="0" borderId="0" xfId="0" applyFont="1"/>
    <xf numFmtId="0" fontId="9" fillId="0" borderId="0" xfId="1" applyFont="1"/>
    <xf numFmtId="0" fontId="9" fillId="2" borderId="0" xfId="1" applyFont="1" applyFill="1" applyProtection="1">
      <protection locked="0"/>
    </xf>
    <xf numFmtId="0" fontId="9" fillId="0" borderId="3" xfId="1" applyFont="1" applyBorder="1" applyAlignment="1">
      <alignment horizontal="left"/>
    </xf>
    <xf numFmtId="2" fontId="9" fillId="0" borderId="1" xfId="1" applyNumberFormat="1" applyFont="1" applyBorder="1" applyAlignment="1">
      <alignment horizontal="right"/>
    </xf>
    <xf numFmtId="2" fontId="10" fillId="0" borderId="4" xfId="1" applyNumberFormat="1" applyFont="1" applyBorder="1" applyAlignment="1">
      <alignment horizontal="right"/>
    </xf>
    <xf numFmtId="0" fontId="9" fillId="0" borderId="3" xfId="1" applyFont="1" applyBorder="1" applyAlignment="1">
      <alignment horizontal="left" indent="1"/>
    </xf>
    <xf numFmtId="0" fontId="9" fillId="0" borderId="0" xfId="1" applyFont="1" applyAlignment="1">
      <alignment horizontal="right"/>
    </xf>
    <xf numFmtId="2" fontId="9" fillId="0" borderId="3" xfId="1" applyNumberFormat="1" applyFont="1" applyBorder="1" applyAlignment="1">
      <alignment horizontal="left"/>
    </xf>
    <xf numFmtId="2" fontId="9" fillId="0" borderId="0" xfId="1" applyNumberFormat="1" applyFont="1" applyAlignment="1">
      <alignment horizontal="right"/>
    </xf>
    <xf numFmtId="2" fontId="9" fillId="0" borderId="0" xfId="1" applyNumberFormat="1" applyFont="1"/>
    <xf numFmtId="2" fontId="9" fillId="0" borderId="4" xfId="1" applyNumberFormat="1" applyFont="1" applyBorder="1" applyAlignment="1">
      <alignment horizontal="right"/>
    </xf>
    <xf numFmtId="2" fontId="9" fillId="0" borderId="3" xfId="1" applyNumberFormat="1" applyFont="1" applyBorder="1" applyAlignment="1">
      <alignment horizontal="left" indent="1"/>
    </xf>
    <xf numFmtId="2" fontId="9" fillId="0" borderId="3" xfId="1" applyNumberFormat="1" applyFont="1" applyBorder="1" applyAlignment="1">
      <alignment horizontal="left" indent="2"/>
    </xf>
    <xf numFmtId="2" fontId="9" fillId="0" borderId="4" xfId="1" applyNumberFormat="1" applyFont="1" applyBorder="1" applyAlignment="1">
      <alignment horizontal="left"/>
    </xf>
    <xf numFmtId="2" fontId="9" fillId="2" borderId="4" xfId="1" applyNumberFormat="1" applyFont="1" applyFill="1" applyBorder="1" applyAlignment="1" applyProtection="1">
      <alignment horizontal="right"/>
      <protection locked="0"/>
    </xf>
    <xf numFmtId="2" fontId="9" fillId="0" borderId="5" xfId="1" applyNumberFormat="1" applyFont="1" applyBorder="1" applyAlignment="1">
      <alignment horizontal="right"/>
    </xf>
    <xf numFmtId="2" fontId="9" fillId="0" borderId="0" xfId="1" applyNumberFormat="1" applyFont="1" applyAlignment="1">
      <alignment horizontal="left"/>
    </xf>
    <xf numFmtId="2" fontId="9" fillId="0" borderId="1" xfId="1" applyNumberFormat="1" applyFont="1" applyBorder="1"/>
    <xf numFmtId="2" fontId="9" fillId="0" borderId="7" xfId="1" applyNumberFormat="1" applyFont="1" applyBorder="1" applyAlignment="1">
      <alignment horizontal="left"/>
    </xf>
    <xf numFmtId="2" fontId="9" fillId="0" borderId="8" xfId="1" applyNumberFormat="1" applyFont="1" applyBorder="1" applyAlignment="1">
      <alignment horizontal="right"/>
    </xf>
    <xf numFmtId="2" fontId="10" fillId="0" borderId="0" xfId="0" applyNumberFormat="1" applyFont="1" applyAlignment="1">
      <alignment horizontal="left"/>
    </xf>
    <xf numFmtId="2" fontId="12"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14" fontId="9" fillId="0" borderId="0" xfId="0" applyNumberFormat="1" applyFont="1" applyAlignment="1">
      <alignment horizontal="right"/>
    </xf>
    <xf numFmtId="2" fontId="9" fillId="0" borderId="0" xfId="0" applyNumberFormat="1" applyFont="1" applyAlignment="1">
      <alignment horizontal="right"/>
    </xf>
    <xf numFmtId="2" fontId="10" fillId="0" borderId="1" xfId="0" applyNumberFormat="1" applyFont="1" applyBorder="1" applyAlignment="1">
      <alignment horizontal="left"/>
    </xf>
    <xf numFmtId="2" fontId="10" fillId="0" borderId="1" xfId="0" applyNumberFormat="1" applyFont="1" applyBorder="1" applyAlignment="1">
      <alignment horizontal="right"/>
    </xf>
    <xf numFmtId="2" fontId="10" fillId="0" borderId="1" xfId="0" applyNumberFormat="1" applyFont="1" applyBorder="1"/>
    <xf numFmtId="0" fontId="10" fillId="0" borderId="1" xfId="1" applyFont="1" applyBorder="1"/>
    <xf numFmtId="2" fontId="10" fillId="0" borderId="0" xfId="0" applyNumberFormat="1" applyFont="1" applyAlignment="1">
      <alignment horizontal="right"/>
    </xf>
    <xf numFmtId="2" fontId="10" fillId="0" borderId="0" xfId="0" applyNumberFormat="1" applyFont="1" applyAlignment="1">
      <alignment horizontal="right" wrapText="1"/>
    </xf>
    <xf numFmtId="164" fontId="9" fillId="0" borderId="0" xfId="1" applyNumberFormat="1" applyFont="1" applyAlignment="1">
      <alignment horizontal="right"/>
    </xf>
    <xf numFmtId="2" fontId="10" fillId="0" borderId="0" xfId="1" applyNumberFormat="1" applyFont="1" applyAlignment="1">
      <alignment horizontal="right"/>
    </xf>
    <xf numFmtId="2" fontId="10" fillId="0" borderId="5" xfId="1" applyNumberFormat="1" applyFont="1" applyBorder="1" applyAlignment="1">
      <alignment horizontal="right"/>
    </xf>
    <xf numFmtId="165" fontId="10" fillId="0" borderId="0" xfId="1" applyNumberFormat="1" applyFont="1" applyAlignment="1">
      <alignment horizontal="right"/>
    </xf>
    <xf numFmtId="2" fontId="9" fillId="0" borderId="9" xfId="1" applyNumberFormat="1" applyFont="1" applyBorder="1" applyAlignment="1">
      <alignment horizontal="right"/>
    </xf>
    <xf numFmtId="166" fontId="7" fillId="5" borderId="0" xfId="1" applyNumberFormat="1" applyFont="1" applyFill="1" applyAlignment="1" applyProtection="1">
      <alignment horizontal="right"/>
      <protection locked="0"/>
    </xf>
    <xf numFmtId="1" fontId="7" fillId="2" borderId="0" xfId="1" applyNumberFormat="1" applyFont="1" applyFill="1" applyAlignment="1" applyProtection="1">
      <alignment horizontal="right"/>
      <protection locked="0"/>
    </xf>
    <xf numFmtId="40" fontId="7" fillId="5" borderId="0" xfId="1" applyNumberFormat="1" applyFont="1" applyFill="1" applyAlignment="1" applyProtection="1">
      <alignment horizontal="right"/>
      <protection locked="0"/>
    </xf>
    <xf numFmtId="40" fontId="6" fillId="5" borderId="0" xfId="0" applyNumberFormat="1" applyFont="1" applyFill="1" applyAlignment="1" applyProtection="1">
      <alignment horizontal="right"/>
      <protection locked="0"/>
    </xf>
    <xf numFmtId="40" fontId="6" fillId="5" borderId="0" xfId="3" applyNumberFormat="1" applyFont="1" applyFill="1" applyBorder="1" applyProtection="1">
      <protection locked="0"/>
    </xf>
    <xf numFmtId="0" fontId="0" fillId="3" borderId="0" xfId="0" applyFill="1"/>
    <xf numFmtId="0" fontId="6" fillId="0" borderId="0" xfId="0" applyFont="1"/>
    <xf numFmtId="0" fontId="6" fillId="0" borderId="0" xfId="0" applyFont="1" applyAlignment="1">
      <alignment horizontal="center"/>
    </xf>
    <xf numFmtId="0" fontId="14" fillId="0" borderId="0" xfId="0" applyFont="1" applyAlignment="1">
      <alignment horizontal="center"/>
    </xf>
    <xf numFmtId="0" fontId="16" fillId="0" borderId="1" xfId="1" applyFont="1" applyBorder="1" applyAlignment="1">
      <alignment horizontal="left"/>
    </xf>
    <xf numFmtId="0" fontId="16" fillId="0" borderId="1" xfId="1" applyFont="1" applyBorder="1" applyAlignment="1">
      <alignment horizontal="center"/>
    </xf>
    <xf numFmtId="0" fontId="14" fillId="0" borderId="1" xfId="0" applyFont="1" applyBorder="1" applyAlignment="1">
      <alignment horizontal="center"/>
    </xf>
    <xf numFmtId="0" fontId="21" fillId="0" borderId="0" xfId="1" applyFont="1" applyAlignment="1">
      <alignment horizontal="left"/>
    </xf>
    <xf numFmtId="0" fontId="16" fillId="0" borderId="0" xfId="1" applyFont="1" applyAlignment="1">
      <alignment horizontal="center"/>
    </xf>
    <xf numFmtId="2" fontId="16" fillId="0" borderId="0" xfId="1" applyNumberFormat="1" applyFont="1" applyAlignment="1">
      <alignment horizontal="center"/>
    </xf>
    <xf numFmtId="0" fontId="7" fillId="0" borderId="0" xfId="1" applyFont="1" applyAlignment="1">
      <alignment horizontal="left"/>
    </xf>
    <xf numFmtId="0" fontId="18" fillId="0" borderId="0" xfId="1" applyFont="1" applyAlignment="1">
      <alignment horizontal="left"/>
    </xf>
    <xf numFmtId="0" fontId="7" fillId="4" borderId="0" xfId="1" applyFont="1" applyFill="1" applyAlignment="1">
      <alignment horizontal="left"/>
    </xf>
    <xf numFmtId="0" fontId="19" fillId="0" borderId="0" xfId="0" applyFont="1"/>
    <xf numFmtId="0" fontId="7" fillId="0" borderId="0" xfId="1" applyFont="1"/>
    <xf numFmtId="0" fontId="18" fillId="0" borderId="0" xfId="1" applyFont="1"/>
    <xf numFmtId="2" fontId="6" fillId="4" borderId="0" xfId="0" applyNumberFormat="1" applyFont="1" applyFill="1" applyAlignment="1">
      <alignment horizontal="right"/>
    </xf>
    <xf numFmtId="2" fontId="7" fillId="4" borderId="0" xfId="1" applyNumberFormat="1" applyFont="1" applyFill="1" applyAlignment="1">
      <alignment horizontal="right"/>
    </xf>
    <xf numFmtId="0" fontId="21" fillId="0" borderId="0" xfId="1" applyFont="1"/>
    <xf numFmtId="2" fontId="7" fillId="0" borderId="0" xfId="1" applyNumberFormat="1" applyFont="1" applyAlignment="1">
      <alignment horizontal="left"/>
    </xf>
    <xf numFmtId="2" fontId="18" fillId="0" borderId="0" xfId="1" applyNumberFormat="1" applyFont="1" applyAlignment="1">
      <alignment horizontal="left"/>
    </xf>
    <xf numFmtId="8" fontId="7" fillId="4" borderId="0" xfId="1" applyNumberFormat="1" applyFont="1" applyFill="1" applyAlignment="1">
      <alignment horizontal="right"/>
    </xf>
    <xf numFmtId="8" fontId="6" fillId="4" borderId="0" xfId="0" applyNumberFormat="1" applyFont="1" applyFill="1" applyAlignment="1">
      <alignment horizontal="right"/>
    </xf>
    <xf numFmtId="2" fontId="21" fillId="0" borderId="0" xfId="1" applyNumberFormat="1" applyFont="1" applyAlignment="1">
      <alignment horizontal="left"/>
    </xf>
    <xf numFmtId="0" fontId="15" fillId="0" borderId="0" xfId="1" applyFont="1" applyAlignment="1">
      <alignment horizontal="right"/>
    </xf>
    <xf numFmtId="8" fontId="6" fillId="0" borderId="0" xfId="0" applyNumberFormat="1" applyFont="1"/>
    <xf numFmtId="4" fontId="9" fillId="0" borderId="4" xfId="1" applyNumberFormat="1" applyFont="1" applyBorder="1" applyAlignment="1">
      <alignment horizontal="right"/>
    </xf>
    <xf numFmtId="1" fontId="9" fillId="0" borderId="0" xfId="1" applyNumberFormat="1" applyFont="1" applyAlignment="1">
      <alignment horizontal="right"/>
    </xf>
    <xf numFmtId="0" fontId="9" fillId="2" borderId="0" xfId="1" applyFont="1" applyFill="1" applyAlignment="1" applyProtection="1">
      <alignment horizontal="right"/>
      <protection locked="0"/>
    </xf>
    <xf numFmtId="2" fontId="9" fillId="2" borderId="0" xfId="1" applyNumberFormat="1" applyFont="1" applyFill="1" applyAlignment="1" applyProtection="1">
      <alignment horizontal="right"/>
      <protection locked="0"/>
    </xf>
    <xf numFmtId="2" fontId="8" fillId="0" borderId="0" xfId="1" applyNumberFormat="1" applyFont="1" applyAlignment="1">
      <alignment horizontal="right"/>
    </xf>
    <xf numFmtId="2" fontId="8" fillId="0" borderId="0" xfId="1" applyNumberFormat="1" applyFont="1"/>
    <xf numFmtId="167" fontId="8" fillId="0" borderId="0" xfId="1" applyNumberFormat="1" applyFont="1" applyAlignment="1">
      <alignment horizontal="right"/>
    </xf>
    <xf numFmtId="0" fontId="22" fillId="0" borderId="3" xfId="1" applyFont="1" applyBorder="1" applyAlignment="1">
      <alignment horizontal="left"/>
    </xf>
    <xf numFmtId="0" fontId="10" fillId="0" borderId="1" xfId="1" applyFont="1" applyBorder="1" applyAlignment="1">
      <alignment horizontal="right"/>
    </xf>
    <xf numFmtId="2" fontId="10" fillId="0" borderId="1" xfId="1" applyNumberFormat="1" applyFont="1" applyBorder="1" applyAlignment="1">
      <alignment horizontal="right"/>
    </xf>
    <xf numFmtId="2" fontId="22" fillId="0" borderId="3" xfId="1" applyNumberFormat="1" applyFont="1" applyBorder="1" applyAlignment="1">
      <alignment horizontal="left"/>
    </xf>
    <xf numFmtId="4" fontId="10" fillId="0" borderId="4" xfId="1" applyNumberFormat="1" applyFont="1" applyBorder="1" applyAlignment="1">
      <alignment horizontal="right"/>
    </xf>
    <xf numFmtId="2" fontId="10" fillId="0" borderId="3" xfId="1" applyNumberFormat="1" applyFont="1" applyBorder="1" applyAlignment="1">
      <alignment horizontal="right" indent="2"/>
    </xf>
    <xf numFmtId="2" fontId="10" fillId="0" borderId="6" xfId="1" applyNumberFormat="1" applyFont="1" applyBorder="1" applyAlignment="1">
      <alignment horizontal="right" indent="2"/>
    </xf>
    <xf numFmtId="4" fontId="10" fillId="0" borderId="5" xfId="1" applyNumberFormat="1" applyFont="1" applyBorder="1" applyAlignment="1">
      <alignment horizontal="right"/>
    </xf>
    <xf numFmtId="40" fontId="8" fillId="0" borderId="0" xfId="1" applyNumberFormat="1" applyFont="1"/>
    <xf numFmtId="2" fontId="9" fillId="0" borderId="0" xfId="1" applyNumberFormat="1" applyFont="1" applyAlignment="1">
      <alignment horizontal="left" indent="1"/>
    </xf>
    <xf numFmtId="2" fontId="10" fillId="0" borderId="3" xfId="1" applyNumberFormat="1" applyFont="1" applyBorder="1" applyAlignment="1">
      <alignment horizontal="left"/>
    </xf>
    <xf numFmtId="0" fontId="9" fillId="0" borderId="1" xfId="1" applyFont="1" applyBorder="1"/>
    <xf numFmtId="2" fontId="9" fillId="2" borderId="5" xfId="1" applyNumberFormat="1" applyFont="1" applyFill="1" applyBorder="1" applyAlignment="1" applyProtection="1">
      <alignment horizontal="right"/>
      <protection locked="0"/>
    </xf>
    <xf numFmtId="3" fontId="11" fillId="0" borderId="0" xfId="1" applyNumberFormat="1" applyFont="1" applyAlignment="1">
      <alignment horizontal="right"/>
    </xf>
    <xf numFmtId="3" fontId="8" fillId="0" borderId="0" xfId="1" applyNumberFormat="1" applyFont="1"/>
    <xf numFmtId="2" fontId="9" fillId="0" borderId="10" xfId="1" applyNumberFormat="1" applyFont="1" applyBorder="1" applyAlignment="1">
      <alignment horizontal="right"/>
    </xf>
    <xf numFmtId="2" fontId="9" fillId="0" borderId="10" xfId="1" applyNumberFormat="1" applyFont="1" applyBorder="1"/>
    <xf numFmtId="2" fontId="9" fillId="0" borderId="13" xfId="1" applyNumberFormat="1" applyFont="1" applyBorder="1" applyAlignment="1">
      <alignment horizontal="left"/>
    </xf>
    <xf numFmtId="2" fontId="9" fillId="0" borderId="14" xfId="1" applyNumberFormat="1" applyFont="1" applyBorder="1" applyAlignment="1">
      <alignment horizontal="right"/>
    </xf>
    <xf numFmtId="2" fontId="10" fillId="0" borderId="6" xfId="1" applyNumberFormat="1" applyFont="1" applyBorder="1" applyAlignment="1">
      <alignment horizontal="left"/>
    </xf>
    <xf numFmtId="4" fontId="12" fillId="0" borderId="0" xfId="4" applyNumberFormat="1" applyFont="1" applyBorder="1" applyAlignment="1" applyProtection="1">
      <alignment horizontal="right"/>
    </xf>
    <xf numFmtId="44" fontId="12" fillId="0" borderId="0" xfId="4" applyFont="1" applyBorder="1" applyAlignment="1" applyProtection="1">
      <alignment horizontal="right"/>
    </xf>
    <xf numFmtId="9" fontId="12" fillId="0" borderId="0" xfId="1" applyNumberFormat="1" applyFont="1" applyAlignment="1">
      <alignment horizontal="right"/>
    </xf>
    <xf numFmtId="0" fontId="25" fillId="0" borderId="0" xfId="0" applyFont="1"/>
    <xf numFmtId="0" fontId="25" fillId="2" borderId="0" xfId="0" applyFont="1" applyFill="1"/>
    <xf numFmtId="0" fontId="26" fillId="0" borderId="0" xfId="0" applyFont="1"/>
    <xf numFmtId="0" fontId="27" fillId="3" borderId="0" xfId="0" applyFont="1" applyFill="1" applyAlignment="1">
      <alignment wrapText="1"/>
    </xf>
    <xf numFmtId="0" fontId="28" fillId="3" borderId="0" xfId="0" applyFont="1" applyFill="1" applyAlignment="1">
      <alignment wrapText="1"/>
    </xf>
    <xf numFmtId="0" fontId="29" fillId="2" borderId="0" xfId="0" applyFont="1" applyFill="1" applyAlignment="1" applyProtection="1">
      <alignment horizontal="left"/>
      <protection locked="0"/>
    </xf>
    <xf numFmtId="0" fontId="29" fillId="2" borderId="0" xfId="0" applyFont="1" applyFill="1" applyProtection="1">
      <protection locked="0"/>
    </xf>
    <xf numFmtId="0" fontId="29" fillId="2" borderId="0" xfId="0" quotePrefix="1" applyFont="1" applyFill="1" applyAlignment="1" applyProtection="1">
      <alignment horizontal="left"/>
      <protection locked="0"/>
    </xf>
    <xf numFmtId="168" fontId="29" fillId="2" borderId="0" xfId="2" applyNumberFormat="1" applyFont="1" applyFill="1" applyBorder="1" applyProtection="1">
      <protection locked="0"/>
    </xf>
    <xf numFmtId="9" fontId="29" fillId="2" borderId="0" xfId="3" applyFont="1" applyFill="1" applyBorder="1" applyProtection="1">
      <protection locked="0"/>
    </xf>
    <xf numFmtId="3" fontId="29" fillId="2" borderId="0" xfId="0" applyNumberFormat="1" applyFont="1" applyFill="1"/>
    <xf numFmtId="168" fontId="29" fillId="2" borderId="0" xfId="2" applyNumberFormat="1" applyFont="1" applyFill="1" applyBorder="1" applyProtection="1"/>
    <xf numFmtId="167" fontId="29" fillId="0" borderId="0" xfId="2" applyNumberFormat="1" applyFont="1" applyFill="1" applyBorder="1" applyProtection="1">
      <protection locked="0"/>
    </xf>
    <xf numFmtId="6" fontId="29" fillId="0" borderId="0" xfId="2" applyNumberFormat="1" applyFont="1" applyFill="1" applyBorder="1"/>
    <xf numFmtId="43" fontId="29" fillId="0" borderId="0" xfId="2" applyFont="1" applyFill="1" applyBorder="1"/>
    <xf numFmtId="169" fontId="25" fillId="0" borderId="0" xfId="0" applyNumberFormat="1" applyFont="1"/>
    <xf numFmtId="8" fontId="25" fillId="0" borderId="0" xfId="0" applyNumberFormat="1" applyFont="1"/>
    <xf numFmtId="165" fontId="29" fillId="0" borderId="0" xfId="2" applyNumberFormat="1" applyFont="1" applyFill="1" applyBorder="1"/>
    <xf numFmtId="3" fontId="25" fillId="0" borderId="0" xfId="0" applyNumberFormat="1" applyFont="1"/>
    <xf numFmtId="6" fontId="25" fillId="0" borderId="0" xfId="0" applyNumberFormat="1" applyFont="1"/>
    <xf numFmtId="43" fontId="25" fillId="0" borderId="0" xfId="0" applyNumberFormat="1" applyFont="1"/>
    <xf numFmtId="0" fontId="31" fillId="0" borderId="0" xfId="0" applyFont="1"/>
    <xf numFmtId="0" fontId="29" fillId="0" borderId="0" xfId="0" applyFont="1"/>
    <xf numFmtId="0" fontId="32" fillId="0" borderId="0" xfId="0" applyFont="1"/>
    <xf numFmtId="0" fontId="29" fillId="0" borderId="0" xfId="0" applyFont="1" applyAlignment="1">
      <alignment horizontal="center"/>
    </xf>
    <xf numFmtId="0" fontId="29" fillId="0" borderId="0" xfId="0" applyFont="1" applyAlignment="1">
      <alignment horizontal="left"/>
    </xf>
    <xf numFmtId="0" fontId="29" fillId="0" borderId="0" xfId="0" quotePrefix="1" applyFont="1" applyAlignment="1">
      <alignment horizontal="left"/>
    </xf>
    <xf numFmtId="0" fontId="33" fillId="0" borderId="0" xfId="0" applyFont="1" applyAlignment="1">
      <alignment horizontal="left" wrapText="1"/>
    </xf>
    <xf numFmtId="0" fontId="33" fillId="0" borderId="0" xfId="0" applyFont="1" applyAlignment="1">
      <alignment wrapText="1"/>
    </xf>
    <xf numFmtId="0" fontId="33" fillId="0" borderId="0" xfId="0" applyFont="1" applyAlignment="1">
      <alignment horizontal="right" wrapText="1"/>
    </xf>
    <xf numFmtId="0" fontId="33" fillId="0" borderId="0" xfId="0" quotePrefix="1" applyFont="1" applyAlignment="1">
      <alignment horizontal="right" wrapText="1"/>
    </xf>
    <xf numFmtId="0" fontId="32" fillId="0" borderId="0" xfId="0" applyFont="1" applyAlignment="1">
      <alignment horizontal="left"/>
    </xf>
    <xf numFmtId="0" fontId="29" fillId="2" borderId="0" xfId="0" applyFont="1" applyFill="1" applyAlignment="1">
      <alignment horizontal="right"/>
    </xf>
    <xf numFmtId="3" fontId="29" fillId="6" borderId="0" xfId="0" applyNumberFormat="1" applyFont="1" applyFill="1"/>
    <xf numFmtId="167" fontId="29" fillId="0" borderId="0" xfId="0" applyNumberFormat="1" applyFont="1" applyProtection="1">
      <protection locked="0"/>
    </xf>
    <xf numFmtId="6" fontId="29" fillId="0" borderId="0" xfId="0" applyNumberFormat="1" applyFont="1" applyProtection="1">
      <protection locked="0"/>
    </xf>
    <xf numFmtId="43" fontId="29" fillId="0" borderId="0" xfId="0" applyNumberFormat="1" applyFont="1"/>
    <xf numFmtId="43" fontId="29" fillId="0" borderId="0" xfId="0" applyNumberFormat="1" applyFont="1" applyProtection="1">
      <protection locked="0"/>
    </xf>
    <xf numFmtId="4" fontId="29" fillId="0" borderId="0" xfId="0" applyNumberFormat="1" applyFont="1" applyProtection="1">
      <protection locked="0"/>
    </xf>
    <xf numFmtId="8" fontId="29" fillId="0" borderId="0" xfId="0" applyNumberFormat="1" applyFont="1" applyProtection="1">
      <protection locked="0"/>
    </xf>
    <xf numFmtId="0" fontId="34" fillId="0" borderId="0" xfId="0" quotePrefix="1" applyFont="1" applyAlignment="1">
      <alignment horizontal="left"/>
    </xf>
    <xf numFmtId="4" fontId="25" fillId="0" borderId="0" xfId="0" applyNumberFormat="1" applyFont="1"/>
    <xf numFmtId="0" fontId="26" fillId="0" borderId="1" xfId="0" applyFont="1" applyBorder="1" applyAlignment="1">
      <alignment horizontal="center"/>
    </xf>
    <xf numFmtId="0" fontId="26" fillId="0" borderId="0" xfId="0" applyFont="1" applyAlignment="1">
      <alignment horizontal="center"/>
    </xf>
    <xf numFmtId="0" fontId="26" fillId="0" borderId="10" xfId="0" applyFont="1" applyBorder="1" applyAlignment="1">
      <alignment horizontal="center"/>
    </xf>
    <xf numFmtId="0" fontId="26" fillId="0" borderId="0" xfId="0" applyFont="1" applyAlignment="1">
      <alignment horizontal="center" wrapText="1"/>
    </xf>
    <xf numFmtId="0" fontId="29" fillId="2" borderId="0" xfId="0" applyFont="1" applyFill="1"/>
    <xf numFmtId="0" fontId="29" fillId="0" borderId="0" xfId="0" applyFont="1" applyAlignment="1">
      <alignment horizontal="right"/>
    </xf>
    <xf numFmtId="39" fontId="29" fillId="0" borderId="0" xfId="4" applyNumberFormat="1" applyFont="1" applyFill="1" applyBorder="1" applyProtection="1">
      <protection locked="0"/>
    </xf>
    <xf numFmtId="0" fontId="24" fillId="0" borderId="0" xfId="0" applyFont="1"/>
    <xf numFmtId="0" fontId="36" fillId="0" borderId="0" xfId="0" applyFont="1" applyAlignment="1">
      <alignment horizontal="right"/>
    </xf>
    <xf numFmtId="167" fontId="29" fillId="2" borderId="0" xfId="0" applyNumberFormat="1" applyFont="1" applyFill="1" applyProtection="1">
      <protection locked="0"/>
    </xf>
    <xf numFmtId="40" fontId="25" fillId="0" borderId="0" xfId="0" applyNumberFormat="1" applyFont="1"/>
    <xf numFmtId="10" fontId="29" fillId="2" borderId="0" xfId="0" applyNumberFormat="1" applyFont="1" applyFill="1" applyProtection="1">
      <protection locked="0"/>
    </xf>
    <xf numFmtId="10" fontId="29" fillId="2" borderId="0" xfId="0" applyNumberFormat="1" applyFont="1" applyFill="1"/>
    <xf numFmtId="7" fontId="29" fillId="0" borderId="0" xfId="0" applyNumberFormat="1" applyFont="1" applyProtection="1">
      <protection locked="0"/>
    </xf>
    <xf numFmtId="9" fontId="29" fillId="2" borderId="0" xfId="0" applyNumberFormat="1" applyFont="1" applyFill="1" applyProtection="1">
      <protection locked="0"/>
    </xf>
    <xf numFmtId="165" fontId="29" fillId="2" borderId="0" xfId="0" applyNumberFormat="1" applyFont="1" applyFill="1" applyProtection="1">
      <protection locked="0"/>
    </xf>
    <xf numFmtId="167" fontId="29" fillId="2" borderId="0" xfId="3" applyNumberFormat="1" applyFont="1" applyFill="1" applyBorder="1" applyProtection="1">
      <protection locked="0"/>
    </xf>
    <xf numFmtId="170" fontId="29" fillId="2" borderId="0" xfId="4" applyNumberFormat="1" applyFont="1" applyFill="1" applyBorder="1" applyProtection="1">
      <protection locked="0"/>
    </xf>
    <xf numFmtId="43" fontId="29" fillId="2" borderId="0" xfId="2" applyFont="1" applyFill="1" applyBorder="1" applyProtection="1">
      <protection locked="0"/>
    </xf>
    <xf numFmtId="4" fontId="25" fillId="0" borderId="1" xfId="0" applyNumberFormat="1" applyFont="1" applyBorder="1"/>
    <xf numFmtId="40" fontId="25" fillId="0" borderId="1" xfId="0" applyNumberFormat="1" applyFont="1" applyBorder="1"/>
    <xf numFmtId="0" fontId="26" fillId="0" borderId="0" xfId="0" applyFont="1" applyAlignment="1">
      <alignment horizontal="right" wrapText="1"/>
    </xf>
    <xf numFmtId="2" fontId="26" fillId="0" borderId="0" xfId="0" applyNumberFormat="1" applyFont="1" applyAlignment="1">
      <alignment wrapText="1"/>
    </xf>
    <xf numFmtId="44" fontId="29" fillId="0" borderId="0" xfId="4" applyFont="1" applyFill="1" applyBorder="1" applyProtection="1"/>
    <xf numFmtId="0" fontId="34" fillId="0" borderId="0" xfId="0" applyFont="1" applyAlignment="1">
      <alignment horizontal="left"/>
    </xf>
    <xf numFmtId="8" fontId="29" fillId="0" borderId="16" xfId="0" applyNumberFormat="1" applyFont="1" applyBorder="1"/>
    <xf numFmtId="0" fontId="25" fillId="0" borderId="16" xfId="0" applyFont="1" applyBorder="1"/>
    <xf numFmtId="0" fontId="27" fillId="7" borderId="15" xfId="0" applyFont="1" applyFill="1" applyBorder="1"/>
    <xf numFmtId="0" fontId="27" fillId="0" borderId="0" xfId="0" applyFont="1"/>
    <xf numFmtId="8" fontId="29" fillId="2" borderId="0" xfId="0" applyNumberFormat="1" applyFont="1" applyFill="1"/>
    <xf numFmtId="0" fontId="26" fillId="0" borderId="17" xfId="0" applyFont="1" applyBorder="1"/>
    <xf numFmtId="0" fontId="26" fillId="0" borderId="17" xfId="0" applyFont="1" applyBorder="1" applyAlignment="1">
      <alignment horizontal="center"/>
    </xf>
    <xf numFmtId="39" fontId="19" fillId="0" borderId="0" xfId="4" applyNumberFormat="1" applyFont="1"/>
    <xf numFmtId="0" fontId="25" fillId="2" borderId="1" xfId="0" applyFont="1" applyFill="1" applyBorder="1"/>
    <xf numFmtId="39" fontId="19" fillId="0" borderId="1" xfId="4" applyNumberFormat="1" applyFont="1" applyBorder="1"/>
    <xf numFmtId="44" fontId="19" fillId="0" borderId="1" xfId="4" applyFont="1" applyBorder="1"/>
    <xf numFmtId="8" fontId="25" fillId="2" borderId="0" xfId="0" applyNumberFormat="1" applyFont="1" applyFill="1"/>
    <xf numFmtId="0" fontId="16" fillId="0" borderId="0" xfId="1" applyFont="1" applyAlignment="1">
      <alignment horizontal="left"/>
    </xf>
    <xf numFmtId="166" fontId="29" fillId="2" borderId="0" xfId="0" applyNumberFormat="1" applyFont="1" applyFill="1" applyProtection="1">
      <protection locked="0"/>
    </xf>
    <xf numFmtId="0" fontId="33" fillId="0" borderId="0" xfId="0" applyFont="1" applyAlignment="1">
      <alignment horizontal="center" wrapText="1"/>
    </xf>
    <xf numFmtId="0" fontId="0" fillId="0" borderId="0" xfId="0" applyAlignment="1">
      <alignment horizontal="left" indent="1"/>
    </xf>
    <xf numFmtId="0" fontId="0" fillId="0" borderId="1" xfId="0" applyBorder="1" applyAlignment="1">
      <alignment horizontal="left" indent="1"/>
    </xf>
    <xf numFmtId="0" fontId="0" fillId="0" borderId="1" xfId="0" applyBorder="1"/>
    <xf numFmtId="166" fontId="7" fillId="8" borderId="0" xfId="1" applyNumberFormat="1" applyFont="1" applyFill="1" applyAlignment="1" applyProtection="1">
      <alignment horizontal="right"/>
      <protection locked="0"/>
    </xf>
    <xf numFmtId="168" fontId="29" fillId="2" borderId="0" xfId="2" applyNumberFormat="1" applyFont="1" applyFill="1" applyProtection="1">
      <protection locked="0"/>
    </xf>
    <xf numFmtId="9" fontId="29" fillId="2" borderId="0" xfId="3" applyFont="1" applyFill="1" applyProtection="1">
      <protection locked="0"/>
    </xf>
    <xf numFmtId="167" fontId="29" fillId="0" borderId="0" xfId="2" applyNumberFormat="1" applyFont="1" applyFill="1" applyProtection="1">
      <protection locked="0"/>
    </xf>
    <xf numFmtId="6" fontId="29" fillId="0" borderId="0" xfId="2" applyNumberFormat="1" applyFont="1" applyFill="1"/>
    <xf numFmtId="43" fontId="29" fillId="0" borderId="0" xfId="2" applyFont="1" applyFill="1"/>
    <xf numFmtId="8" fontId="29" fillId="0" borderId="0" xfId="2" applyNumberFormat="1" applyFont="1" applyFill="1"/>
    <xf numFmtId="8" fontId="29" fillId="0" borderId="0" xfId="4" applyNumberFormat="1" applyFont="1" applyFill="1"/>
    <xf numFmtId="165" fontId="29" fillId="0" borderId="0" xfId="0" applyNumberFormat="1" applyFont="1" applyProtection="1">
      <protection locked="0"/>
    </xf>
    <xf numFmtId="0" fontId="28" fillId="0" borderId="0" xfId="0" applyFont="1" applyAlignment="1">
      <alignment wrapText="1"/>
    </xf>
    <xf numFmtId="3" fontId="29" fillId="0" borderId="0" xfId="0" applyNumberFormat="1" applyFont="1"/>
    <xf numFmtId="43" fontId="29" fillId="0" borderId="0" xfId="4" applyNumberFormat="1" applyFont="1" applyFill="1" applyBorder="1"/>
    <xf numFmtId="0" fontId="29" fillId="2" borderId="0" xfId="0" applyFont="1" applyFill="1" applyAlignment="1" applyProtection="1">
      <alignment wrapText="1"/>
      <protection locked="0"/>
    </xf>
    <xf numFmtId="168" fontId="29" fillId="2" borderId="0" xfId="2" applyNumberFormat="1" applyFont="1" applyFill="1" applyAlignment="1" applyProtection="1">
      <alignment horizontal="right" wrapText="1"/>
      <protection locked="0"/>
    </xf>
    <xf numFmtId="9" fontId="29" fillId="2" borderId="0" xfId="3" applyFont="1" applyFill="1" applyAlignment="1" applyProtection="1">
      <alignment horizontal="right" wrapText="1"/>
      <protection locked="0"/>
    </xf>
    <xf numFmtId="3" fontId="29" fillId="6" borderId="0" xfId="0" applyNumberFormat="1" applyFont="1" applyFill="1" applyAlignment="1">
      <alignment horizontal="right" wrapText="1"/>
    </xf>
    <xf numFmtId="0" fontId="29" fillId="2" borderId="0" xfId="0" applyFont="1" applyFill="1" applyAlignment="1" applyProtection="1">
      <alignment horizontal="right" wrapText="1"/>
      <protection locked="0"/>
    </xf>
    <xf numFmtId="0" fontId="29" fillId="2" borderId="0" xfId="0" quotePrefix="1" applyFont="1" applyFill="1" applyAlignment="1" applyProtection="1">
      <alignment horizontal="right" wrapText="1"/>
      <protection locked="0"/>
    </xf>
    <xf numFmtId="0" fontId="29" fillId="2" borderId="0" xfId="0" applyFont="1" applyFill="1" applyAlignment="1" applyProtection="1">
      <alignment horizontal="left" wrapText="1"/>
      <protection locked="0"/>
    </xf>
    <xf numFmtId="167" fontId="29" fillId="0" borderId="0" xfId="0" applyNumberFormat="1" applyFont="1" applyAlignment="1" applyProtection="1">
      <alignment horizontal="right" wrapText="1"/>
      <protection locked="0"/>
    </xf>
    <xf numFmtId="6" fontId="29" fillId="0" borderId="0" xfId="0" applyNumberFormat="1" applyFont="1" applyAlignment="1" applyProtection="1">
      <alignment horizontal="right" wrapText="1"/>
      <protection locked="0"/>
    </xf>
    <xf numFmtId="43" fontId="29" fillId="0" borderId="0" xfId="0" applyNumberFormat="1" applyFont="1" applyAlignment="1" applyProtection="1">
      <alignment horizontal="right" wrapText="1"/>
      <protection locked="0"/>
    </xf>
    <xf numFmtId="8" fontId="29" fillId="0" borderId="0" xfId="0" applyNumberFormat="1" applyFont="1" applyAlignment="1" applyProtection="1">
      <alignment horizontal="right" wrapText="1"/>
      <protection locked="0"/>
    </xf>
    <xf numFmtId="4" fontId="29" fillId="0" borderId="0" xfId="0" applyNumberFormat="1" applyFont="1" applyAlignment="1" applyProtection="1">
      <alignment horizontal="right" wrapText="1"/>
      <protection locked="0"/>
    </xf>
    <xf numFmtId="43" fontId="42" fillId="0" borderId="0" xfId="0" applyNumberFormat="1" applyFont="1" applyProtection="1">
      <protection locked="0"/>
    </xf>
    <xf numFmtId="168" fontId="29" fillId="2" borderId="0" xfId="2" applyNumberFormat="1" applyFont="1" applyFill="1" applyAlignment="1">
      <alignment horizontal="right"/>
    </xf>
    <xf numFmtId="43" fontId="25" fillId="0" borderId="0" xfId="2" applyFont="1"/>
    <xf numFmtId="9" fontId="25" fillId="0" borderId="0" xfId="0" applyNumberFormat="1" applyFont="1"/>
    <xf numFmtId="0" fontId="39" fillId="3" borderId="0" xfId="0" applyFont="1" applyFill="1" applyAlignment="1">
      <alignment horizontal="center"/>
    </xf>
    <xf numFmtId="0" fontId="40" fillId="0" borderId="0" xfId="0" applyFont="1" applyAlignment="1">
      <alignment horizontal="center"/>
    </xf>
    <xf numFmtId="3" fontId="29" fillId="0" borderId="0" xfId="0" applyNumberFormat="1" applyFont="1" applyAlignment="1">
      <alignment horizontal="right" wrapText="1"/>
    </xf>
    <xf numFmtId="171" fontId="29" fillId="2" borderId="0" xfId="2" applyNumberFormat="1" applyFont="1" applyFill="1" applyBorder="1" applyProtection="1">
      <protection locked="0"/>
    </xf>
    <xf numFmtId="2" fontId="0" fillId="0" borderId="0" xfId="0" applyNumberFormat="1"/>
    <xf numFmtId="9" fontId="0" fillId="0" borderId="0" xfId="3" applyFont="1"/>
    <xf numFmtId="9" fontId="0" fillId="0" borderId="1" xfId="3" applyFont="1" applyBorder="1"/>
    <xf numFmtId="0" fontId="18" fillId="0" borderId="1" xfId="1" applyFont="1" applyBorder="1"/>
    <xf numFmtId="168" fontId="18" fillId="0" borderId="0" xfId="2" applyNumberFormat="1" applyFont="1" applyAlignment="1" applyProtection="1">
      <alignment horizontal="right"/>
    </xf>
    <xf numFmtId="39" fontId="18" fillId="0" borderId="10" xfId="1" applyNumberFormat="1" applyFont="1" applyBorder="1"/>
    <xf numFmtId="39" fontId="18" fillId="0" borderId="0" xfId="1" applyNumberFormat="1" applyFont="1"/>
    <xf numFmtId="168" fontId="18" fillId="0" borderId="1" xfId="2" applyNumberFormat="1" applyFont="1" applyBorder="1" applyAlignment="1" applyProtection="1">
      <alignment horizontal="right"/>
    </xf>
    <xf numFmtId="39" fontId="18" fillId="0" borderId="1" xfId="1" applyNumberFormat="1" applyFont="1" applyBorder="1"/>
    <xf numFmtId="0" fontId="44" fillId="0" borderId="0" xfId="1" applyFont="1"/>
    <xf numFmtId="0" fontId="44" fillId="0" borderId="0" xfId="1" applyFont="1" applyAlignment="1">
      <alignment horizontal="right"/>
    </xf>
    <xf numFmtId="0" fontId="18" fillId="0" borderId="10" xfId="1" applyFont="1" applyBorder="1"/>
    <xf numFmtId="39" fontId="44" fillId="0" borderId="0" xfId="1" applyNumberFormat="1" applyFont="1"/>
    <xf numFmtId="43" fontId="0" fillId="0" borderId="0" xfId="2" applyFont="1"/>
    <xf numFmtId="168" fontId="0" fillId="0" borderId="0" xfId="2" applyNumberFormat="1" applyFont="1"/>
    <xf numFmtId="168" fontId="0" fillId="0" borderId="1" xfId="2" applyNumberFormat="1" applyFont="1" applyBorder="1"/>
    <xf numFmtId="0" fontId="0" fillId="0" borderId="17" xfId="0" applyBorder="1" applyAlignment="1">
      <alignment horizontal="left" indent="1"/>
    </xf>
    <xf numFmtId="43" fontId="0" fillId="0" borderId="17" xfId="2" applyFont="1" applyBorder="1"/>
    <xf numFmtId="43" fontId="0" fillId="0" borderId="0" xfId="0" applyNumberFormat="1"/>
    <xf numFmtId="3" fontId="0" fillId="0" borderId="0" xfId="0" applyNumberFormat="1"/>
    <xf numFmtId="2" fontId="9" fillId="0" borderId="4" xfId="1" applyNumberFormat="1" applyFont="1" applyBorder="1" applyAlignment="1" applyProtection="1">
      <alignment horizontal="right"/>
      <protection locked="0"/>
    </xf>
    <xf numFmtId="0" fontId="26" fillId="0" borderId="0" xfId="0" applyFont="1" applyAlignment="1">
      <alignment wrapText="1"/>
    </xf>
    <xf numFmtId="39" fontId="19" fillId="2" borderId="0" xfId="4" applyNumberFormat="1" applyFont="1" applyFill="1"/>
    <xf numFmtId="39" fontId="19" fillId="2" borderId="1" xfId="4" applyNumberFormat="1" applyFont="1" applyFill="1" applyBorder="1"/>
    <xf numFmtId="44" fontId="19" fillId="2" borderId="1" xfId="4" applyFont="1" applyFill="1" applyBorder="1"/>
    <xf numFmtId="9" fontId="7" fillId="2" borderId="0" xfId="3" applyFont="1" applyFill="1" applyAlignment="1" applyProtection="1">
      <alignment horizontal="right"/>
      <protection locked="0"/>
    </xf>
    <xf numFmtId="9" fontId="8" fillId="0" borderId="0" xfId="3" applyFont="1" applyAlignment="1">
      <alignment horizontal="right"/>
    </xf>
    <xf numFmtId="166" fontId="0" fillId="2" borderId="0" xfId="0" applyNumberFormat="1" applyFill="1"/>
    <xf numFmtId="0" fontId="39" fillId="3" borderId="0" xfId="0" applyFont="1" applyFill="1"/>
    <xf numFmtId="0" fontId="14" fillId="0" borderId="1" xfId="0" applyFont="1" applyBorder="1"/>
    <xf numFmtId="166" fontId="0" fillId="0" borderId="0" xfId="0" applyNumberFormat="1"/>
    <xf numFmtId="9" fontId="6" fillId="5" borderId="0" xfId="3" applyFont="1" applyFill="1" applyAlignment="1" applyProtection="1">
      <alignment horizontal="right"/>
      <protection locked="0"/>
    </xf>
    <xf numFmtId="0" fontId="10" fillId="0" borderId="0" xfId="1" applyFont="1"/>
    <xf numFmtId="9" fontId="9" fillId="0" borderId="0" xfId="3" applyFont="1"/>
    <xf numFmtId="43" fontId="9" fillId="0" borderId="1" xfId="2" applyFont="1" applyBorder="1"/>
    <xf numFmtId="43" fontId="9" fillId="0" borderId="18" xfId="2" applyFont="1" applyBorder="1"/>
    <xf numFmtId="43" fontId="9" fillId="0" borderId="19" xfId="2" applyFont="1" applyBorder="1"/>
    <xf numFmtId="167" fontId="46" fillId="0" borderId="0" xfId="3" applyNumberFormat="1" applyFont="1" applyFill="1" applyAlignment="1" applyProtection="1">
      <alignment horizontal="right"/>
      <protection locked="0"/>
    </xf>
    <xf numFmtId="1" fontId="26" fillId="0" borderId="0" xfId="0" applyNumberFormat="1" applyFont="1" applyAlignment="1">
      <alignment wrapText="1"/>
    </xf>
    <xf numFmtId="43" fontId="25" fillId="2" borderId="0" xfId="2" applyFont="1" applyFill="1"/>
    <xf numFmtId="43" fontId="19" fillId="2" borderId="0" xfId="2" applyFont="1" applyFill="1"/>
    <xf numFmtId="43" fontId="25" fillId="2" borderId="1" xfId="2" applyFont="1" applyFill="1" applyBorder="1"/>
    <xf numFmtId="43" fontId="19" fillId="0" borderId="1" xfId="2" applyFont="1" applyBorder="1"/>
    <xf numFmtId="43" fontId="19" fillId="2" borderId="1" xfId="2" applyFont="1" applyFill="1" applyBorder="1"/>
    <xf numFmtId="0" fontId="26" fillId="0" borderId="10" xfId="0" applyFont="1" applyBorder="1" applyAlignment="1">
      <alignment horizontal="right"/>
    </xf>
    <xf numFmtId="0" fontId="26" fillId="0" borderId="1" xfId="0" applyFont="1" applyBorder="1" applyAlignment="1">
      <alignment horizontal="right"/>
    </xf>
    <xf numFmtId="10" fontId="6" fillId="5" borderId="0" xfId="3" applyNumberFormat="1" applyFont="1" applyFill="1" applyBorder="1" applyProtection="1">
      <protection locked="0"/>
    </xf>
    <xf numFmtId="2" fontId="7" fillId="2" borderId="0" xfId="1" applyNumberFormat="1" applyFont="1" applyFill="1" applyAlignment="1" applyProtection="1">
      <alignment horizontal="right"/>
      <protection locked="0"/>
    </xf>
    <xf numFmtId="0" fontId="4" fillId="0" borderId="1" xfId="0" applyFont="1" applyBorder="1"/>
    <xf numFmtId="0" fontId="43" fillId="0" borderId="1" xfId="1" applyFont="1" applyBorder="1" applyAlignment="1">
      <alignment horizontal="left"/>
    </xf>
    <xf numFmtId="2" fontId="18" fillId="0" borderId="0" xfId="0" applyNumberFormat="1" applyFont="1" applyAlignment="1">
      <alignment horizontal="left"/>
    </xf>
    <xf numFmtId="166" fontId="18" fillId="0" borderId="10" xfId="0" applyNumberFormat="1" applyFont="1" applyBorder="1" applyAlignment="1">
      <alignment horizontal="right"/>
    </xf>
    <xf numFmtId="2" fontId="18" fillId="0" borderId="0" xfId="0" applyNumberFormat="1" applyFont="1"/>
    <xf numFmtId="3" fontId="18" fillId="0" borderId="0" xfId="0" applyNumberFormat="1" applyFont="1" applyAlignment="1">
      <alignment horizontal="right"/>
    </xf>
    <xf numFmtId="2" fontId="18" fillId="0" borderId="0" xfId="0" applyNumberFormat="1" applyFont="1" applyAlignment="1">
      <alignment horizontal="right"/>
    </xf>
    <xf numFmtId="4" fontId="18" fillId="0" borderId="0" xfId="1" applyNumberFormat="1" applyFont="1"/>
    <xf numFmtId="2" fontId="18" fillId="0" borderId="0" xfId="1" applyNumberFormat="1" applyFont="1"/>
    <xf numFmtId="4" fontId="18" fillId="0" borderId="1" xfId="1" applyNumberFormat="1" applyFont="1" applyBorder="1"/>
    <xf numFmtId="2" fontId="18" fillId="0" borderId="1" xfId="0" applyNumberFormat="1" applyFont="1" applyBorder="1" applyAlignment="1">
      <alignment horizontal="right"/>
    </xf>
    <xf numFmtId="2" fontId="18" fillId="0" borderId="1" xfId="1" applyNumberFormat="1" applyFont="1" applyBorder="1"/>
    <xf numFmtId="2" fontId="44" fillId="0" borderId="0" xfId="0" applyNumberFormat="1" applyFont="1" applyAlignment="1">
      <alignment horizontal="left"/>
    </xf>
    <xf numFmtId="0" fontId="44" fillId="0" borderId="0" xfId="0" applyFont="1" applyAlignment="1">
      <alignment horizontal="right"/>
    </xf>
    <xf numFmtId="2" fontId="44" fillId="0" borderId="0" xfId="0" applyNumberFormat="1" applyFont="1" applyAlignment="1">
      <alignment horizontal="right"/>
    </xf>
    <xf numFmtId="0" fontId="44" fillId="0" borderId="1" xfId="1" applyFont="1" applyBorder="1"/>
    <xf numFmtId="0" fontId="44" fillId="0" borderId="1" xfId="1" applyFont="1" applyBorder="1" applyAlignment="1">
      <alignment horizontal="right"/>
    </xf>
    <xf numFmtId="0" fontId="44" fillId="0" borderId="1" xfId="1" applyFont="1" applyBorder="1" applyAlignment="1">
      <alignment horizontal="center"/>
    </xf>
    <xf numFmtId="0" fontId="8" fillId="0" borderId="0" xfId="1" applyFont="1"/>
    <xf numFmtId="165" fontId="9" fillId="0" borderId="20" xfId="4" applyNumberFormat="1" applyFont="1" applyBorder="1"/>
    <xf numFmtId="165" fontId="9" fillId="0" borderId="10" xfId="4" applyNumberFormat="1" applyFont="1" applyBorder="1"/>
    <xf numFmtId="165" fontId="9" fillId="9" borderId="10" xfId="4" applyNumberFormat="1" applyFont="1" applyFill="1" applyBorder="1"/>
    <xf numFmtId="165" fontId="9" fillId="0" borderId="21" xfId="4" applyNumberFormat="1" applyFont="1" applyBorder="1"/>
    <xf numFmtId="165" fontId="9" fillId="0" borderId="22" xfId="4" applyNumberFormat="1" applyFont="1" applyBorder="1"/>
    <xf numFmtId="165" fontId="9" fillId="0" borderId="0" xfId="4" applyNumberFormat="1" applyFont="1" applyBorder="1"/>
    <xf numFmtId="165" fontId="9" fillId="9" borderId="0" xfId="4" applyNumberFormat="1" applyFont="1" applyFill="1" applyBorder="1"/>
    <xf numFmtId="165" fontId="9" fillId="0" borderId="18" xfId="4" applyNumberFormat="1" applyFont="1" applyBorder="1"/>
    <xf numFmtId="165" fontId="9" fillId="9" borderId="22" xfId="4" applyNumberFormat="1" applyFont="1" applyFill="1" applyBorder="1"/>
    <xf numFmtId="165" fontId="9" fillId="9" borderId="18" xfId="4" applyNumberFormat="1" applyFont="1" applyFill="1" applyBorder="1"/>
    <xf numFmtId="165" fontId="9" fillId="0" borderId="23" xfId="4" applyNumberFormat="1" applyFont="1" applyBorder="1"/>
    <xf numFmtId="165" fontId="9" fillId="0" borderId="1" xfId="4" applyNumberFormat="1" applyFont="1" applyBorder="1"/>
    <xf numFmtId="165" fontId="9" fillId="9" borderId="1" xfId="4" applyNumberFormat="1" applyFont="1" applyFill="1" applyBorder="1"/>
    <xf numFmtId="165" fontId="9" fillId="0" borderId="24" xfId="4" applyNumberFormat="1" applyFont="1" applyBorder="1"/>
    <xf numFmtId="43" fontId="9" fillId="0" borderId="0" xfId="2" applyFont="1" applyBorder="1"/>
    <xf numFmtId="0" fontId="9" fillId="0" borderId="10" xfId="1" applyFont="1" applyBorder="1"/>
    <xf numFmtId="0" fontId="25" fillId="2" borderId="0" xfId="0" applyFont="1" applyFill="1" applyProtection="1">
      <protection locked="0"/>
    </xf>
    <xf numFmtId="4" fontId="25" fillId="2" borderId="0" xfId="0" applyNumberFormat="1" applyFont="1" applyFill="1" applyProtection="1">
      <protection locked="0"/>
    </xf>
    <xf numFmtId="0" fontId="25" fillId="2" borderId="1" xfId="0" applyFont="1" applyFill="1" applyBorder="1" applyProtection="1">
      <protection locked="0"/>
    </xf>
    <xf numFmtId="4" fontId="25" fillId="2" borderId="1" xfId="0" applyNumberFormat="1" applyFont="1" applyFill="1" applyBorder="1" applyProtection="1">
      <protection locked="0"/>
    </xf>
    <xf numFmtId="166" fontId="18" fillId="0" borderId="0" xfId="0" applyNumberFormat="1" applyFont="1" applyAlignment="1">
      <alignment horizontal="right"/>
    </xf>
    <xf numFmtId="10" fontId="18" fillId="0" borderId="0" xfId="1" applyNumberFormat="1" applyFont="1"/>
    <xf numFmtId="1" fontId="29" fillId="0" borderId="0" xfId="0" applyNumberFormat="1" applyFont="1" applyProtection="1">
      <protection locked="0"/>
    </xf>
    <xf numFmtId="166" fontId="29" fillId="0" borderId="0" xfId="0" applyNumberFormat="1" applyFont="1" applyAlignment="1" applyProtection="1">
      <alignment horizontal="right" wrapText="1"/>
      <protection locked="0"/>
    </xf>
    <xf numFmtId="43" fontId="29" fillId="0" borderId="0" xfId="2" applyFont="1" applyAlignment="1" applyProtection="1">
      <alignment horizontal="right" wrapText="1"/>
      <protection locked="0"/>
    </xf>
    <xf numFmtId="166" fontId="29" fillId="0" borderId="0" xfId="0" applyNumberFormat="1" applyFont="1" applyProtection="1">
      <protection locked="0"/>
    </xf>
    <xf numFmtId="168" fontId="29" fillId="2" borderId="0" xfId="2" applyNumberFormat="1" applyFont="1" applyFill="1" applyProtection="1"/>
    <xf numFmtId="0" fontId="1" fillId="0" borderId="0" xfId="0" applyFont="1"/>
    <xf numFmtId="3" fontId="1" fillId="5" borderId="0" xfId="0" applyNumberFormat="1" applyFont="1" applyFill="1" applyProtection="1">
      <protection locked="0"/>
    </xf>
    <xf numFmtId="166" fontId="1" fillId="5" borderId="0" xfId="0" applyNumberFormat="1" applyFont="1" applyFill="1" applyAlignment="1" applyProtection="1">
      <alignment horizontal="right"/>
      <protection locked="0"/>
    </xf>
    <xf numFmtId="1" fontId="1" fillId="0" borderId="0" xfId="0" applyNumberFormat="1" applyFont="1" applyAlignment="1" applyProtection="1">
      <alignment horizontal="right"/>
      <protection locked="0"/>
    </xf>
    <xf numFmtId="9" fontId="1" fillId="0" borderId="0" xfId="3" applyFont="1" applyFill="1" applyAlignment="1" applyProtection="1">
      <alignment horizontal="right"/>
      <protection locked="0"/>
    </xf>
    <xf numFmtId="2" fontId="7" fillId="0" borderId="0" xfId="1" applyNumberFormat="1" applyFont="1" applyAlignment="1" applyProtection="1">
      <alignment horizontal="right"/>
      <protection locked="0"/>
    </xf>
    <xf numFmtId="3" fontId="1" fillId="0" borderId="0" xfId="0" applyNumberFormat="1" applyFont="1" applyProtection="1">
      <protection locked="0"/>
    </xf>
    <xf numFmtId="166" fontId="1" fillId="0" borderId="0" xfId="0" applyNumberFormat="1" applyFont="1" applyAlignment="1" applyProtection="1">
      <alignment horizontal="right"/>
      <protection locked="0"/>
    </xf>
    <xf numFmtId="0" fontId="14" fillId="0" borderId="0" xfId="0" applyFont="1" applyAlignment="1">
      <alignment horizontal="center"/>
    </xf>
    <xf numFmtId="0" fontId="17" fillId="3" borderId="2" xfId="5" applyFont="1" applyFill="1" applyBorder="1" applyAlignment="1">
      <alignment horizontal="left"/>
    </xf>
    <xf numFmtId="0" fontId="17" fillId="3" borderId="11" xfId="5" applyFont="1" applyFill="1" applyBorder="1" applyAlignment="1">
      <alignment horizontal="left"/>
    </xf>
    <xf numFmtId="0" fontId="14" fillId="0" borderId="1" xfId="0" applyFont="1" applyBorder="1" applyAlignment="1">
      <alignment horizontal="center"/>
    </xf>
    <xf numFmtId="0" fontId="12" fillId="0" borderId="0" xfId="0" applyFont="1" applyAlignment="1">
      <alignment horizontal="center"/>
    </xf>
    <xf numFmtId="0" fontId="40" fillId="0" borderId="0" xfId="0" applyFont="1" applyAlignment="1">
      <alignment horizontal="center"/>
    </xf>
    <xf numFmtId="0" fontId="39" fillId="3" borderId="0" xfId="0" applyFont="1" applyFill="1" applyAlignment="1">
      <alignment horizontal="center"/>
    </xf>
    <xf numFmtId="0" fontId="26" fillId="0" borderId="10" xfId="0" applyFont="1" applyBorder="1" applyAlignment="1">
      <alignment horizontal="left"/>
    </xf>
    <xf numFmtId="0" fontId="26" fillId="0" borderId="1" xfId="0" applyFont="1" applyBorder="1" applyAlignment="1">
      <alignment horizontal="left"/>
    </xf>
    <xf numFmtId="0" fontId="26" fillId="0" borderId="10" xfId="0" applyFont="1" applyBorder="1" applyAlignment="1">
      <alignment horizontal="center"/>
    </xf>
    <xf numFmtId="0" fontId="26" fillId="0" borderId="1" xfId="0" applyFont="1" applyBorder="1" applyAlignment="1">
      <alignment horizontal="center"/>
    </xf>
    <xf numFmtId="0" fontId="26" fillId="0" borderId="10" xfId="0" applyFont="1" applyBorder="1" applyAlignment="1">
      <alignment horizontal="center" wrapText="1"/>
    </xf>
    <xf numFmtId="0" fontId="26" fillId="0" borderId="1" xfId="0" applyFont="1" applyBorder="1" applyAlignment="1">
      <alignment horizontal="center" wrapText="1"/>
    </xf>
    <xf numFmtId="0" fontId="26" fillId="0" borderId="0" xfId="0" applyFont="1" applyAlignment="1">
      <alignment horizontal="center"/>
    </xf>
    <xf numFmtId="0" fontId="26" fillId="0" borderId="0" xfId="0" applyFont="1" applyAlignment="1">
      <alignment horizontal="left"/>
    </xf>
    <xf numFmtId="0" fontId="26" fillId="0" borderId="0" xfId="0" applyFont="1" applyAlignment="1">
      <alignment horizontal="center" wrapText="1"/>
    </xf>
    <xf numFmtId="0" fontId="25" fillId="0" borderId="0" xfId="0" applyFont="1" applyAlignment="1">
      <alignment horizontal="left" wrapText="1"/>
    </xf>
    <xf numFmtId="0" fontId="17" fillId="3" borderId="2" xfId="5" applyFont="1" applyFill="1" applyBorder="1" applyAlignment="1">
      <alignment horizontal="center"/>
    </xf>
    <xf numFmtId="0" fontId="17" fillId="3" borderId="11" xfId="5" applyFont="1" applyFill="1" applyBorder="1" applyAlignment="1">
      <alignment horizontal="center"/>
    </xf>
    <xf numFmtId="0" fontId="17" fillId="3" borderId="12" xfId="5" applyFont="1" applyFill="1" applyBorder="1" applyAlignment="1">
      <alignment horizontal="center"/>
    </xf>
    <xf numFmtId="0" fontId="12" fillId="0" borderId="1" xfId="1" applyFont="1" applyBorder="1" applyAlignment="1">
      <alignment horizontal="center"/>
    </xf>
    <xf numFmtId="0" fontId="12" fillId="0" borderId="18" xfId="1" applyFont="1" applyBorder="1" applyAlignment="1">
      <alignment horizontal="center" vertical="center" textRotation="90"/>
    </xf>
    <xf numFmtId="0" fontId="48" fillId="3" borderId="2" xfId="5" applyFont="1" applyFill="1" applyBorder="1" applyAlignment="1">
      <alignment horizontal="center"/>
    </xf>
    <xf numFmtId="0" fontId="48" fillId="3" borderId="11" xfId="5" applyFont="1" applyFill="1" applyBorder="1" applyAlignment="1">
      <alignment horizontal="center"/>
    </xf>
    <xf numFmtId="0" fontId="48" fillId="3" borderId="12" xfId="5" applyFont="1" applyFill="1" applyBorder="1" applyAlignment="1">
      <alignment horizontal="center"/>
    </xf>
    <xf numFmtId="0" fontId="50" fillId="3" borderId="26" xfId="5" applyFont="1" applyFill="1" applyBorder="1" applyAlignment="1">
      <alignment horizontal="center"/>
    </xf>
    <xf numFmtId="0" fontId="50" fillId="3" borderId="27" xfId="5" applyFont="1" applyFill="1" applyBorder="1" applyAlignment="1">
      <alignment horizontal="center"/>
    </xf>
    <xf numFmtId="0" fontId="50" fillId="3" borderId="28" xfId="5" applyFont="1" applyFill="1" applyBorder="1" applyAlignment="1">
      <alignment horizontal="center"/>
    </xf>
    <xf numFmtId="0" fontId="1" fillId="0" borderId="0" xfId="0" applyFont="1" applyAlignment="1">
      <alignment horizontal="right"/>
    </xf>
    <xf numFmtId="0" fontId="0" fillId="0" borderId="0" xfId="0"/>
    <xf numFmtId="0" fontId="14" fillId="0" borderId="0" xfId="0" applyFont="1"/>
    <xf numFmtId="0" fontId="14"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51" fillId="10" borderId="29" xfId="6" applyFont="1" applyBorder="1" applyAlignment="1">
      <alignment horizontal="center" wrapText="1"/>
    </xf>
    <xf numFmtId="0" fontId="51" fillId="10" borderId="30" xfId="6" applyFont="1" applyBorder="1" applyAlignment="1">
      <alignment horizontal="center" wrapText="1"/>
    </xf>
    <xf numFmtId="0" fontId="51" fillId="10" borderId="31" xfId="6" applyFont="1" applyBorder="1" applyAlignment="1">
      <alignment horizontal="center" wrapText="1"/>
    </xf>
    <xf numFmtId="0" fontId="52" fillId="3" borderId="26" xfId="0" applyFont="1" applyFill="1" applyBorder="1"/>
    <xf numFmtId="0" fontId="52" fillId="3" borderId="27" xfId="0" applyFont="1" applyFill="1" applyBorder="1"/>
    <xf numFmtId="0" fontId="24" fillId="0" borderId="0" xfId="0" applyFont="1" applyAlignment="1"/>
  </cellXfs>
  <cellStyles count="7">
    <cellStyle name="Comma" xfId="2" builtinId="3"/>
    <cellStyle name="Currency" xfId="4" builtinId="4"/>
    <cellStyle name="Normal" xfId="0" builtinId="0"/>
    <cellStyle name="Normal 2" xfId="1" xr:uid="{00000000-0005-0000-0000-000001000000}"/>
    <cellStyle name="Normal 2 2" xfId="5" xr:uid="{F63A5185-3492-45C4-AD44-1405810C5A33}"/>
    <cellStyle name="Output" xfId="6" builtinId="21"/>
    <cellStyle name="Percent" xfId="3" builtinId="5"/>
  </cellStyles>
  <dxfs count="81">
    <dxf>
      <font>
        <color theme="2" tint="-0.499984740745262"/>
      </font>
    </dxf>
    <dxf>
      <font>
        <b val="0"/>
        <i/>
        <condense val="0"/>
        <extend val="0"/>
      </font>
    </dxf>
    <dxf>
      <font>
        <color theme="2" tint="-0.499984740745262"/>
      </font>
    </dxf>
    <dxf>
      <font>
        <b val="0"/>
        <i/>
        <condense val="0"/>
        <extend val="0"/>
      </font>
    </dxf>
    <dxf>
      <font>
        <strike val="0"/>
        <outline val="0"/>
        <shadow val="0"/>
        <u val="none"/>
        <vertAlign val="baseline"/>
        <sz val="10"/>
        <color auto="1"/>
        <name val="Segoe UI"/>
        <family val="2"/>
        <scheme val="none"/>
      </font>
      <fill>
        <patternFill patternType="none">
          <fgColor indexed="64"/>
          <bgColor auto="1"/>
        </patternFill>
      </fill>
    </dxf>
    <dxf>
      <font>
        <b val="0"/>
        <i val="0"/>
        <strike val="0"/>
        <condense val="0"/>
        <extend val="0"/>
        <outline val="0"/>
        <shadow val="0"/>
        <u val="none"/>
        <vertAlign val="baseline"/>
        <sz val="10"/>
        <color auto="1"/>
        <name val="Segoe UI"/>
        <family val="2"/>
        <scheme val="none"/>
      </font>
    </dxf>
    <dxf>
      <font>
        <strike val="0"/>
        <outline val="0"/>
        <shadow val="0"/>
        <u val="none"/>
        <vertAlign val="baseline"/>
        <sz val="10"/>
        <name val="Segoe UI"/>
        <family val="2"/>
        <scheme val="none"/>
      </font>
    </dxf>
    <dxf>
      <font>
        <b val="0"/>
        <i val="0"/>
        <strike val="0"/>
        <condense val="0"/>
        <extend val="0"/>
        <outline val="0"/>
        <shadow val="0"/>
        <u val="none"/>
        <vertAlign val="baseline"/>
        <sz val="10"/>
        <color rgb="FFF1B82D"/>
        <name val="Segoe U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4" formatCode="#,##0.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2" formatCode="&quot;$&quot;#,##0.00_);[Red]\(&quot;$&quot;#,##0.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0" formatCode="&quot;$&quot;#,##0_);[Red]\(&quot;$&quot;#,##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67" formatCode="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6" formatCode="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0"/>
        <color auto="1"/>
        <name val="Segoe UI"/>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Segoe UI"/>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indexed="12"/>
        <name val="Segoe UI"/>
        <family val="2"/>
        <scheme val="none"/>
      </font>
      <fill>
        <patternFill patternType="solid">
          <fgColor indexed="64"/>
          <bgColor rgb="FFFFFF66"/>
        </patternFill>
      </fill>
      <protection locked="0" hidden="0"/>
    </dxf>
    <dxf>
      <font>
        <b val="0"/>
        <i val="0"/>
        <strike val="0"/>
        <condense val="0"/>
        <extend val="0"/>
        <outline val="0"/>
        <shadow val="0"/>
        <u val="none"/>
        <vertAlign val="baseline"/>
        <sz val="10"/>
        <color rgb="FFF1B82D"/>
        <name val="Segoe UI"/>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Segoe UI"/>
        <family val="2"/>
        <scheme val="none"/>
      </font>
      <fill>
        <patternFill patternType="solid">
          <fgColor indexed="64"/>
          <bgColor theme="2"/>
        </patternFill>
      </fill>
      <border diagonalUp="0" diagonalDown="0" outline="0">
        <left/>
        <right/>
        <top style="thin">
          <color theme="4" tint="0.39997558519241921"/>
        </top>
        <bottom/>
      </border>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b val="0"/>
        <i val="0"/>
        <strike val="0"/>
        <condense val="0"/>
        <extend val="0"/>
        <outline val="0"/>
        <shadow val="0"/>
        <u val="none"/>
        <vertAlign val="baseline"/>
        <sz val="10"/>
        <color rgb="FFF1B82D"/>
        <name val="Segoe UI"/>
        <family val="2"/>
        <scheme val="none"/>
      </font>
      <alignment horizontal="left" vertical="bottom" textRotation="0" wrapText="1" indent="0" justifyLastLine="0" shrinkToFit="0" readingOrder="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69" formatCode="#,##0.00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10" formatCode="&quot;$&quot;#,##0_);[Red]\(&quot;$&quot;#,##0\)"/>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167" formatCode="0.0%"/>
      <fill>
        <patternFill patternType="none">
          <fgColor indexed="64"/>
          <bgColor indexed="65"/>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1"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1"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strike val="0"/>
        <outline val="0"/>
        <shadow val="0"/>
        <u val="none"/>
        <vertAlign val="baseline"/>
        <sz val="10"/>
        <name val="Segoe UI"/>
        <family val="2"/>
        <scheme val="none"/>
      </font>
      <numFmt numFmtId="0" formatCode="General"/>
    </dxf>
    <dxf>
      <font>
        <strike val="0"/>
        <outline val="0"/>
        <shadow val="0"/>
        <u val="none"/>
        <vertAlign val="baseline"/>
        <sz val="10"/>
        <name val="Segoe UI"/>
        <family val="2"/>
        <scheme val="none"/>
      </font>
    </dxf>
    <dxf>
      <font>
        <b val="0"/>
        <i val="0"/>
        <strike val="0"/>
        <condense val="0"/>
        <extend val="0"/>
        <outline val="0"/>
        <shadow val="0"/>
        <u val="none"/>
        <vertAlign val="baseline"/>
        <sz val="10"/>
        <color rgb="FFFFC000"/>
        <name val="Segoe UI"/>
        <family val="2"/>
        <scheme val="none"/>
      </font>
      <fill>
        <patternFill patternType="solid">
          <fgColor indexed="64"/>
          <bgColor theme="1"/>
        </patternFill>
      </fill>
      <alignment horizontal="general" vertical="bottom" textRotation="0" wrapText="1" indent="0" justifyLastLine="0" shrinkToFit="0" readingOrder="0"/>
    </dxf>
    <dxf>
      <font>
        <strike val="0"/>
        <outline val="0"/>
        <shadow val="0"/>
        <u val="none"/>
        <vertAlign val="baseline"/>
        <sz val="10"/>
        <name val="Segoe UI"/>
        <family val="2"/>
        <scheme val="none"/>
      </font>
      <fill>
        <patternFill patternType="solid">
          <fgColor indexed="64"/>
          <bgColor theme="2"/>
        </patternFill>
      </fill>
    </dxf>
    <dxf>
      <font>
        <strike val="0"/>
        <outline val="0"/>
        <shadow val="0"/>
        <u val="none"/>
        <vertAlign val="baseline"/>
        <sz val="10"/>
        <name val="Segoe UI"/>
        <family val="2"/>
        <scheme val="none"/>
      </font>
      <numFmt numFmtId="12" formatCode="&quot;$&quot;#,##0.00_);[Red]\(&quot;$&quot;#,##0.00\)"/>
      <fill>
        <patternFill patternType="solid">
          <fgColor indexed="64"/>
          <bgColor theme="2"/>
        </patternFill>
      </fill>
    </dxf>
    <dxf>
      <font>
        <strike val="0"/>
        <outline val="0"/>
        <shadow val="0"/>
        <u val="none"/>
        <vertAlign val="baseline"/>
        <sz val="10"/>
        <name val="Segoe UI"/>
        <family val="2"/>
        <scheme val="none"/>
      </font>
      <fill>
        <patternFill patternType="solid">
          <fgColor indexed="64"/>
          <bgColor theme="2"/>
        </patternFill>
      </fill>
    </dxf>
    <dxf>
      <font>
        <strike val="0"/>
        <outline val="0"/>
        <shadow val="0"/>
        <u val="none"/>
        <vertAlign val="baseline"/>
        <sz val="10"/>
        <name val="Segoe UI"/>
        <family val="2"/>
        <scheme val="none"/>
      </font>
      <fill>
        <patternFill patternType="solid">
          <fgColor indexed="64"/>
          <bgColor theme="2"/>
        </patternFill>
      </fill>
    </dxf>
    <dxf>
      <font>
        <b/>
        <i val="0"/>
        <strike val="0"/>
        <condense val="0"/>
        <extend val="0"/>
        <outline val="0"/>
        <shadow val="0"/>
        <u val="none"/>
        <vertAlign val="baseline"/>
        <sz val="10"/>
        <color rgb="FFF1B82D"/>
        <name val="Segoe UI"/>
        <family val="2"/>
        <scheme val="none"/>
      </font>
      <fill>
        <patternFill patternType="none">
          <fgColor indexed="64"/>
          <bgColor auto="1"/>
        </patternFill>
      </fill>
      <alignment horizontal="general" vertical="bottom" textRotation="0" wrapText="0" indent="0" justifyLastLine="0" shrinkToFit="0" readingOrder="0"/>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mailmissouri.sharepoint.com/sites/MUEXTPlantSciences-Ogrp-ABPInternalMaterials/Shared%20Documents/ABP%20Internal%20Materials/Clare%20Staley%202025/High%20Tunnel%20Budgets%20Updated/Excel%20files%20ready%20for%20Final%20Checks/ht-tomato-budget.xlsx" TargetMode="External"/><Relationship Id="rId2" Type="http://schemas.microsoft.com/office/2019/04/relationships/externalLinkLongPath" Target="/sites/MUEXTPlantSciences-Ogrp-ABPInternalMaterials/Shared%20Documents/ABP%20Internal%20Materials/Clare%20Staley%202025/High%20Tunnel%20Budgets%20Updated/Excel%20files%20ready%20for%20Final%20Checks/ht-tomato-budget.xlsx?FCBA202B" TargetMode="External"/><Relationship Id="rId1" Type="http://schemas.openxmlformats.org/officeDocument/2006/relationships/externalLinkPath" Target="file:///\\FCBA202B\ht-tomato-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tion"/>
      <sheetName val="Budget"/>
      <sheetName val="Financial Sensitivity"/>
    </sheetNames>
    <sheetDataSet>
      <sheetData sheetId="0" refreshError="1"/>
      <sheetData sheetId="1" refreshError="1"/>
      <sheetData sheetId="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University of Missouri - Extension and Food &amp; Agricultural Policy Research Institute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4CBA25-9CF6-4C46-8087-CC0B337E3EEB}" name="Table4" displayName="Table4" ref="J3:L48" totalsRowShown="0" headerRowDxfId="80" dataDxfId="79">
  <autoFilter ref="J3:L48" xr:uid="{AF4CBA25-9CF6-4C46-8087-CC0B337E3EEB}"/>
  <tableColumns count="3">
    <tableColumn id="1" xr3:uid="{3211DC34-26AE-4998-905A-5657B2466F32}" name="Activity" dataDxfId="78"/>
    <tableColumn id="2" xr3:uid="{574E9492-607A-4CF4-A81E-2A8A2635819F}" name="Avg. cost/unit" dataDxfId="77"/>
    <tableColumn id="3" xr3:uid="{514FAB6B-F788-48CD-A3F5-B9D1C16A4C66}" name="Unit" dataDxfId="7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92B3C8-8C90-4758-8357-8F05BD7D5192}" name="Implements7" displayName="Implements7" ref="B5:AF121" totalsRowShown="0" headerRowDxfId="75" dataDxfId="74">
  <autoFilter ref="B5:AF121" xr:uid="{2D92B3C8-8C90-4758-8357-8F05BD7D5192}"/>
  <sortState xmlns:xlrd2="http://schemas.microsoft.com/office/spreadsheetml/2017/richdata2" ref="B6:AF106">
    <sortCondition ref="AF6:AF106"/>
    <sortCondition ref="B6:B106"/>
  </sortState>
  <tableColumns count="31">
    <tableColumn id="2" xr3:uid="{A0F41214-D3D0-4762-9932-BF9781CCBBC3}" name="Selection" dataDxfId="73">
      <calculatedColumnFormula>Implements7[[#This Row],[Implement type]]&amp;", "&amp;Implements7[[#This Row],[Width]]&amp;" "&amp;Implements7[[#This Row],[Width Unit]]</calculatedColumnFormula>
    </tableColumn>
    <tableColumn id="3" xr3:uid="{B2384CA9-2520-44F3-962D-AF74AFD39500}" name="Implement type" dataDxfId="72"/>
    <tableColumn id="4" xr3:uid="{8CD3119B-657C-4CD1-8095-FE29C5226619}" name="Width" dataDxfId="71"/>
    <tableColumn id="5" xr3:uid="{CAE6E5DF-42D9-41B1-875A-A99768E4C89D}" name="Width Unit" dataDxfId="70"/>
    <tableColumn id="6" xr3:uid="{DD407D72-D3FB-4191-9318-A24D408E3146}" name="Size" dataDxfId="69"/>
    <tableColumn id="7" xr3:uid="{E0A16194-8ED6-4DE7-AA5F-C15DBB1BC7B6}" name="Size unit" dataDxfId="68"/>
    <tableColumn id="9" xr3:uid="{CDDD0D8B-AAC6-4398-A2D1-BF4040373100}" name="PriceP" dataDxfId="67" dataCellStyle="Comma"/>
    <tableColumn id="10" xr3:uid="{7E52408D-6C34-4B17-AD54-B797BAE1E67E}" name="Discount" dataDxfId="66" dataCellStyle="Percent"/>
    <tableColumn id="11" xr3:uid="{FF7ECCFB-7E71-4232-A1F1-C3D830B4EDAC}" name="PriceL" dataDxfId="65">
      <calculatedColumnFormula>H6/(1-I6)</calculatedColumnFormula>
    </tableColumn>
    <tableColumn id="12" xr3:uid="{BE4E95DC-9226-46E8-B255-14AB7FCFC10F}" name="Life (yr)" dataDxfId="64"/>
    <tableColumn id="13" xr3:uid="{7796B94E-D8C9-4EBD-AA3F-9D0026E7DA9D}" name="Use (hr/yr)" dataDxfId="63"/>
    <tableColumn id="14" xr3:uid="{4C31720E-D095-48F7-8926-382BEC675769}" name="Use (ac/yr)" dataDxfId="62" dataCellStyle="Comma">
      <calculatedColumnFormula>IF(AND(P6&lt;&gt;0,Q6&lt;&gt;0),L6*(D6*P6*Q6)/8.25,L6*D6)</calculatedColumnFormula>
    </tableColumn>
    <tableColumn id="35" xr3:uid="{B4334CB3-852B-4BCD-B90C-CB8365AB7590}" name="Use basis" dataDxfId="61" dataCellStyle="Comma"/>
    <tableColumn id="15" xr3:uid="{064958DF-8042-49AE-9487-569E2FC2EDC5}" name="ASABEtype" dataDxfId="60"/>
    <tableColumn id="16" xr3:uid="{BBFEF187-38A1-44D4-9DDC-D42B04F94399}" name="Speed" dataDxfId="59"/>
    <tableColumn id="17" xr3:uid="{6561ED4A-FE88-4501-881F-B6700DE66694}" name="Efficiency" dataDxfId="58" dataCellStyle="Percent"/>
    <tableColumn id="19" xr3:uid="{356011B7-9F25-47D9-8B7E-9AF71857EF72}" name="LaborUse" dataDxfId="57" dataCellStyle="Percent"/>
    <tableColumn id="22" xr3:uid="{67AB7FEA-B56B-4521-A8D9-9280DA875BA7}" name="Shed (ft^2)" dataDxfId="56"/>
    <tableColumn id="23" xr3:uid="{84423A6B-CFB5-413C-AC0B-A8689708456A}" name="TradeIn%" dataDxfId="55" dataCellStyle="Comma">
      <calculatedColumnFormula>(VLOOKUP(Implements7[[#This Row],[ASABEtype]],#REF!,5)-VLOOKUP(Implements7[[#This Row],[ASABEtype]],#REF!,6)*Implements7[[#This Row],[Life (yr)]]^0.5-VLOOKUP(Implements7[[#This Row],[ASABEtype]],#REF!,7)*Implements7[[#This Row],[Use (hr/yr)]]^0.5+VLOOKUP(Implements7[[#This Row],[ASABEtype]],#REF!,8)*$BP$17)^2+0.25*VLOOKUP(Implements7[[#This Row],[ASABEtype]],#REF!,9)</calculatedColumnFormula>
    </tableColumn>
    <tableColumn id="24" xr3:uid="{23EC48B8-44C7-4D7E-9AEF-92FAE9775C42}" name="TradeIn$" dataDxfId="54" dataCellStyle="Comma">
      <calculatedColumnFormula>Implements7[[#This Row],[TradeIn%]]*Implements7[[#This Row],[PriceL]]</calculatedColumnFormula>
    </tableColumn>
    <tableColumn id="31" xr3:uid="{B1B346DD-C0AB-4742-AFD2-CFFD2961C139}" name="Depr ($/hr)" dataDxfId="53" dataCellStyle="Comma">
      <calculatedColumnFormula>(Implements7[[#This Row],[PriceP]]-Implements7[[#This Row],[TradeIn$]])/Implements7[[#This Row],[Life (yr)]]/Implements7[[#This Row],[Use (hr/yr)]]</calculatedColumnFormula>
    </tableColumn>
    <tableColumn id="32" xr3:uid="{C76119F1-CA25-4997-96D3-B6330F2B8FE4}" name="OH ($/hr)" dataDxfId="52" dataCellStyle="Comma">
      <calculatedColumnFormula>((Implements7[[#This Row],[PriceP]]+Implements7[[#This Row],[TradeIn$]])/2*($BP$7+$BP$8+$BP$9)+Implements7[[#This Row],[Shed (ft^2)]]*$BP$12)/Implements7[[#This Row],[Use (hr/yr)]]</calculatedColumnFormula>
    </tableColumn>
    <tableColumn id="33" xr3:uid="{3720DC8F-E0BE-49E3-B8DC-78604147CA62}" name="Rep ($/hr)" dataDxfId="51" dataCellStyle="Comma">
      <calculatedColumnFormula>Implements7[[#This Row],[PriceL]]*(VLOOKUP(Implements7[[#This Row],[ASABEtype]],$BC$6:$BM$52,2)*(Implements7[[#This Row],[Life (yr)]]*Implements7[[#This Row],[Use (hr/yr)]]/1000)^VLOOKUP(Implements7[[#This Row],[ASABEtype]],$BC$6:$BM$52,3))/Implements7[[#This Row],[Life (yr)]]/Implements7[[#This Row],[Use (hr/yr)]]</calculatedColumnFormula>
    </tableColumn>
    <tableColumn id="34" xr3:uid="{36DFBFCB-C75B-46D0-92D7-ECC27F1044A9}" name="Ownership costs ($/hr)" dataDxfId="50" dataCellStyle="Comma">
      <calculatedColumnFormula>Implements7[[#This Row],[Depr ($/hr)]]+Implements7[[#This Row],[OH ($/hr)]]</calculatedColumnFormula>
    </tableColumn>
    <tableColumn id="25" xr3:uid="{5E75C463-933D-4AA0-A9A0-41CA697465E9}" name="Depr ($/ac)2" dataDxfId="49" dataCellStyle="Comma">
      <calculatedColumnFormula>(Implements7[[#This Row],[PriceP]]-Implements7[[#This Row],[TradeIn$]])/Implements7[[#This Row],[Life (yr)]]/Implements7[[#This Row],[Use (ac/yr)]]</calculatedColumnFormula>
    </tableColumn>
    <tableColumn id="26" xr3:uid="{3F7F695D-4561-4706-9914-46E79CA57D9F}" name="OH ($/ac)" dataDxfId="48" dataCellStyle="Comma">
      <calculatedColumnFormula>((Implements7[[#This Row],[PriceP]]+Implements7[[#This Row],[TradeIn$]])/2*($BP$7+$BP$8+$BP$9)+Implements7[[#This Row],[Shed (ft^2)]]*$BP$12)/Implements7[[#This Row],[Use (ac/yr)]]</calculatedColumnFormula>
    </tableColumn>
    <tableColumn id="27" xr3:uid="{5FD46977-A570-4E65-8C98-5A71AFC5C63E}" name="Rep ($/ac)4" dataDxfId="47" dataCellStyle="Currency">
      <calculatedColumnFormula>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calculatedColumnFormula>
    </tableColumn>
    <tableColumn id="8" xr3:uid="{3E25DCD1-C00A-44C2-8352-9EA2A76FDF59}" name="hr/ac" dataDxfId="46">
      <calculatedColumnFormula>$BP$18/(Implements7[[#This Row],[Width]]*Implements7[[#This Row],[Speed]]*Implements7[[#This Row],[Efficiency]])</calculatedColumnFormula>
    </tableColumn>
    <tableColumn id="1" xr3:uid="{F2E8EA4E-8A34-44C7-8A72-A8C48C43E1F9}" name="Ownership costs($/ac)" dataDxfId="45">
      <calculatedColumnFormula>IF(Implements7[[#This Row],[Use basis]]=$N$128,Implements7[[#This Row],[Ownership costs ($/hr)]],SUM(Implements7[[#This Row],[Depr ($/ac)2]:[OH ($/ac)]]))</calculatedColumnFormula>
    </tableColumn>
    <tableColumn id="18" xr3:uid="{9D752E62-1D95-400B-AA49-397BA1DB039C}" name="Order in Lazarus" dataDxfId="44"/>
    <tableColumn id="21" xr3:uid="{18401324-0C89-4C1F-96D5-DB2AF080301D}" name="Operation type" dataDxfId="4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4BCD974-4F4D-4963-AE1E-4B22440619F5}" name="ASABECoefficients8" displayName="ASABECoefficients8" ref="BC5:BM52" totalsRowShown="0" headerRowDxfId="42" dataDxfId="41">
  <autoFilter ref="BC5:BM52" xr:uid="{24BCD974-4F4D-4963-AE1E-4B22440619F5}"/>
  <sortState xmlns:xlrd2="http://schemas.microsoft.com/office/spreadsheetml/2017/richdata2" ref="BC6:BM52">
    <sortCondition ref="BC6:BC53"/>
  </sortState>
  <tableColumns count="11">
    <tableColumn id="5" xr3:uid="{A37CD62D-A123-4D0C-B865-CB9F078FF9AF}" name="ASABE Category" dataDxfId="40"/>
    <tableColumn id="6" xr3:uid="{44D776FF-3CA9-4810-AE81-549FB46F68E7}" name="RF1" dataDxfId="39"/>
    <tableColumn id="7" xr3:uid="{5577D2E7-3E59-422E-8ECF-51209B98401A}" name="RF2" dataDxfId="38"/>
    <tableColumn id="8" xr3:uid="{8DE71B6B-32CE-40DD-8C72-E898E4E6F1E0}" name="Life (hr)" dataDxfId="37"/>
    <tableColumn id="9" xr3:uid="{D2854295-8DE1-46BC-8545-C80A3B0F3BFB}" name="RV1" dataDxfId="36"/>
    <tableColumn id="10" xr3:uid="{997A638B-2B6C-4534-B695-02628EDCE3BB}" name="RV2" dataDxfId="35"/>
    <tableColumn id="11" xr3:uid="{60BA3A6E-D9E4-4F48-931C-09C0BB087E83}" name="RV3" dataDxfId="34"/>
    <tableColumn id="12" xr3:uid="{D0B61CBA-C765-4AA3-AEF7-8E50A84DB745}" name="RV4" dataDxfId="33"/>
    <tableColumn id="14" xr3:uid="{C024B195-218A-4D96-85C1-E3B7B6CC2E84}" name="δ2" dataDxfId="32"/>
    <tableColumn id="1" xr3:uid="{F7A5399F-CB7A-424D-BBF1-DA18FA0C29D4}" name="δ" dataDxfId="31"/>
    <tableColumn id="2" xr3:uid="{28C2C18F-5FD1-4E76-BF3F-08634A8AE868}" name="Note" dataDxfId="3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673FF4-37E5-4758-A9DC-B0428524AA92}" name="Power20259" displayName="Power20259" ref="AH5:BA32" totalsRowShown="0" headerRowDxfId="29" dataDxfId="28">
  <autoFilter ref="AH5:BA32" xr:uid="{9E673FF4-37E5-4758-A9DC-B0428524AA92}"/>
  <tableColumns count="20">
    <tableColumn id="1" xr3:uid="{56B56D7C-8A63-4AC5-B589-85D15578A1F5}" name="HP &amp; descriptive information" dataDxfId="27">
      <calculatedColumnFormula>CONCATENATE(AI6&amp;" "&amp;AJ6)</calculatedColumnFormula>
    </tableColumn>
    <tableColumn id="2" xr3:uid="{D66A2935-02F8-4283-9BB6-9A7D66B8A389}" name="HP" dataDxfId="26"/>
    <tableColumn id="3" xr3:uid="{6226AF23-7ABA-4737-8CD1-AD3C8AE4ED31}" name="Information" dataDxfId="25"/>
    <tableColumn id="4" xr3:uid="{85CBCA0F-B405-466F-8A35-10DEA3A6DC4F}" name="PriceP" dataDxfId="24" dataCellStyle="Comma"/>
    <tableColumn id="5" xr3:uid="{673B7C83-727F-45E1-B80B-97B03627A6D5}" name="Discount" dataDxfId="23" dataCellStyle="Percent"/>
    <tableColumn id="6" xr3:uid="{4AF18178-01A5-438B-B6F0-1A0188A1262D}" name="PriceL" dataDxfId="22">
      <calculatedColumnFormula>AK6/(1-AL6)</calculatedColumnFormula>
    </tableColumn>
    <tableColumn id="19" xr3:uid="{3DE9E0F4-1CB1-43FF-A192-35F0E3A83873}" name="Lifespan (hours)" dataDxfId="21"/>
    <tableColumn id="20" xr3:uid="{545AFB50-EE71-4B20-A2DF-40AE087109FB}" name="Life used (%)" dataDxfId="20" dataCellStyle="Percent"/>
    <tableColumn id="7" xr3:uid="{D93FD04C-8755-4D40-B6C4-F8D2E0DD37A2}" name="Life (yr)" dataDxfId="19">
      <calculatedColumnFormula>Power20259[[#This Row],[Lifespan (hours)]]/Power20259[[#This Row],[Use (hr/yr)]]</calculatedColumnFormula>
    </tableColumn>
    <tableColumn id="8" xr3:uid="{152C7366-4128-46AC-9B25-CC03B46FA908}" name="Use (hr/yr)" dataDxfId="18"/>
    <tableColumn id="9" xr3:uid="{8070B3FF-B716-4FCB-A9F7-6C85ED0B8DD3}" name="Fuel (gal/hph)" dataDxfId="17"/>
    <tableColumn id="10" xr3:uid="{DED3292A-E0B3-4673-86D6-9D1CAA0B004E}" name="ASABEtype" dataDxfId="16"/>
    <tableColumn id="11" xr3:uid="{57D77976-6C11-4CDA-AB63-2314DD7DC70C}" name="Shed (ft^2)" dataDxfId="15"/>
    <tableColumn id="13" xr3:uid="{8BF38BFC-3795-4F3E-ABDF-5FC5408F74B5}" name="TradeIn%" dataDxfId="14"/>
    <tableColumn id="14" xr3:uid="{E5DCAAD0-63D3-49EB-BD7D-2339380ED789}" name="TradeIn$" dataDxfId="13">
      <calculatedColumnFormula>Power20259[[#This Row],[TradeIn%]]*Power20259[[#This Row],[PriceL]]</calculatedColumnFormula>
    </tableColumn>
    <tableColumn id="15" xr3:uid="{9054AA32-ACB6-4AF1-A774-08818D70B877}" name="Depr ($/hr)" dataDxfId="12">
      <calculatedColumnFormula>(Power20259[[#This Row],[PriceP]]-Power20259[[#This Row],[TradeIn$]])/Power20259[[#This Row],[Life (yr)]]/Power20259[[#This Row],[Use (hr/yr)]]</calculatedColumnFormula>
    </tableColumn>
    <tableColumn id="16" xr3:uid="{A3EC52D8-B584-48F2-97A1-7A91A267F4C1}" name="OH ($/hr)" dataDxfId="11">
      <calculatedColumnFormula>((Power20259[[#This Row],[PriceP]]+Power20259[[#This Row],[TradeIn$]])*($BH$8+$BH$9+$BH$10)+Power20259[[#This Row],[Shed (ft^2)]]*$BH$13)/Power20259[[#This Row],[Use (hr/yr)]]</calculatedColumnFormula>
    </tableColumn>
    <tableColumn id="17" xr3:uid="{48002800-0B65-4CC4-8E3F-FFF72AC156E9}" name="Rep ($/hr)" dataDxfId="10"/>
    <tableColumn id="18" xr3:uid="{2234AA9B-9436-4BBA-9391-7EC77B105B17}" name="Fuel (gal/hr)" dataDxfId="9">
      <calculatedColumnFormula>Power20259[[#This Row],[Fuel (gal/hph)]]*Power20259[[#This Row],[HP]]</calculatedColumnFormula>
    </tableColumn>
    <tableColumn id="12" xr3:uid="{31070333-6621-43E5-B127-F57A45A242D4}" name="Ownership costs ($/hr)" dataDxfId="8">
      <calculatedColumnFormula>SUM(AW6:AX6)</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7A7A9A-A0A2-40DC-BA12-F4B4E73FCB0C}" name="Prices10" displayName="Prices10" ref="BO5:BP18" totalsRowShown="0" headerRowDxfId="7" dataDxfId="6">
  <autoFilter ref="BO5:BP18" xr:uid="{7D7A7A9A-A0A2-40DC-BA12-F4B4E73FCB0C}"/>
  <tableColumns count="2">
    <tableColumn id="1" xr3:uid="{43883ACA-9B41-453A-BAAA-283F893F5A0D}" name="Item" dataDxfId="5"/>
    <tableColumn id="2" xr3:uid="{E2C7631D-B99D-4CF2-A077-23AE89776133}" name="Value" data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vmlDrawing" Target="../drawings/vmlDrawing3.vml"/><Relationship Id="rId6" Type="http://schemas.openxmlformats.org/officeDocument/2006/relationships/comments" Target="../comments2.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8AC68-DE06-4F47-B451-0F09FA291039}">
  <sheetPr>
    <pageSetUpPr fitToPage="1"/>
  </sheetPr>
  <dimension ref="A1:M25"/>
  <sheetViews>
    <sheetView showGridLines="0" workbookViewId="0">
      <selection activeCell="D5" sqref="D5"/>
    </sheetView>
  </sheetViews>
  <sheetFormatPr defaultColWidth="0" defaultRowHeight="16.5" customHeight="1" zeroHeight="1"/>
  <cols>
    <col min="1" max="1" width="2.83203125" style="149" customWidth="1"/>
    <col min="2" max="2" width="35.75" style="149" customWidth="1"/>
    <col min="3" max="3" width="16.1640625" style="149" customWidth="1"/>
    <col min="4" max="4" width="36.33203125" style="149" customWidth="1"/>
    <col min="5" max="5" width="3" style="149" customWidth="1"/>
    <col min="6" max="8" width="9" style="149" hidden="1" customWidth="1"/>
    <col min="9" max="13" width="0" style="149" hidden="1" customWidth="1"/>
    <col min="14" max="16384" width="9" style="149" hidden="1"/>
  </cols>
  <sheetData>
    <row r="1" spans="2:4" ht="17" thickBot="1">
      <c r="B1"/>
      <c r="C1"/>
      <c r="D1"/>
    </row>
    <row r="2" spans="2:4" ht="19.5" customHeight="1" thickBot="1">
      <c r="B2" s="344" t="s">
        <v>884</v>
      </c>
      <c r="C2" s="345"/>
      <c r="D2" s="346"/>
    </row>
    <row r="3" spans="2:4" ht="16.5" customHeight="1">
      <c r="B3" s="347" t="s">
        <v>886</v>
      </c>
      <c r="C3" s="347"/>
      <c r="D3" s="347"/>
    </row>
    <row r="4" spans="2:4">
      <c r="B4" s="348"/>
      <c r="C4" s="348"/>
      <c r="D4" s="348"/>
    </row>
    <row r="5" spans="2:4" ht="77" customHeight="1">
      <c r="B5" s="349" t="s">
        <v>882</v>
      </c>
      <c r="C5" s="311"/>
      <c r="D5" s="359" t="e" vm="1">
        <v>#VALUE!</v>
      </c>
    </row>
    <row r="6" spans="2:4" ht="16.5" customHeight="1">
      <c r="B6" s="350"/>
      <c r="C6" s="350"/>
      <c r="D6" s="359"/>
    </row>
    <row r="7" spans="2:4" ht="57" customHeight="1">
      <c r="B7" s="351" t="s">
        <v>885</v>
      </c>
      <c r="C7" s="351"/>
      <c r="D7" s="351"/>
    </row>
    <row r="8" spans="2:4" ht="17.5">
      <c r="B8" s="352"/>
      <c r="C8" s="352"/>
      <c r="D8" s="352"/>
    </row>
    <row r="9" spans="2:4" ht="17.5" customHeight="1">
      <c r="B9" s="353"/>
      <c r="C9" s="353"/>
      <c r="D9" s="353"/>
    </row>
    <row r="10" spans="2:4" ht="16.5" customHeight="1">
      <c r="B10" s="311"/>
      <c r="C10" s="311"/>
      <c r="D10" s="311"/>
    </row>
    <row r="11" spans="2:4" ht="16.5" customHeight="1">
      <c r="B11" s="354" t="s">
        <v>883</v>
      </c>
      <c r="C11" s="355"/>
      <c r="D11" s="356"/>
    </row>
    <row r="12" spans="2:4" ht="17" thickBot="1">
      <c r="B12"/>
      <c r="C12"/>
      <c r="D12"/>
    </row>
    <row r="13" spans="2:4" ht="21.5" thickBot="1">
      <c r="B13" s="357"/>
      <c r="C13" s="358"/>
      <c r="D13" s="358"/>
    </row>
    <row r="14" spans="2:4"/>
    <row r="15" spans="2:4" hidden="1"/>
    <row r="16" spans="2:4" hidden="1"/>
    <row r="17" hidden="1"/>
    <row r="18" hidden="1"/>
    <row r="19" hidden="1"/>
    <row r="20" hidden="1"/>
    <row r="21" hidden="1"/>
    <row r="22" hidden="1"/>
    <row r="23" hidden="1"/>
    <row r="24" hidden="1"/>
    <row r="25" hidden="1"/>
  </sheetData>
  <sheetProtection sheet="1" objects="1" scenarios="1"/>
  <mergeCells count="7">
    <mergeCell ref="B11:D11"/>
    <mergeCell ref="B13:D13"/>
    <mergeCell ref="B2:D2"/>
    <mergeCell ref="B3:D3"/>
    <mergeCell ref="B4:D4"/>
    <mergeCell ref="B7:D7"/>
    <mergeCell ref="B9:D9"/>
  </mergeCells>
  <pageMargins left="0.7" right="0.7"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F90A-CA5C-4E4C-8057-006F6ED826FE}">
  <sheetPr codeName="Sheet2"/>
  <dimension ref="A1:M29"/>
  <sheetViews>
    <sheetView workbookViewId="0">
      <selection activeCell="D25" sqref="D25"/>
    </sheetView>
  </sheetViews>
  <sheetFormatPr defaultColWidth="0" defaultRowHeight="17.5" zeroHeight="1"/>
  <cols>
    <col min="1" max="1" width="2.6640625" style="45" customWidth="1"/>
    <col min="2" max="2" width="30.6640625" style="45" customWidth="1"/>
    <col min="3" max="3" width="28.6640625" style="45" bestFit="1" customWidth="1"/>
    <col min="4" max="4" width="15.33203125" style="45" bestFit="1" customWidth="1"/>
    <col min="5" max="5" width="16" style="45" bestFit="1" customWidth="1"/>
    <col min="6" max="6" width="16" style="45" customWidth="1"/>
    <col min="7" max="7" width="11.83203125" style="45" bestFit="1" customWidth="1"/>
    <col min="8" max="8" width="13.1640625" style="45" bestFit="1" customWidth="1"/>
    <col min="9" max="10" width="13.1640625" style="45" customWidth="1"/>
    <col min="11" max="11" width="13.83203125" style="45" bestFit="1" customWidth="1"/>
    <col min="12" max="12" width="12.33203125" style="45" hidden="1" customWidth="1"/>
    <col min="13" max="13" width="2.83203125" style="45" hidden="1" customWidth="1"/>
    <col min="14" max="16384" width="9" style="45" hidden="1"/>
  </cols>
  <sheetData>
    <row r="1" spans="2:12" ht="21">
      <c r="B1" s="320" t="s">
        <v>387</v>
      </c>
      <c r="C1" s="321"/>
      <c r="D1" s="321"/>
      <c r="E1" s="44"/>
      <c r="F1" s="44"/>
      <c r="G1" s="44"/>
      <c r="H1" s="44"/>
      <c r="I1" s="44"/>
      <c r="J1" s="44"/>
      <c r="K1"/>
      <c r="L1"/>
    </row>
    <row r="2" spans="2:12">
      <c r="D2" s="46"/>
      <c r="E2" s="319" t="s">
        <v>0</v>
      </c>
      <c r="F2" s="319"/>
      <c r="G2" s="319" t="s">
        <v>1</v>
      </c>
      <c r="H2" s="319"/>
      <c r="I2" s="319" t="s">
        <v>3</v>
      </c>
      <c r="J2" s="319" t="s">
        <v>792</v>
      </c>
    </row>
    <row r="3" spans="2:12">
      <c r="B3" s="48" t="s">
        <v>388</v>
      </c>
      <c r="C3" s="48" t="s">
        <v>4</v>
      </c>
      <c r="D3" s="49" t="s">
        <v>5</v>
      </c>
      <c r="E3" s="50" t="s">
        <v>6</v>
      </c>
      <c r="F3" s="50" t="s">
        <v>791</v>
      </c>
      <c r="G3" s="49" t="s">
        <v>7</v>
      </c>
      <c r="H3" s="50" t="s">
        <v>8</v>
      </c>
      <c r="I3" s="322"/>
      <c r="J3" s="322"/>
    </row>
    <row r="4" spans="2:12">
      <c r="B4" s="179"/>
      <c r="C4" s="179"/>
      <c r="D4" s="52"/>
      <c r="E4" s="53"/>
      <c r="F4" s="53"/>
      <c r="G4" s="52"/>
      <c r="H4" s="47"/>
      <c r="I4" s="47"/>
      <c r="J4" s="47"/>
    </row>
    <row r="5" spans="2:12">
      <c r="B5" s="62" t="s">
        <v>17</v>
      </c>
      <c r="C5" s="57"/>
      <c r="D5" s="60"/>
      <c r="E5" s="60"/>
      <c r="F5" s="60"/>
      <c r="G5" s="60"/>
      <c r="H5" s="60"/>
      <c r="I5" s="60"/>
      <c r="J5" s="60"/>
    </row>
    <row r="6" spans="2:12">
      <c r="B6" s="58" t="s">
        <v>38</v>
      </c>
      <c r="C6" s="59" t="s">
        <v>18</v>
      </c>
      <c r="D6" s="41">
        <v>0.6</v>
      </c>
      <c r="E6" s="61"/>
      <c r="F6" s="61"/>
      <c r="G6" s="61"/>
      <c r="H6" s="60"/>
      <c r="I6" s="60"/>
      <c r="J6" s="60"/>
    </row>
    <row r="7" spans="2:12">
      <c r="B7" s="58" t="s">
        <v>831</v>
      </c>
      <c r="C7" s="59" t="s">
        <v>18</v>
      </c>
      <c r="D7" s="41">
        <v>0.45</v>
      </c>
      <c r="E7" s="61"/>
      <c r="F7" s="61"/>
      <c r="G7" s="61"/>
      <c r="H7" s="60"/>
      <c r="I7" s="60"/>
      <c r="J7" s="60"/>
    </row>
    <row r="8" spans="2:12">
      <c r="B8" s="58" t="s">
        <v>11</v>
      </c>
      <c r="C8" s="59" t="s">
        <v>389</v>
      </c>
      <c r="D8" s="41">
        <v>0.55000000000000004</v>
      </c>
      <c r="E8" s="60"/>
      <c r="F8" s="60"/>
      <c r="G8" s="60"/>
      <c r="H8" s="60"/>
      <c r="I8" s="60"/>
      <c r="J8" s="60"/>
    </row>
    <row r="9" spans="2:12">
      <c r="B9" s="63" t="s">
        <v>12</v>
      </c>
      <c r="C9" s="64" t="s">
        <v>390</v>
      </c>
      <c r="D9" s="41">
        <v>0.38</v>
      </c>
      <c r="E9" s="61"/>
      <c r="F9" s="61"/>
      <c r="G9" s="61"/>
      <c r="H9" s="60"/>
      <c r="I9" s="60"/>
      <c r="J9" s="60"/>
    </row>
    <row r="10" spans="2:12">
      <c r="B10" s="63" t="s">
        <v>652</v>
      </c>
      <c r="C10" s="64" t="s">
        <v>700</v>
      </c>
      <c r="D10" s="41">
        <v>0.55000000000000004</v>
      </c>
      <c r="E10" s="61"/>
      <c r="F10" s="61"/>
      <c r="G10" s="61"/>
      <c r="H10" s="60"/>
      <c r="I10" s="60"/>
      <c r="J10" s="60"/>
    </row>
    <row r="11" spans="2:12">
      <c r="B11" s="63" t="s">
        <v>653</v>
      </c>
      <c r="C11" s="64" t="s">
        <v>700</v>
      </c>
      <c r="D11" s="41">
        <v>2.5</v>
      </c>
      <c r="E11" s="61"/>
      <c r="F11" s="61"/>
      <c r="G11" s="61"/>
      <c r="H11" s="60"/>
      <c r="I11" s="60"/>
      <c r="J11" s="60"/>
    </row>
    <row r="12" spans="2:12">
      <c r="B12" s="63" t="s">
        <v>654</v>
      </c>
      <c r="C12" s="64" t="s">
        <v>700</v>
      </c>
      <c r="D12" s="41">
        <v>4.5</v>
      </c>
      <c r="E12" s="61"/>
      <c r="F12" s="61"/>
      <c r="G12" s="61"/>
      <c r="H12" s="60"/>
      <c r="I12" s="60"/>
      <c r="J12" s="60"/>
    </row>
    <row r="13" spans="2:12">
      <c r="B13" s="63" t="s">
        <v>759</v>
      </c>
      <c r="C13" s="64" t="s">
        <v>700</v>
      </c>
      <c r="D13" s="41"/>
      <c r="E13" s="61"/>
      <c r="F13" s="61"/>
      <c r="G13" s="61"/>
      <c r="H13" s="60"/>
      <c r="I13" s="60"/>
      <c r="J13" s="60"/>
    </row>
    <row r="14" spans="2:12">
      <c r="B14" s="63" t="s">
        <v>13</v>
      </c>
      <c r="C14" s="64" t="s">
        <v>19</v>
      </c>
      <c r="D14" s="41">
        <v>30</v>
      </c>
      <c r="E14" s="61"/>
      <c r="F14" s="61"/>
      <c r="G14" s="61"/>
      <c r="H14" s="60"/>
      <c r="I14" s="60"/>
      <c r="J14" s="60"/>
    </row>
    <row r="15" spans="2:12">
      <c r="B15" s="54" t="s">
        <v>20</v>
      </c>
      <c r="C15" s="55" t="s">
        <v>21</v>
      </c>
      <c r="D15" s="56"/>
      <c r="E15" s="41">
        <v>265</v>
      </c>
      <c r="F15" s="41">
        <v>265</v>
      </c>
      <c r="G15" s="41">
        <v>75</v>
      </c>
      <c r="H15" s="42">
        <v>60</v>
      </c>
      <c r="I15" s="42">
        <v>17</v>
      </c>
      <c r="J15" s="42">
        <v>90</v>
      </c>
    </row>
    <row r="16" spans="2:12">
      <c r="B16" s="63" t="s">
        <v>22</v>
      </c>
      <c r="C16" s="64" t="s">
        <v>775</v>
      </c>
      <c r="D16" s="65"/>
      <c r="E16" s="41">
        <v>35</v>
      </c>
      <c r="F16" s="41">
        <v>35</v>
      </c>
      <c r="G16" s="41">
        <v>37</v>
      </c>
      <c r="H16" s="42">
        <v>42</v>
      </c>
      <c r="I16" s="42">
        <v>25</v>
      </c>
      <c r="J16" s="42">
        <v>20</v>
      </c>
    </row>
    <row r="17" spans="2:12">
      <c r="B17" s="63" t="s">
        <v>760</v>
      </c>
      <c r="C17" s="64" t="s">
        <v>753</v>
      </c>
      <c r="D17" s="65"/>
      <c r="E17" s="41">
        <v>6</v>
      </c>
      <c r="F17" s="41">
        <v>6</v>
      </c>
      <c r="G17" s="41">
        <v>8</v>
      </c>
      <c r="H17" s="42"/>
      <c r="I17" s="42">
        <v>0</v>
      </c>
      <c r="J17" s="42">
        <v>6</v>
      </c>
    </row>
    <row r="18" spans="2:12">
      <c r="B18" s="63" t="s">
        <v>761</v>
      </c>
      <c r="C18" s="64" t="s">
        <v>753</v>
      </c>
      <c r="D18" s="65"/>
      <c r="E18" s="41">
        <v>25</v>
      </c>
      <c r="F18" s="41">
        <v>25</v>
      </c>
      <c r="G18" s="41">
        <v>28</v>
      </c>
      <c r="H18" s="42"/>
      <c r="I18" s="42">
        <v>22</v>
      </c>
      <c r="J18" s="42"/>
    </row>
    <row r="19" spans="2:12">
      <c r="B19" s="63" t="s">
        <v>788</v>
      </c>
      <c r="C19" s="64" t="s">
        <v>789</v>
      </c>
      <c r="D19" s="43">
        <v>0.05</v>
      </c>
      <c r="E19" s="65"/>
      <c r="F19" s="65"/>
      <c r="G19" s="65"/>
      <c r="H19" s="66"/>
      <c r="I19" s="66"/>
      <c r="J19" s="66"/>
    </row>
    <row r="20" spans="2:12">
      <c r="B20" s="63" t="s">
        <v>393</v>
      </c>
      <c r="C20" s="64" t="s">
        <v>23</v>
      </c>
      <c r="D20" s="43">
        <v>26</v>
      </c>
      <c r="E20" s="65"/>
      <c r="F20" s="65"/>
      <c r="G20" s="65"/>
      <c r="H20" s="66"/>
      <c r="I20" s="66"/>
      <c r="J20" s="66"/>
    </row>
    <row r="21" spans="2:12">
      <c r="B21" s="63" t="s">
        <v>394</v>
      </c>
      <c r="C21" s="64" t="s">
        <v>24</v>
      </c>
      <c r="D21" s="43">
        <v>3.25</v>
      </c>
      <c r="E21" s="65"/>
      <c r="F21" s="65"/>
      <c r="G21" s="65"/>
      <c r="H21" s="66"/>
      <c r="I21" s="66"/>
      <c r="J21" s="66"/>
    </row>
    <row r="22" spans="2:12">
      <c r="B22" s="54" t="s">
        <v>16</v>
      </c>
      <c r="C22" s="55" t="s">
        <v>391</v>
      </c>
      <c r="D22" s="263">
        <v>0.09</v>
      </c>
      <c r="E22" s="65"/>
      <c r="F22" s="65"/>
      <c r="G22" s="65"/>
      <c r="H22" s="66"/>
      <c r="I22" s="66"/>
      <c r="J22" s="66"/>
    </row>
    <row r="23" spans="2:12">
      <c r="B23" s="63"/>
      <c r="C23" s="64"/>
      <c r="D23" s="66"/>
      <c r="E23" s="65"/>
      <c r="F23" s="65"/>
      <c r="G23" s="65"/>
      <c r="H23" s="66"/>
      <c r="I23" s="66"/>
      <c r="J23" s="66"/>
    </row>
    <row r="24" spans="2:12">
      <c r="B24" s="67" t="s">
        <v>25</v>
      </c>
      <c r="C24" s="57"/>
      <c r="D24" s="66"/>
      <c r="E24" s="66"/>
      <c r="F24" s="66"/>
      <c r="G24" s="66"/>
      <c r="H24" s="66"/>
      <c r="I24" s="66"/>
      <c r="J24" s="66"/>
    </row>
    <row r="25" spans="2:12">
      <c r="B25" s="58" t="s">
        <v>26</v>
      </c>
      <c r="C25" s="59" t="s">
        <v>813</v>
      </c>
      <c r="D25" s="248">
        <v>0.01</v>
      </c>
      <c r="E25" s="66"/>
      <c r="F25" s="66"/>
      <c r="G25" s="66"/>
      <c r="H25" s="66"/>
      <c r="I25" s="66"/>
      <c r="J25" s="66"/>
    </row>
    <row r="26" spans="2:12">
      <c r="B26" s="45" t="s">
        <v>45</v>
      </c>
      <c r="C26" s="57" t="s">
        <v>27</v>
      </c>
      <c r="D26" s="42"/>
      <c r="E26" s="42">
        <v>185</v>
      </c>
      <c r="F26" s="42">
        <v>222</v>
      </c>
      <c r="G26" s="42">
        <v>185</v>
      </c>
      <c r="H26" s="42"/>
      <c r="I26" s="42">
        <v>145</v>
      </c>
      <c r="J26" s="42">
        <v>145</v>
      </c>
    </row>
    <row r="27" spans="2:12"/>
    <row r="28" spans="2:12" hidden="1">
      <c r="C28" s="68"/>
      <c r="E28" s="69"/>
      <c r="F28" s="69"/>
      <c r="G28" s="69"/>
      <c r="H28" s="69"/>
      <c r="I28" s="69"/>
      <c r="J28" s="69"/>
      <c r="K28" s="69"/>
      <c r="L28" s="69"/>
    </row>
    <row r="29" spans="2:12" hidden="1">
      <c r="E29" s="69"/>
      <c r="F29" s="69"/>
      <c r="G29" s="69"/>
      <c r="H29" s="69"/>
      <c r="I29" s="69"/>
      <c r="J29" s="69"/>
      <c r="K29" s="69"/>
      <c r="L29" s="69"/>
    </row>
  </sheetData>
  <sheetProtection sheet="1" selectLockedCells="1"/>
  <protectedRanges>
    <protectedRange sqref="D6:D14 E15:J18 D19:D22 D25:D26 E26:J26" name="Grey cells_2"/>
  </protectedRanges>
  <mergeCells count="5">
    <mergeCell ref="G2:H2"/>
    <mergeCell ref="B1:D1"/>
    <mergeCell ref="J2:J3"/>
    <mergeCell ref="I2:I3"/>
    <mergeCell ref="E2:F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67387-FB9B-4243-AC08-56DE51C01A62}">
  <sheetPr codeName="Sheet3"/>
  <dimension ref="A1:L25"/>
  <sheetViews>
    <sheetView workbookViewId="0">
      <selection activeCell="D8" sqref="D8"/>
    </sheetView>
  </sheetViews>
  <sheetFormatPr defaultColWidth="0" defaultRowHeight="16" customHeight="1" zeroHeight="1"/>
  <cols>
    <col min="1" max="1" width="29" customWidth="1"/>
    <col min="2" max="2" width="15.1640625" customWidth="1"/>
    <col min="3" max="8" width="13.1640625" customWidth="1"/>
    <col min="9" max="9" width="9" customWidth="1"/>
    <col min="10" max="12" width="0" hidden="1" customWidth="1"/>
    <col min="13" max="16384" width="9" hidden="1"/>
  </cols>
  <sheetData>
    <row r="1" spans="1:11" ht="21">
      <c r="A1" s="320" t="s">
        <v>696</v>
      </c>
      <c r="B1" s="321"/>
      <c r="C1" s="321"/>
      <c r="D1" s="321"/>
      <c r="E1" s="245"/>
      <c r="F1" s="245"/>
      <c r="G1" s="245"/>
      <c r="H1" s="245"/>
    </row>
    <row r="2" spans="1:11" ht="17.5">
      <c r="C2" s="47" t="s">
        <v>0</v>
      </c>
      <c r="D2" s="47" t="s">
        <v>1</v>
      </c>
      <c r="F2" s="47"/>
      <c r="G2" s="47"/>
      <c r="H2" s="47"/>
    </row>
    <row r="3" spans="1:11" ht="17.5">
      <c r="A3" s="265" t="s">
        <v>388</v>
      </c>
      <c r="B3" s="246" t="s">
        <v>4</v>
      </c>
      <c r="C3" s="246" t="s">
        <v>879</v>
      </c>
      <c r="D3" s="49" t="s">
        <v>7</v>
      </c>
      <c r="F3" s="47"/>
      <c r="G3" s="47"/>
      <c r="H3" s="47"/>
    </row>
    <row r="4" spans="1:11" ht="17.5">
      <c r="C4" s="53"/>
      <c r="D4" s="52"/>
      <c r="F4" s="47"/>
      <c r="G4" s="47"/>
      <c r="H4" s="47"/>
    </row>
    <row r="5" spans="1:11" ht="17.5">
      <c r="A5" s="54" t="s">
        <v>9</v>
      </c>
      <c r="B5" s="59" t="s">
        <v>33</v>
      </c>
      <c r="C5" s="40">
        <v>140</v>
      </c>
      <c r="D5" s="40">
        <v>45</v>
      </c>
      <c r="F5" s="314"/>
      <c r="G5" s="314"/>
      <c r="H5" s="314"/>
    </row>
    <row r="6" spans="1:11" ht="17.5">
      <c r="A6" s="54" t="s">
        <v>790</v>
      </c>
      <c r="B6" s="59" t="s">
        <v>821</v>
      </c>
      <c r="C6" s="242">
        <v>0.17</v>
      </c>
      <c r="D6" s="242">
        <v>0.13</v>
      </c>
      <c r="F6" s="315"/>
      <c r="G6" s="315"/>
      <c r="H6" s="315"/>
    </row>
    <row r="7" spans="1:11" ht="17.5">
      <c r="A7" s="54" t="s">
        <v>827</v>
      </c>
      <c r="B7" s="59" t="s">
        <v>822</v>
      </c>
      <c r="C7" s="264">
        <v>8</v>
      </c>
      <c r="D7" s="264">
        <v>21.5</v>
      </c>
      <c r="F7" s="316"/>
      <c r="G7" s="316"/>
      <c r="H7" s="316"/>
    </row>
    <row r="8" spans="1:11" ht="17.5">
      <c r="A8" s="54"/>
      <c r="B8" s="54"/>
      <c r="C8" s="56"/>
      <c r="D8" s="56"/>
      <c r="F8" s="54"/>
      <c r="G8" s="54"/>
      <c r="H8" s="54"/>
    </row>
    <row r="9" spans="1:11" ht="17.5">
      <c r="A9" s="51" t="s">
        <v>392</v>
      </c>
      <c r="B9" s="51"/>
      <c r="C9" s="56"/>
      <c r="D9" s="56"/>
      <c r="F9" s="54"/>
      <c r="G9" s="54"/>
      <c r="H9" s="54"/>
    </row>
    <row r="10" spans="1:11" ht="17.5">
      <c r="A10" s="311" t="s">
        <v>10</v>
      </c>
      <c r="B10" s="55" t="s">
        <v>830</v>
      </c>
      <c r="C10" s="312">
        <v>80000</v>
      </c>
      <c r="D10" s="312">
        <v>140000</v>
      </c>
      <c r="F10" s="317"/>
      <c r="G10" s="317"/>
      <c r="H10" s="317"/>
    </row>
    <row r="11" spans="1:11" ht="17.5">
      <c r="A11" s="54" t="s">
        <v>699</v>
      </c>
      <c r="B11" s="55"/>
      <c r="C11" s="312">
        <v>30000</v>
      </c>
      <c r="D11" s="312">
        <v>140000</v>
      </c>
      <c r="F11" s="317"/>
      <c r="G11" s="317"/>
      <c r="H11" s="317"/>
    </row>
    <row r="12" spans="1:11" ht="17.5">
      <c r="A12" s="54" t="s">
        <v>794</v>
      </c>
      <c r="B12" s="55" t="s">
        <v>823</v>
      </c>
      <c r="C12" s="39"/>
      <c r="D12" s="185"/>
      <c r="F12" s="318"/>
      <c r="G12" s="318"/>
      <c r="H12" s="318"/>
    </row>
    <row r="13" spans="1:11" ht="17.5">
      <c r="A13" s="54" t="s">
        <v>793</v>
      </c>
      <c r="B13" s="55" t="s">
        <v>823</v>
      </c>
      <c r="C13" s="39"/>
      <c r="D13" s="185"/>
      <c r="F13" s="318"/>
      <c r="G13" s="318"/>
      <c r="H13" s="318"/>
      <c r="J13" s="247">
        <f>C12-C13</f>
        <v>0</v>
      </c>
      <c r="K13" s="247" t="e">
        <f>#REF!-#REF!</f>
        <v>#REF!</v>
      </c>
    </row>
    <row r="14" spans="1:11" ht="17.5">
      <c r="A14" s="54" t="s">
        <v>11</v>
      </c>
      <c r="B14" s="55" t="s">
        <v>823</v>
      </c>
      <c r="C14" s="39"/>
      <c r="D14" s="39"/>
      <c r="F14" s="318"/>
      <c r="G14" s="318"/>
      <c r="H14" s="318"/>
      <c r="J14" s="247">
        <f>C13</f>
        <v>0</v>
      </c>
      <c r="K14" s="247" t="e">
        <f>#REF!</f>
        <v>#REF!</v>
      </c>
    </row>
    <row r="15" spans="1:11" ht="17.5">
      <c r="A15" s="54" t="s">
        <v>12</v>
      </c>
      <c r="B15" s="55" t="s">
        <v>823</v>
      </c>
      <c r="C15" s="313"/>
      <c r="D15" s="313"/>
      <c r="F15" s="318"/>
      <c r="G15" s="318"/>
      <c r="H15" s="318"/>
    </row>
    <row r="16" spans="1:11" ht="17.5">
      <c r="A16" s="54" t="s">
        <v>652</v>
      </c>
      <c r="B16" s="55" t="s">
        <v>823</v>
      </c>
      <c r="C16" s="313"/>
      <c r="D16" s="313"/>
      <c r="F16" s="318"/>
      <c r="G16" s="318"/>
      <c r="H16" s="318"/>
    </row>
    <row r="17" spans="1:8" ht="17.5">
      <c r="A17" s="54" t="s">
        <v>653</v>
      </c>
      <c r="B17" s="55" t="s">
        <v>823</v>
      </c>
      <c r="C17" s="313"/>
      <c r="D17" s="313"/>
      <c r="F17" s="318"/>
      <c r="G17" s="318"/>
      <c r="H17" s="318"/>
    </row>
    <row r="18" spans="1:8" ht="17.5">
      <c r="A18" s="54" t="s">
        <v>654</v>
      </c>
      <c r="B18" s="55" t="s">
        <v>823</v>
      </c>
      <c r="C18" s="313"/>
      <c r="D18" s="313"/>
      <c r="F18" s="318"/>
      <c r="G18" s="318"/>
      <c r="H18" s="318"/>
    </row>
    <row r="19" spans="1:8" ht="17.5">
      <c r="A19" s="54" t="s">
        <v>759</v>
      </c>
      <c r="B19" s="55" t="s">
        <v>823</v>
      </c>
      <c r="C19" s="313"/>
      <c r="D19" s="313"/>
      <c r="F19" s="318"/>
      <c r="G19" s="318"/>
      <c r="H19" s="318"/>
    </row>
    <row r="20" spans="1:8" ht="17.5">
      <c r="A20" s="54" t="s">
        <v>13</v>
      </c>
      <c r="B20" s="55" t="s">
        <v>824</v>
      </c>
      <c r="C20" s="313">
        <v>0.6</v>
      </c>
      <c r="D20" s="313">
        <v>0.5</v>
      </c>
      <c r="F20" s="318"/>
      <c r="G20" s="318"/>
      <c r="H20" s="318"/>
    </row>
    <row r="21" spans="1:8" ht="17.5">
      <c r="A21" s="58" t="s">
        <v>14</v>
      </c>
      <c r="B21" s="59" t="s">
        <v>825</v>
      </c>
      <c r="C21" s="313"/>
      <c r="D21" s="39"/>
      <c r="F21" s="318"/>
      <c r="G21" s="318"/>
      <c r="H21" s="318"/>
    </row>
    <row r="22" spans="1:8" ht="17.5">
      <c r="A22" s="54" t="s">
        <v>754</v>
      </c>
      <c r="B22" s="59" t="s">
        <v>825</v>
      </c>
      <c r="C22" s="313" t="s">
        <v>880</v>
      </c>
      <c r="D22" s="39"/>
      <c r="F22" s="318"/>
      <c r="G22" s="318"/>
      <c r="H22" s="318"/>
    </row>
    <row r="23" spans="1:8" ht="17.5">
      <c r="A23" s="54" t="s">
        <v>755</v>
      </c>
      <c r="B23" s="59" t="s">
        <v>825</v>
      </c>
      <c r="C23" s="313"/>
      <c r="D23" s="39"/>
      <c r="F23" s="318"/>
      <c r="G23" s="318"/>
      <c r="H23" s="318"/>
    </row>
    <row r="24" spans="1:8" ht="17.5">
      <c r="A24" s="54" t="s">
        <v>756</v>
      </c>
      <c r="B24" s="55" t="s">
        <v>826</v>
      </c>
      <c r="C24" s="313"/>
      <c r="D24" s="39"/>
      <c r="F24" s="318"/>
      <c r="G24" s="318"/>
      <c r="H24" s="318"/>
    </row>
    <row r="25" spans="1:8" ht="17.5">
      <c r="C25" s="254">
        <v>0.14499999999999999</v>
      </c>
      <c r="D25" s="254">
        <v>0.14499999999999999</v>
      </c>
      <c r="E25" s="254">
        <v>0.13</v>
      </c>
      <c r="F25" s="254">
        <v>0.13</v>
      </c>
      <c r="G25" s="254">
        <v>0.12</v>
      </c>
      <c r="H25" s="254">
        <v>0.13500000000000001</v>
      </c>
    </row>
  </sheetData>
  <sheetProtection sheet="1" objects="1" scenarios="1"/>
  <protectedRanges>
    <protectedRange sqref="D5:D7 D10:D24 C10:C24 F10:H24 C5:C7 F5:H7" name="Grey cells_1_1"/>
  </protectedRanges>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B039-82E9-442A-9EE2-49A0D79EC575}">
  <sheetPr codeName="Sheet4"/>
  <dimension ref="A1:O32"/>
  <sheetViews>
    <sheetView workbookViewId="0">
      <selection activeCell="B5" sqref="B5"/>
    </sheetView>
  </sheetViews>
  <sheetFormatPr defaultColWidth="8.83203125" defaultRowHeight="16.5"/>
  <cols>
    <col min="1" max="1" width="23" bestFit="1" customWidth="1"/>
    <col min="2" max="2" width="13.1640625" bestFit="1" customWidth="1"/>
    <col min="3" max="3" width="14.1640625" bestFit="1" customWidth="1"/>
    <col min="4" max="4" width="13.33203125" bestFit="1" customWidth="1"/>
    <col min="5" max="5" width="13.33203125" customWidth="1"/>
  </cols>
  <sheetData>
    <row r="1" spans="1:15">
      <c r="A1" s="325" t="s">
        <v>655</v>
      </c>
      <c r="B1" s="325"/>
      <c r="C1" s="325"/>
      <c r="D1" s="325"/>
      <c r="E1" s="213"/>
    </row>
    <row r="2" spans="1:15">
      <c r="B2" s="323" t="s">
        <v>657</v>
      </c>
      <c r="C2" s="324"/>
      <c r="D2" s="324"/>
      <c r="E2" s="214"/>
    </row>
    <row r="3" spans="1:15">
      <c r="A3" s="184"/>
      <c r="B3" s="184" t="s">
        <v>656</v>
      </c>
      <c r="C3" s="184" t="s">
        <v>757</v>
      </c>
      <c r="D3" s="184" t="s">
        <v>733</v>
      </c>
    </row>
    <row r="4" spans="1:15">
      <c r="A4" s="1" t="s">
        <v>400</v>
      </c>
    </row>
    <row r="5" spans="1:15">
      <c r="A5" s="182" t="s">
        <v>59</v>
      </c>
      <c r="B5" s="230">
        <f>B25*N5*B23/B10/60*'Input prices'!D21</f>
        <v>5.004999999999999</v>
      </c>
      <c r="C5" s="230">
        <f>21.08*N5/C29*'Input prices'!$D$21/C10</f>
        <v>2.0988231733333329</v>
      </c>
      <c r="D5" s="230">
        <f>21.08*N5/D29*'Input prices'!$D$21/D10</f>
        <v>2.7284701253333328</v>
      </c>
      <c r="E5" t="s">
        <v>742</v>
      </c>
      <c r="F5" t="s">
        <v>734</v>
      </c>
      <c r="N5">
        <v>4.3999999999999997E-2</v>
      </c>
      <c r="O5" t="s">
        <v>735</v>
      </c>
    </row>
    <row r="6" spans="1:15">
      <c r="A6" s="182" t="s">
        <v>658</v>
      </c>
      <c r="B6" s="230" t="e">
        <f>B13*B26/B24/D32</f>
        <v>#DIV/0!</v>
      </c>
      <c r="C6" s="230" t="e">
        <f>C13*E26/80/D32</f>
        <v>#DIV/0!</v>
      </c>
      <c r="D6" s="230" t="e">
        <f>D13*E26/80/D32</f>
        <v>#DIV/0!</v>
      </c>
      <c r="E6" t="s">
        <v>742</v>
      </c>
      <c r="F6" t="s">
        <v>776</v>
      </c>
      <c r="N6" t="s">
        <v>737</v>
      </c>
    </row>
    <row r="7" spans="1:15">
      <c r="A7" s="182" t="s">
        <v>58</v>
      </c>
      <c r="B7" s="230" t="e">
        <f>(2+8+0.5*D32)/B24*'Input prices'!D20/D32</f>
        <v>#DIV/0!</v>
      </c>
      <c r="C7" s="230" t="e">
        <f>(2+1+1)*D32/80*'Input prices'!D20/D32</f>
        <v>#DIV/0!</v>
      </c>
      <c r="D7" s="230" t="e">
        <f>(2+1+2*D32)/80*'Input prices'!D20/'Irrigation costs'!D32</f>
        <v>#DIV/0!</v>
      </c>
      <c r="E7" t="s">
        <v>742</v>
      </c>
      <c r="F7" t="s">
        <v>664</v>
      </c>
    </row>
    <row r="8" spans="1:15">
      <c r="A8" s="182" t="s">
        <v>743</v>
      </c>
      <c r="B8" s="230"/>
      <c r="C8" s="230" t="e">
        <f>7.5/D32</f>
        <v>#DIV/0!</v>
      </c>
      <c r="D8" s="230"/>
      <c r="E8" t="s">
        <v>742</v>
      </c>
      <c r="F8" t="s">
        <v>751</v>
      </c>
    </row>
    <row r="9" spans="1:15">
      <c r="A9" s="182" t="s">
        <v>814</v>
      </c>
      <c r="B9" s="230"/>
      <c r="C9" s="230"/>
      <c r="D9" s="230" t="e">
        <f>10/D32</f>
        <v>#DIV/0!</v>
      </c>
      <c r="E9" t="s">
        <v>742</v>
      </c>
    </row>
    <row r="10" spans="1:15">
      <c r="A10" s="183" t="s">
        <v>744</v>
      </c>
      <c r="B10" s="219">
        <v>0.9</v>
      </c>
      <c r="C10" s="219">
        <v>0.65</v>
      </c>
      <c r="D10" s="219">
        <v>0.5</v>
      </c>
      <c r="F10" t="s">
        <v>752</v>
      </c>
    </row>
    <row r="11" spans="1:15">
      <c r="A11" s="233" t="s">
        <v>779</v>
      </c>
      <c r="B11" s="234" t="e">
        <f>SUM(B5:B9)/B10</f>
        <v>#DIV/0!</v>
      </c>
      <c r="C11" s="234" t="e">
        <f t="shared" ref="C11:D11" si="0">SUM(C5:C9)/C10</f>
        <v>#DIV/0!</v>
      </c>
      <c r="D11" s="234" t="e">
        <f t="shared" si="0"/>
        <v>#DIV/0!</v>
      </c>
      <c r="E11" t="s">
        <v>780</v>
      </c>
    </row>
    <row r="12" spans="1:15">
      <c r="A12" s="1" t="s">
        <v>665</v>
      </c>
    </row>
    <row r="13" spans="1:15">
      <c r="A13" s="182" t="s">
        <v>659</v>
      </c>
      <c r="B13" s="231">
        <v>55000</v>
      </c>
      <c r="C13" s="231">
        <v>20000</v>
      </c>
      <c r="D13" s="231">
        <v>25000</v>
      </c>
      <c r="F13" t="s">
        <v>832</v>
      </c>
      <c r="J13" t="s">
        <v>833</v>
      </c>
      <c r="N13" t="s">
        <v>839</v>
      </c>
    </row>
    <row r="14" spans="1:15">
      <c r="A14" s="182" t="s">
        <v>660</v>
      </c>
      <c r="B14" s="231">
        <v>30</v>
      </c>
      <c r="C14" s="231">
        <v>30</v>
      </c>
      <c r="D14" s="231">
        <v>30</v>
      </c>
    </row>
    <row r="15" spans="1:15">
      <c r="A15" s="183" t="s">
        <v>663</v>
      </c>
      <c r="B15" s="232">
        <v>40000</v>
      </c>
      <c r="C15" s="232">
        <v>5000</v>
      </c>
      <c r="D15" s="232">
        <v>7500</v>
      </c>
    </row>
    <row r="16" spans="1:15">
      <c r="A16" s="182" t="s">
        <v>745</v>
      </c>
      <c r="C16">
        <v>3</v>
      </c>
      <c r="D16">
        <v>3</v>
      </c>
      <c r="E16" t="s">
        <v>746</v>
      </c>
      <c r="G16" t="s">
        <v>749</v>
      </c>
      <c r="K16" t="s">
        <v>750</v>
      </c>
    </row>
    <row r="17" spans="1:10">
      <c r="A17" s="182" t="s">
        <v>778</v>
      </c>
      <c r="B17" s="217" t="e">
        <f>((B13-B15)/B14+B13/2*'Input prices'!$D$22)/120/D32</f>
        <v>#DIV/0!</v>
      </c>
      <c r="C17" s="217" t="e">
        <f>((C13-C15)/C14+C13/2*'Input prices'!$D$22)/80/D32</f>
        <v>#DIV/0!</v>
      </c>
      <c r="D17" s="217" t="e">
        <f>((D13-D15)/D14+D13/2*'Input prices'!$D$22)/80/D32</f>
        <v>#DIV/0!</v>
      </c>
    </row>
    <row r="18" spans="1:10">
      <c r="A18" s="182" t="s">
        <v>781</v>
      </c>
      <c r="B18" s="235" t="e">
        <f>B11+B17</f>
        <v>#DIV/0!</v>
      </c>
      <c r="C18" s="235" t="e">
        <f t="shared" ref="C18:D18" si="1">C11+C17</f>
        <v>#DIV/0!</v>
      </c>
      <c r="D18" s="235" t="e">
        <f t="shared" si="1"/>
        <v>#DIV/0!</v>
      </c>
    </row>
    <row r="21" spans="1:10">
      <c r="J21" t="s">
        <v>656</v>
      </c>
    </row>
    <row r="22" spans="1:10">
      <c r="B22" t="s">
        <v>736</v>
      </c>
      <c r="E22" s="236">
        <v>110000</v>
      </c>
      <c r="J22" t="s">
        <v>757</v>
      </c>
    </row>
    <row r="23" spans="1:10">
      <c r="B23">
        <v>35</v>
      </c>
      <c r="C23" t="s">
        <v>739</v>
      </c>
      <c r="J23" t="s">
        <v>733</v>
      </c>
    </row>
    <row r="24" spans="1:10">
      <c r="B24">
        <v>127</v>
      </c>
      <c r="C24" t="s">
        <v>740</v>
      </c>
      <c r="J24" t="s">
        <v>758</v>
      </c>
    </row>
    <row r="25" spans="1:10">
      <c r="B25">
        <v>54</v>
      </c>
      <c r="C25" t="s">
        <v>738</v>
      </c>
    </row>
    <row r="26" spans="1:10">
      <c r="B26" s="218">
        <v>0.03</v>
      </c>
      <c r="C26" t="s">
        <v>741</v>
      </c>
      <c r="E26" s="218">
        <v>0.06</v>
      </c>
    </row>
    <row r="28" spans="1:10">
      <c r="C28">
        <v>1000</v>
      </c>
      <c r="D28">
        <v>1000</v>
      </c>
      <c r="E28" t="s">
        <v>747</v>
      </c>
    </row>
    <row r="29" spans="1:10">
      <c r="C29">
        <f>C28*60/27154</f>
        <v>2.2096192089563234</v>
      </c>
      <c r="D29">
        <f>D28*60/27154</f>
        <v>2.2096192089563234</v>
      </c>
      <c r="E29" t="s">
        <v>748</v>
      </c>
    </row>
    <row r="32" spans="1:10">
      <c r="B32" t="s">
        <v>777</v>
      </c>
      <c r="D32" s="244" t="e">
        <f>AVERAGE('Input quantities'!C24:H24)</f>
        <v>#DIV/0!</v>
      </c>
    </row>
  </sheetData>
  <mergeCells count="2">
    <mergeCell ref="B2:D2"/>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57C2-99E9-4674-8D1B-57F97E1A6AA7}">
  <sheetPr codeName="Sheet11"/>
  <dimension ref="A1:CY142"/>
  <sheetViews>
    <sheetView workbookViewId="0">
      <selection activeCell="C9" sqref="C9"/>
    </sheetView>
  </sheetViews>
  <sheetFormatPr defaultColWidth="0" defaultRowHeight="0" customHeight="1" zeroHeight="1"/>
  <cols>
    <col min="1" max="1" width="2.83203125" style="100" customWidth="1"/>
    <col min="2" max="2" width="30.83203125" style="100" customWidth="1"/>
    <col min="3" max="3" width="20.83203125" style="100" bestFit="1" customWidth="1"/>
    <col min="4" max="4" width="13" style="100" customWidth="1"/>
    <col min="5" max="5" width="12.5" style="100" customWidth="1"/>
    <col min="6" max="7" width="10" style="100" customWidth="1"/>
    <col min="8" max="8" width="11.6640625" style="100" customWidth="1"/>
    <col min="9" max="9" width="10.6640625" style="100" customWidth="1"/>
    <col min="10" max="10" width="2.83203125" style="100" customWidth="1"/>
    <col min="11" max="103" width="0" hidden="1" customWidth="1"/>
    <col min="104" max="16384" width="9" style="100" hidden="1"/>
  </cols>
  <sheetData>
    <row r="1" spans="1:10" ht="23.25" customHeight="1">
      <c r="B1" s="336" t="s">
        <v>698</v>
      </c>
      <c r="C1" s="337"/>
      <c r="D1" s="337"/>
      <c r="E1" s="337"/>
      <c r="F1" s="337"/>
      <c r="G1" s="337"/>
      <c r="H1" s="337"/>
      <c r="I1" s="337"/>
    </row>
    <row r="2" spans="1:10" ht="16.5">
      <c r="A2" s="141"/>
      <c r="B2" s="335" t="s">
        <v>697</v>
      </c>
      <c r="C2" s="335"/>
      <c r="D2" s="335"/>
      <c r="E2" s="335"/>
      <c r="F2" s="335"/>
      <c r="G2" s="335"/>
      <c r="H2" s="335"/>
      <c r="I2" s="335"/>
    </row>
    <row r="3" spans="1:10" ht="16.5">
      <c r="B3" s="335"/>
      <c r="C3" s="335"/>
      <c r="D3" s="335"/>
      <c r="E3" s="335"/>
      <c r="F3" s="335"/>
      <c r="G3" s="335"/>
      <c r="H3" s="335"/>
      <c r="I3" s="335"/>
    </row>
    <row r="4" spans="1:10" ht="16.5">
      <c r="B4" s="329" t="s">
        <v>877</v>
      </c>
      <c r="C4" s="329"/>
      <c r="D4" s="329"/>
      <c r="E4" s="329"/>
      <c r="F4" s="329"/>
      <c r="G4" s="329"/>
      <c r="H4" s="329"/>
      <c r="I4" s="329"/>
      <c r="J4" s="143"/>
    </row>
    <row r="5" spans="1:10" ht="28.5" customHeight="1">
      <c r="B5" s="326" t="s">
        <v>535</v>
      </c>
      <c r="C5" s="328" t="s">
        <v>536</v>
      </c>
      <c r="D5" s="261" t="s">
        <v>15</v>
      </c>
      <c r="E5" s="328" t="s">
        <v>537</v>
      </c>
      <c r="F5" s="328" t="s">
        <v>538</v>
      </c>
      <c r="G5" s="144" t="s">
        <v>539</v>
      </c>
      <c r="H5" s="144" t="s">
        <v>540</v>
      </c>
      <c r="I5" s="330" t="s">
        <v>541</v>
      </c>
      <c r="J5" s="145"/>
    </row>
    <row r="6" spans="1:10" ht="16.5">
      <c r="B6" s="327"/>
      <c r="C6" s="329"/>
      <c r="D6" s="262" t="s">
        <v>810</v>
      </c>
      <c r="E6" s="329"/>
      <c r="F6" s="329"/>
      <c r="G6" s="142" t="s">
        <v>554</v>
      </c>
      <c r="H6" s="142" t="s">
        <v>554</v>
      </c>
      <c r="I6" s="331"/>
      <c r="J6" s="145"/>
    </row>
    <row r="7" spans="1:10" ht="16.5">
      <c r="B7" s="149"/>
      <c r="C7" s="149"/>
      <c r="D7" s="150" t="s">
        <v>560</v>
      </c>
      <c r="E7" s="150" t="s">
        <v>557</v>
      </c>
      <c r="F7" s="150" t="s">
        <v>558</v>
      </c>
      <c r="G7" s="150" t="s">
        <v>559</v>
      </c>
      <c r="H7" s="150" t="s">
        <v>559</v>
      </c>
      <c r="I7" s="150" t="s">
        <v>561</v>
      </c>
      <c r="J7" s="150"/>
    </row>
    <row r="8" spans="1:10" ht="16.5">
      <c r="B8" s="300" t="s">
        <v>866</v>
      </c>
      <c r="C8" s="300" t="s">
        <v>881</v>
      </c>
      <c r="D8" s="301">
        <v>1</v>
      </c>
      <c r="E8" s="141">
        <f>IFERROR(IF(ISBLANK(C8),"",IF(OR(ISBLANK(B8),IFERROR(VLOOKUP(B8,'Machinery Input Tables'!$B$6:$AF$121,13,FALSE),"")='Machinery Input Tables'!$N$128),1,VLOOKUP(B8,'Machinery Input Tables'!$B$6:$AF$121,28,FALSE))*VLOOKUP(C8,'Machinery Input Tables'!$AH$6:$BA$30,19,FALSE))*D8,"-")</f>
        <v>0.77647058823529402</v>
      </c>
      <c r="F8" s="141">
        <f>IFERROR(IF(AND(ISBLANK(B8)*ISBLANK(C8)),"",IF(ISBLANK(B8),1,IF(VLOOKUP(B8,'Machinery Input Tables'!$B$6:$AF$121,13,FALSE)='Machinery Input Tables'!$N$128,VLOOKUP(B8,'Machinery Input Tables'!$B$6:$AF$121,17,FALSE),VLOOKUP(B8,'Machinery Input Tables'!$B$6:$AF$121,28,FALSE))))*D8,"-")</f>
        <v>8.8235294117647065E-2</v>
      </c>
      <c r="G8" s="152">
        <f>IFERROR(IF(ISBLANK(C8),"",E8*'Machinery Input Tables'!$BP$10*'Machinery Input Tables'!$BP$11+E8*'Machinery Input Tables'!$BP$10+F8*'Machinery Input Tables'!$BP$6+(VLOOKUP(C8,'Machinery Input Tables'!$AH$6:$BA$30,18,FALSE)*IF(IFERROR(VLOOKUP(B8,'Machinery Input Tables'!$B$6:$AF$121,13,FALSE)='Machinery Input Tables'!$N$128,1),1,VLOOKUP(B8,'Machinery Input Tables'!$B$6:$AF$121,28,FALSE))+IFERROR(VLOOKUP(B8,'Machinery Input Tables'!$B$6:$AF$121,27,FALSE),0))*D8),"-")</f>
        <v>8.4272624866121184</v>
      </c>
      <c r="H8" s="141">
        <f>IFERROR((IFERROR(VLOOKUP(B8,'Machinery Input Tables'!$B$6:$AF$121,24,FALSE),0)+VLOOKUP(C8,'Machinery Input Tables'!$AH$6:$BA$30,20,FALSE))*IF(IFERROR(VLOOKUP(B8,'Machinery Input Tables'!$B$6:$AF$121,13,FALSE)='Machinery Input Tables'!$N$128,1),1,VLOOKUP(B8,'Machinery Input Tables'!$B$6:$AF$121,28,FALSE))*D8,"-")</f>
        <v>12.73136686869473</v>
      </c>
      <c r="I8" s="152">
        <f>IFERROR(IF(ISBLANK(AND(B8,C8)),"",SUM(G8:H8)),"-")</f>
        <v>21.15862935530685</v>
      </c>
      <c r="J8" s="152"/>
    </row>
    <row r="9" spans="1:10" ht="16.5">
      <c r="B9" s="300" t="s">
        <v>868</v>
      </c>
      <c r="C9" s="300" t="s">
        <v>881</v>
      </c>
      <c r="D9" s="301">
        <v>2</v>
      </c>
      <c r="E9" s="141">
        <f>IFERROR(IF(ISBLANK(C9),"",IF(OR(ISBLANK(B9),IFERROR(VLOOKUP(B9,'Machinery Input Tables'!$B$6:$AF$121,13,FALSE),"")='Machinery Input Tables'!$N$128),1,VLOOKUP(B9,'Machinery Input Tables'!$B$6:$AF$121,28,FALSE))*VLOOKUP(C9,'Machinery Input Tables'!$AH$6:$BA$30,19,FALSE))*D9,"-")</f>
        <v>1.44047619047619</v>
      </c>
      <c r="F9" s="141">
        <f>IFERROR(IF(AND(ISBLANK(B9)*ISBLANK(C9)),"",IF(ISBLANK(B9),1,IF(VLOOKUP(B9,'Machinery Input Tables'!$B$6:$AF$121,13,FALSE)='Machinery Input Tables'!$N$128,VLOOKUP(B9,'Machinery Input Tables'!$B$6:$AF$121,17,FALSE),VLOOKUP(B9,'Machinery Input Tables'!$B$6:$AF$121,28,FALSE))))*D9,"-")</f>
        <v>0.16369047619047616</v>
      </c>
      <c r="G9" s="152">
        <f>IFERROR(IF(ISBLANK(C9),"",E9*'Machinery Input Tables'!$BP$10+F9*'Machinery Input Tables'!$BP$6+(VLOOKUP(C9,'Machinery Input Tables'!$AH$6:$BA$30,18,FALSE)*IF(IFERROR(VLOOKUP(B9,'Machinery Input Tables'!$B$6:$AF$121,13,FALSE)='Machinery Input Tables'!$N$128,1),1,VLOOKUP(B9,'Machinery Input Tables'!$B$6:$AF$121,28,FALSE))+IFERROR(VLOOKUP(B9,'Machinery Input Tables'!$B$6:$AF$121,27,FALSE),0))*D9),"-")</f>
        <v>15.849080958305125</v>
      </c>
      <c r="H9" s="141">
        <f>IFERROR((IFERROR(VLOOKUP(B9,'Machinery Input Tables'!$B$6:$AF$121,24,FALSE),0)+VLOOKUP(C9,'Machinery Input Tables'!$AH$6:$BA$30,20,FALSE))*IF(IFERROR(VLOOKUP(B9,'Machinery Input Tables'!$B$6:$AF$121,13,FALSE)='Machinery Input Tables'!$N$128,1),1,VLOOKUP(B9,'Machinery Input Tables'!$B$6:$AF$121,28,FALSE))*D9,"-")</f>
        <v>24.41697555603243</v>
      </c>
      <c r="I9" s="152">
        <f t="shared" ref="I9:I17" si="0">IFERROR(IF(ISBLANK(AND(B9,C9)),"",SUM(G9:H9)),"-")</f>
        <v>40.266056514337556</v>
      </c>
      <c r="J9" s="152"/>
    </row>
    <row r="10" spans="1:10" ht="16.5">
      <c r="B10" s="300" t="s">
        <v>867</v>
      </c>
      <c r="C10" s="300" t="s">
        <v>871</v>
      </c>
      <c r="D10" s="301">
        <v>2</v>
      </c>
      <c r="E10" s="141">
        <f>IFERROR(IF(ISBLANK(C10),"",IF(OR(ISBLANK(B10),IFERROR(VLOOKUP(B10,'Machinery Input Tables'!$B$6:$AF$121,13,FALSE),"")='Machinery Input Tables'!$N$128),1,VLOOKUP(B10,'Machinery Input Tables'!$B$6:$AF$121,28,FALSE))*VLOOKUP(C10,'Machinery Input Tables'!$AH$6:$BA$30,19,FALSE))*D10,"-")</f>
        <v>0.69723889555822327</v>
      </c>
      <c r="F10" s="141">
        <f>IFERROR(IF(AND(ISBLANK(B10)*ISBLANK(C10)),"",IF(ISBLANK(B10),1,IF(VLOOKUP(B10,'Machinery Input Tables'!$B$6:$AF$121,13,FALSE)='Machinery Input Tables'!$N$128,VLOOKUP(B10,'Machinery Input Tables'!$B$6:$AF$121,17,FALSE),VLOOKUP(B10,'Machinery Input Tables'!$B$6:$AF$121,28,FALSE))))*D10,"-")</f>
        <v>9.9039615846338538E-2</v>
      </c>
      <c r="G10" s="152">
        <f>IFERROR(IF(ISBLANK(C10),"",E10*'Machinery Input Tables'!$BP$10+F10*'Machinery Input Tables'!$BP$6+(VLOOKUP(C10,'Machinery Input Tables'!$AH$6:$BA$30,18,FALSE)*IF(IFERROR(VLOOKUP(B10,'Machinery Input Tables'!$B$6:$AF$121,13,FALSE)='Machinery Input Tables'!$N$128,1),1,VLOOKUP(B10,'Machinery Input Tables'!$B$6:$AF$121,28,FALSE))+IFERROR(VLOOKUP(B10,'Machinery Input Tables'!$B$6:$AF$121,27,FALSE),0))*D10),"-")</f>
        <v>8.0829852889381666</v>
      </c>
      <c r="H10" s="141">
        <f>IFERROR((IFERROR(VLOOKUP(B10,'Machinery Input Tables'!$B$6:$AF$121,24,FALSE),0)+VLOOKUP(C10,'Machinery Input Tables'!$AH$6:$BA$30,20,FALSE))*IF(IFERROR(VLOOKUP(B10,'Machinery Input Tables'!$B$6:$AF$121,13,FALSE)='Machinery Input Tables'!$N$128,1),1,VLOOKUP(B10,'Machinery Input Tables'!$B$6:$AF$121,28,FALSE))*D10,"-")</f>
        <v>10.432093520387751</v>
      </c>
      <c r="I10" s="152">
        <f t="shared" si="0"/>
        <v>18.515078809325917</v>
      </c>
      <c r="J10" s="152"/>
    </row>
    <row r="11" spans="1:10" ht="16.5">
      <c r="B11" s="300" t="s">
        <v>872</v>
      </c>
      <c r="C11" s="300" t="s">
        <v>871</v>
      </c>
      <c r="D11" s="301">
        <v>2</v>
      </c>
      <c r="E11" s="141"/>
      <c r="F11" s="141"/>
      <c r="G11" s="152"/>
      <c r="H11" s="141"/>
      <c r="I11" s="152"/>
      <c r="J11" s="152"/>
    </row>
    <row r="12" spans="1:10" ht="16.5">
      <c r="B12" s="300" t="s">
        <v>869</v>
      </c>
      <c r="C12" s="300" t="s">
        <v>871</v>
      </c>
      <c r="D12" s="301">
        <v>1</v>
      </c>
      <c r="E12" s="141">
        <f>IFERROR(IF(ISBLANK(C12),"",IF(OR(ISBLANK(B12),IFERROR(VLOOKUP(B12,'Machinery Input Tables'!$B$6:$AF$121,13,FALSE),"")='Machinery Input Tables'!$N$128),1,VLOOKUP(B12,'Machinery Input Tables'!$B$6:$AF$121,28,FALSE))*VLOOKUP(C12,'Machinery Input Tables'!$AH$6:$BA$30,19,FALSE))*D12,"-")</f>
        <v>0.75428571428571412</v>
      </c>
      <c r="F12" s="141">
        <f>IFERROR(IF(AND(ISBLANK(B12)*ISBLANK(C12)),"",IF(ISBLANK(B12),1,IF(VLOOKUP(B12,'Machinery Input Tables'!$B$6:$AF$121,13,FALSE)='Machinery Input Tables'!$N$128,VLOOKUP(B12,'Machinery Input Tables'!$B$6:$AF$121,17,FALSE),VLOOKUP(B12,'Machinery Input Tables'!$B$6:$AF$121,28,FALSE))))*D12,"-")</f>
        <v>0.10714285714285714</v>
      </c>
      <c r="G12" s="152">
        <f>IFERROR(IF(ISBLANK(C12),"",E12*'Machinery Input Tables'!$BP$10+F12*'Machinery Input Tables'!$BP$6+(VLOOKUP(C12,'Machinery Input Tables'!$AH$6:$BA$30,18,FALSE)*IF(IFERROR(VLOOKUP(B12,'Machinery Input Tables'!$B$6:$AF$121,13,FALSE)='Machinery Input Tables'!$N$128,1),1,VLOOKUP(B12,'Machinery Input Tables'!$B$6:$AF$121,28,FALSE))+IFERROR(VLOOKUP(B12,'Machinery Input Tables'!$B$6:$AF$121,27,FALSE),0))*D12),"-")</f>
        <v>9.9861755178410796</v>
      </c>
      <c r="H12" s="141">
        <f>IFERROR((IFERROR(VLOOKUP(B12,'Machinery Input Tables'!$B$6:$AF$121,24,FALSE),0)+VLOOKUP(C12,'Machinery Input Tables'!$AH$6:$BA$30,20,FALSE))*IF(IFERROR(VLOOKUP(B12,'Machinery Input Tables'!$B$6:$AF$121,13,FALSE)='Machinery Input Tables'!$N$128,1),1,VLOOKUP(B12,'Machinery Input Tables'!$B$6:$AF$121,28,FALSE))*D12,"-")</f>
        <v>14.199056463772342</v>
      </c>
      <c r="I12" s="152">
        <f t="shared" si="0"/>
        <v>24.18523198161342</v>
      </c>
      <c r="J12" s="152"/>
    </row>
    <row r="13" spans="1:10" ht="16.5">
      <c r="B13" s="300" t="s">
        <v>870</v>
      </c>
      <c r="C13" s="300" t="s">
        <v>804</v>
      </c>
      <c r="D13" s="301">
        <v>1</v>
      </c>
      <c r="E13" s="141">
        <f>IFERROR(IF(ISBLANK(C13),"",IF(OR(ISBLANK(B13),IFERROR(VLOOKUP(B13,'Machinery Input Tables'!$B$6:$AF$121,13,FALSE),"")='Machinery Input Tables'!$N$128),1,VLOOKUP(B13,'Machinery Input Tables'!$B$6:$AF$121,28,FALSE))*VLOOKUP(C13,'Machinery Input Tables'!$AH$6:$BA$30,19,FALSE))*D13,"-")</f>
        <v>1.8246031746031743</v>
      </c>
      <c r="F13" s="141">
        <f>IFERROR(IF(AND(ISBLANK(B13)*ISBLANK(C13)),"",IF(ISBLANK(B13),1,IF(VLOOKUP(B13,'Machinery Input Tables'!$B$6:$AF$121,13,FALSE)='Machinery Input Tables'!$N$128,VLOOKUP(B13,'Machinery Input Tables'!$B$6:$AF$121,17,FALSE),VLOOKUP(B13,'Machinery Input Tables'!$B$6:$AF$121,28,FALSE))))*D13,"-")</f>
        <v>0.17460317460317459</v>
      </c>
      <c r="G13" s="152">
        <f>IFERROR(IF(ISBLANK(C13),"",E13*'Machinery Input Tables'!$BP$10+F13*'Machinery Input Tables'!$BP$6+(VLOOKUP(C13,'Machinery Input Tables'!$AH$6:$BA$30,18,FALSE)*IF(IFERROR(VLOOKUP(B13,'Machinery Input Tables'!$B$6:$AF$121,13,FALSE)='Machinery Input Tables'!$N$128,1),1,VLOOKUP(B13,'Machinery Input Tables'!$B$6:$AF$121,28,FALSE))+IFERROR(VLOOKUP(B13,'Machinery Input Tables'!$B$6:$AF$121,27,FALSE),0))*D13),"-")</f>
        <v>25.231700551805574</v>
      </c>
      <c r="H13" s="141">
        <f>IFERROR((IFERROR(VLOOKUP(B13,'Machinery Input Tables'!$B$6:$AF$121,24,FALSE),0)+VLOOKUP(C13,'Machinery Input Tables'!$AH$6:$BA$30,20,FALSE))*IF(IFERROR(VLOOKUP(B13,'Machinery Input Tables'!$B$6:$AF$121,13,FALSE)='Machinery Input Tables'!$N$128,1),1,VLOOKUP(B13,'Machinery Input Tables'!$B$6:$AF$121,28,FALSE))*D13,"-")</f>
        <v>35.851657280157099</v>
      </c>
      <c r="I13" s="152">
        <f t="shared" si="0"/>
        <v>61.083357831962672</v>
      </c>
      <c r="J13" s="152"/>
    </row>
    <row r="14" spans="1:10" ht="16.5">
      <c r="B14" s="300" t="s">
        <v>806</v>
      </c>
      <c r="C14" s="300" t="s">
        <v>881</v>
      </c>
      <c r="D14" s="301">
        <v>0.05</v>
      </c>
      <c r="E14" s="141">
        <f>IFERROR(IF(ISBLANK(C14),"",IF(OR(ISBLANK(B14),IFERROR(VLOOKUP(B14,'Machinery Input Tables'!$B$6:$AF$121,13,FALSE),"")='Machinery Input Tables'!$N$128),1,VLOOKUP(B14,'Machinery Input Tables'!$B$6:$AF$121,28,FALSE))*VLOOKUP(C14,'Machinery Input Tables'!$AH$6:$BA$30,19,FALSE))*D14,"-")</f>
        <v>0.43999999999999995</v>
      </c>
      <c r="F14" s="141">
        <f>IFERROR(IF(AND(ISBLANK(B14)*ISBLANK(C14)),"",IF(ISBLANK(B14),1,IF(VLOOKUP(B14,'Machinery Input Tables'!$B$6:$AF$121,13,FALSE)='Machinery Input Tables'!$N$128,VLOOKUP(B14,'Machinery Input Tables'!$B$6:$AF$121,17,FALSE),VLOOKUP(B14,'Machinery Input Tables'!$B$6:$AF$121,28,FALSE))))*D14,"-")</f>
        <v>5.5500000000000008E-2</v>
      </c>
      <c r="G14" s="152">
        <f>IFERROR(IF(ISBLANK(C14),"",E14*'Machinery Input Tables'!$BP$10+F14*'Machinery Input Tables'!$BP$6+(VLOOKUP(C14,'Machinery Input Tables'!$AH$6:$BA$30,18,FALSE)*IF(IFERROR(VLOOKUP(B14,'Machinery Input Tables'!$B$6:$AF$121,13,FALSE)='Machinery Input Tables'!$N$128,1),1,VLOOKUP(B14,'Machinery Input Tables'!$B$6:$AF$121,28,FALSE))+IFERROR(VLOOKUP(B14,'Machinery Input Tables'!$B$6:$AF$121,27,FALSE),0))*D14),"-")</f>
        <v>5.5251596344634999</v>
      </c>
      <c r="H14" s="141">
        <f>IFERROR((IFERROR(VLOOKUP(B14,'Machinery Input Tables'!$B$6:$AF$121,24,FALSE),0)+VLOOKUP(C14,'Machinery Input Tables'!$AH$6:$BA$30,20,FALSE))*IF(IFERROR(VLOOKUP(B14,'Machinery Input Tables'!$B$6:$AF$121,13,FALSE)='Machinery Input Tables'!$N$128,1),1,VLOOKUP(B14,'Machinery Input Tables'!$B$6:$AF$121,28,FALSE))*D14,"-")</f>
        <v>6.9239420292434888</v>
      </c>
      <c r="I14" s="152">
        <f t="shared" si="0"/>
        <v>12.449101663706989</v>
      </c>
      <c r="J14" s="152"/>
    </row>
    <row r="15" spans="1:10" ht="16.5">
      <c r="B15" s="300"/>
      <c r="C15" s="300" t="s">
        <v>799</v>
      </c>
      <c r="D15" s="301">
        <v>0.11</v>
      </c>
      <c r="E15" s="141">
        <f>IFERROR(IF(ISBLANK(C15),"",IF(OR(ISBLANK(B15),IFERROR(VLOOKUP(B15,'Machinery Input Tables'!$B$6:$AF$121,13,FALSE),"")='Machinery Input Tables'!$N$128),1,VLOOKUP(B15,'Machinery Input Tables'!$B$6:$AF$121,28,FALSE))*VLOOKUP(C15,'Machinery Input Tables'!$AH$6:$BA$30,19,FALSE))*D15,"-")</f>
        <v>0.53625</v>
      </c>
      <c r="F15" s="141">
        <f>IFERROR(IF(AND(ISBLANK(B15)*ISBLANK(C15)),"",IF(ISBLANK(B15),1,IF(VLOOKUP(B15,'Machinery Input Tables'!$B$6:$AF$121,13,FALSE)='Machinery Input Tables'!$N$128,VLOOKUP(B15,'Machinery Input Tables'!$B$6:$AF$121,17,FALSE),VLOOKUP(B15,'Machinery Input Tables'!$B$6:$AF$121,28,FALSE))))*D15,"-")</f>
        <v>0.11</v>
      </c>
      <c r="G15" s="152">
        <f>IFERROR(IF(ISBLANK(C15),"",E15*'Machinery Input Tables'!$BP$10+F15*'Machinery Input Tables'!$BP$6+(VLOOKUP(C15,'Machinery Input Tables'!$AH$6:$BA$30,18,FALSE)*IF(IFERROR(VLOOKUP(B15,'Machinery Input Tables'!$B$6:$AF$121,13,FALSE)='Machinery Input Tables'!$N$128,1),1,VLOOKUP(B15,'Machinery Input Tables'!$B$6:$AF$121,28,FALSE))+IFERROR(VLOOKUP(B15,'Machinery Input Tables'!$B$6:$AF$121,27,FALSE),0))*D15),"-")</f>
        <v>5.1051458333333333</v>
      </c>
      <c r="H15" s="141">
        <f>IFERROR((IFERROR(VLOOKUP(B15,'Machinery Input Tables'!$B$6:$AF$121,24,FALSE),0)+VLOOKUP(C15,'Machinery Input Tables'!$AH$6:$BA$30,20,FALSE))*IF(IFERROR(VLOOKUP(B15,'Machinery Input Tables'!$B$6:$AF$121,13,FALSE)='Machinery Input Tables'!$N$128,1),1,VLOOKUP(B15,'Machinery Input Tables'!$B$6:$AF$121,28,FALSE))*D15,"-")</f>
        <v>1.5918307004015182</v>
      </c>
      <c r="I15" s="152">
        <f t="shared" si="0"/>
        <v>6.6969765337348512</v>
      </c>
      <c r="J15" s="152"/>
    </row>
    <row r="16" spans="1:10" ht="16.5">
      <c r="B16" s="300" t="s">
        <v>800</v>
      </c>
      <c r="C16" s="300" t="s">
        <v>803</v>
      </c>
      <c r="D16" s="301">
        <v>0.05</v>
      </c>
      <c r="E16" s="141" t="str">
        <f>IFERROR(IF(ISBLANK(C16),"",IF(OR(ISBLANK(B16),IFERROR(VLOOKUP(B16,'Machinery Input Tables'!$B$6:$AF$121,13,FALSE),"")='Machinery Input Tables'!$N$128),1,VLOOKUP(B16,'Machinery Input Tables'!$B$6:$AF$121,28,FALSE))*VLOOKUP(C16,'Machinery Input Tables'!$AH$6:$BA$30,19,FALSE))*D16,"-")</f>
        <v>-</v>
      </c>
      <c r="F16" s="141" t="str">
        <f>IFERROR(IF(AND(ISBLANK(B16)*ISBLANK(C16)),"",IF(ISBLANK(B16),1,IF(VLOOKUP(B16,'Machinery Input Tables'!$B$6:$AF$121,13,FALSE)='Machinery Input Tables'!$N$128,VLOOKUP(B16,'Machinery Input Tables'!$B$6:$AF$121,17,FALSE),VLOOKUP(B16,'Machinery Input Tables'!$B$6:$AF$121,28,FALSE))))*D16,"-")</f>
        <v>-</v>
      </c>
      <c r="G16" s="152" t="str">
        <f>IFERROR(IF(ISBLANK(C16),"",E16*'Machinery Input Tables'!$BP$10+F16*'Machinery Input Tables'!$BP$6+(VLOOKUP(C16,'Machinery Input Tables'!$AH$6:$BA$30,18,FALSE)*IF(IFERROR(VLOOKUP(B16,'Machinery Input Tables'!$B$6:$AF$121,13,FALSE)='Machinery Input Tables'!$N$128,1),1,VLOOKUP(B16,'Machinery Input Tables'!$B$6:$AF$121,28,FALSE))+IFERROR(VLOOKUP(B16,'Machinery Input Tables'!$B$6:$AF$121,27,FALSE),0))*D16),"-")</f>
        <v>-</v>
      </c>
      <c r="H16" s="141">
        <f>IFERROR((IFERROR(VLOOKUP(B16,'Machinery Input Tables'!$B$6:$AF$121,24,FALSE),0)+VLOOKUP(C16,'Machinery Input Tables'!$AH$6:$BA$30,20,FALSE))*IF(IFERROR(VLOOKUP(B16,'Machinery Input Tables'!$B$6:$AF$121,13,FALSE)='Machinery Input Tables'!$N$128,1),1,VLOOKUP(B16,'Machinery Input Tables'!$B$6:$AF$121,28,FALSE))*D16,"-")</f>
        <v>2.0296807880304071</v>
      </c>
      <c r="I16" s="152">
        <f t="shared" si="0"/>
        <v>2.0296807880304071</v>
      </c>
      <c r="J16" s="152"/>
    </row>
    <row r="17" spans="2:10" ht="16.5">
      <c r="B17" s="302"/>
      <c r="C17" s="302" t="s">
        <v>765</v>
      </c>
      <c r="D17" s="303">
        <v>0.2</v>
      </c>
      <c r="E17" s="161">
        <f>IFERROR(IF(ISBLANK(C17),"",IF(OR(ISBLANK(B17),IFERROR(VLOOKUP(B17,'Machinery Input Tables'!$B$6:$AF$121,13,FALSE),"")='Machinery Input Tables'!$N$128),1,VLOOKUP(B17,'Machinery Input Tables'!$B$6:$AF$121,28,FALSE))*VLOOKUP(C17,'Machinery Input Tables'!$AH$6:$BA$30,19,FALSE))*D17,"-")</f>
        <v>0.60000000000000009</v>
      </c>
      <c r="F17" s="161">
        <f>IFERROR(IF(AND(ISBLANK(B17)*ISBLANK(C17)),"",IF(ISBLANK(B17),1,IF(VLOOKUP(B17,'Machinery Input Tables'!$B$6:$AF$121,13,FALSE)='Machinery Input Tables'!$N$128,VLOOKUP(B17,'Machinery Input Tables'!$B$6:$AF$121,17,FALSE),VLOOKUP(B17,'Machinery Input Tables'!$B$6:$AF$121,28,FALSE))))*D17,"-")</f>
        <v>0.2</v>
      </c>
      <c r="G17" s="162">
        <f>IFERROR(IF(ISBLANK(C17),"",E17*'Machinery Input Tables'!$BP$10+F17*'Machinery Input Tables'!$BP$6+(VLOOKUP(C17,'Machinery Input Tables'!$AH$6:$BA$30,18,FALSE)*IF(IFERROR(VLOOKUP(B17,'Machinery Input Tables'!$B$6:$AF$121,13,FALSE)='Machinery Input Tables'!$N$128,1),1,VLOOKUP(B17,'Machinery Input Tables'!$B$6:$AF$121,28,FALSE))+IFERROR(VLOOKUP(B17,'Machinery Input Tables'!$B$6:$AF$121,27,FALSE),0))*D17),"-")</f>
        <v>10.686842105263159</v>
      </c>
      <c r="H17" s="161">
        <f>IFERROR((IFERROR(VLOOKUP(B17,'Machinery Input Tables'!$B$6:$AF$121,24,FALSE),0)+VLOOKUP(C17,'Machinery Input Tables'!$AH$6:$BA$30,20,FALSE))*IF(IFERROR(VLOOKUP(B17,'Machinery Input Tables'!$B$6:$AF$121,13,FALSE)='Machinery Input Tables'!$N$128,1),1,VLOOKUP(B17,'Machinery Input Tables'!$B$6:$AF$121,28,FALSE))*D17,"-")</f>
        <v>4.3284407717677809</v>
      </c>
      <c r="I17" s="162">
        <f t="shared" si="0"/>
        <v>15.015282877030939</v>
      </c>
      <c r="J17" s="164"/>
    </row>
    <row r="18" spans="2:10" ht="16.5">
      <c r="B18" s="149"/>
      <c r="C18" s="163" t="s">
        <v>31</v>
      </c>
      <c r="D18" s="255"/>
      <c r="E18" s="164">
        <f>SUM(E8:E17)</f>
        <v>7.0693245631585953</v>
      </c>
      <c r="F18" s="164">
        <f>SUM(F8:F17)</f>
        <v>0.9982114179004935</v>
      </c>
      <c r="G18" s="164">
        <f>SUM(G8:G17)</f>
        <v>88.894352376562068</v>
      </c>
      <c r="H18" s="164">
        <f>SUM(H8:H17)</f>
        <v>112.50504397848755</v>
      </c>
      <c r="I18" s="164">
        <f>SUM(I8:I17)</f>
        <v>201.39939635504959</v>
      </c>
    </row>
    <row r="19" spans="2:10" ht="14.25" customHeight="1">
      <c r="B19" s="149"/>
      <c r="C19" s="163"/>
      <c r="D19" s="164"/>
      <c r="E19" s="164"/>
      <c r="F19" s="164"/>
      <c r="G19" s="164"/>
      <c r="H19" s="164"/>
      <c r="I19" s="164"/>
    </row>
    <row r="20" spans="2:10" ht="16.5">
      <c r="B20" s="329" t="s">
        <v>828</v>
      </c>
      <c r="C20" s="329"/>
      <c r="D20" s="329"/>
      <c r="E20" s="329"/>
      <c r="F20" s="329"/>
      <c r="G20" s="329"/>
      <c r="H20" s="329"/>
      <c r="I20" s="329"/>
    </row>
    <row r="21" spans="2:10" ht="16.5">
      <c r="B21" s="326" t="s">
        <v>535</v>
      </c>
      <c r="C21" s="328" t="s">
        <v>536</v>
      </c>
      <c r="D21" s="261" t="s">
        <v>15</v>
      </c>
      <c r="E21" s="328" t="s">
        <v>537</v>
      </c>
      <c r="F21" s="328" t="s">
        <v>538</v>
      </c>
      <c r="G21" s="144" t="s">
        <v>539</v>
      </c>
      <c r="H21" s="144" t="s">
        <v>540</v>
      </c>
      <c r="I21" s="330" t="s">
        <v>541</v>
      </c>
    </row>
    <row r="22" spans="2:10" ht="16.5">
      <c r="B22" s="327"/>
      <c r="C22" s="329"/>
      <c r="D22" s="262" t="s">
        <v>810</v>
      </c>
      <c r="E22" s="329"/>
      <c r="F22" s="329"/>
      <c r="G22" s="142" t="s">
        <v>554</v>
      </c>
      <c r="H22" s="142" t="s">
        <v>554</v>
      </c>
      <c r="I22" s="331"/>
    </row>
    <row r="23" spans="2:10" ht="16.5">
      <c r="B23" s="149"/>
      <c r="C23" s="149"/>
      <c r="D23" s="150" t="s">
        <v>560</v>
      </c>
      <c r="E23" s="150" t="s">
        <v>557</v>
      </c>
      <c r="F23" s="150" t="s">
        <v>558</v>
      </c>
      <c r="G23" s="150" t="s">
        <v>559</v>
      </c>
      <c r="H23" s="150" t="s">
        <v>559</v>
      </c>
      <c r="I23" s="150" t="s">
        <v>561</v>
      </c>
    </row>
    <row r="24" spans="2:10" ht="16.5">
      <c r="B24" s="300" t="s">
        <v>807</v>
      </c>
      <c r="C24" s="300" t="s">
        <v>801</v>
      </c>
      <c r="D24" s="301">
        <v>1</v>
      </c>
      <c r="E24" s="141">
        <f>IFERROR(IF(ISBLANK(C24),"",IF(OR(ISBLANK(B24),IFERROR(VLOOKUP(B24,'Machinery Input Tables'!$B$6:$AF$121,13,FALSE),"")='Machinery Input Tables'!$N$128),1,VLOOKUP(B24,'Machinery Input Tables'!$B$6:$AF$121,28,FALSE))*VLOOKUP(C24,'Machinery Input Tables'!$AH$6:$BA$30,19,FALSE))*D24,"-")</f>
        <v>0.82714843749999978</v>
      </c>
      <c r="F24" s="141">
        <f>IFERROR(IF(AND(ISBLANK(B24)*ISBLANK(C24)),"",IF(ISBLANK(B24),1,IF(VLOOKUP(B24,'Machinery Input Tables'!$B$6:$AF$121,13,FALSE)='Machinery Input Tables'!$N$128,VLOOKUP(B24,'Machinery Input Tables'!$B$6:$AF$121,17,FALSE),VLOOKUP(B24,'Machinery Input Tables'!$B$6:$AF$121,28,FALSE))))*D24,"-")</f>
        <v>5.3710937499999993E-2</v>
      </c>
      <c r="G24" s="152">
        <f>IFERROR(IF(ISBLANK(C24),"",E24*'Machinery Input Tables'!$BP$10+F24*'Machinery Input Tables'!$BP$6+(VLOOKUP(C24,'Machinery Input Tables'!$AH$6:$BA$30,18,FALSE)*IF(IFERROR(VLOOKUP(B24,'Machinery Input Tables'!$B$6:$AF$121,13,FALSE)='Machinery Input Tables'!$N$128,1),1,VLOOKUP(B24,'Machinery Input Tables'!$B$6:$AF$121,28,FALSE))+IFERROR(VLOOKUP(B24,'Machinery Input Tables'!$B$6:$AF$121,27,FALSE),0))*D24),"-")</f>
        <v>7.5686817442480105</v>
      </c>
      <c r="H24" s="141">
        <f>IFERROR((IFERROR(VLOOKUP(B24,'Machinery Input Tables'!$B$6:$AF$121,24,FALSE),0)+VLOOKUP(C24,'Machinery Input Tables'!$AH$6:$BA$30,20,FALSE))*IF(IFERROR(VLOOKUP(B24,'Machinery Input Tables'!$B$6:$AF$121,13,FALSE)='Machinery Input Tables'!$N$128,1),1,VLOOKUP(B24,'Machinery Input Tables'!$B$6:$AF$121,28,FALSE))*D24,"-")</f>
        <v>10.594328870449727</v>
      </c>
      <c r="I24" s="152">
        <f>IFERROR(IF(ISBLANK(AND(B24,C24)),"",SUM(G24:H24)),"-")</f>
        <v>18.16301061469774</v>
      </c>
    </row>
    <row r="25" spans="2:10" ht="16.5">
      <c r="B25" s="300" t="s">
        <v>808</v>
      </c>
      <c r="C25" s="300" t="s">
        <v>801</v>
      </c>
      <c r="D25" s="301">
        <v>1</v>
      </c>
      <c r="E25" s="141">
        <f>IFERROR(IF(ISBLANK(C25),"",IF(OR(ISBLANK(B25),IFERROR(VLOOKUP(B25,'Machinery Input Tables'!$B$6:$AF$121,13,FALSE),"")='Machinery Input Tables'!$N$128),1,VLOOKUP(B25,'Machinery Input Tables'!$B$6:$AF$121,28,FALSE))*VLOOKUP(C25,'Machinery Input Tables'!$AH$6:$BA$30,19,FALSE))*D25,"-")</f>
        <v>0.50840336134453779</v>
      </c>
      <c r="F25" s="141">
        <f>IFERROR(IF(AND(ISBLANK(B25)*ISBLANK(C25)),"",IF(ISBLANK(B25),1,IF(VLOOKUP(B25,'Machinery Input Tables'!$B$6:$AF$121,13,FALSE)='Machinery Input Tables'!$N$128,VLOOKUP(B25,'Machinery Input Tables'!$B$6:$AF$121,17,FALSE),VLOOKUP(B25,'Machinery Input Tables'!$B$6:$AF$121,28,FALSE))))*D25,"-")</f>
        <v>3.3013205282112844E-2</v>
      </c>
      <c r="G25" s="152">
        <f>IFERROR(IF(ISBLANK(C25),"",E25*'Machinery Input Tables'!$BP$10+F25*'Machinery Input Tables'!$BP$6+(VLOOKUP(C25,'Machinery Input Tables'!$AH$6:$BA$30,18,FALSE)*IF(IFERROR(VLOOKUP(B25,'Machinery Input Tables'!$B$6:$AF$121,13,FALSE)='Machinery Input Tables'!$N$128,1),1,VLOOKUP(B25,'Machinery Input Tables'!$B$6:$AF$121,28,FALSE))+IFERROR(VLOOKUP(B25,'Machinery Input Tables'!$B$6:$AF$121,27,FALSE),0))*D25),"-")</f>
        <v>4.311313613743966</v>
      </c>
      <c r="H25" s="141">
        <f>IFERROR((IFERROR(VLOOKUP(B25,'Machinery Input Tables'!$B$6:$AF$121,24,FALSE),0)+VLOOKUP(C25,'Machinery Input Tables'!$AH$6:$BA$30,20,FALSE))*IF(IFERROR(VLOOKUP(B25,'Machinery Input Tables'!$B$6:$AF$121,13,FALSE)='Machinery Input Tables'!$N$128,1),1,VLOOKUP(B25,'Machinery Input Tables'!$B$6:$AF$121,28,FALSE))*D25,"-")</f>
        <v>5.8907332230838643</v>
      </c>
      <c r="I25" s="152">
        <f t="shared" ref="I25:I34" si="1">IFERROR(IF(ISBLANK(AND(B25,C25)),"",SUM(G25:H25)),"-")</f>
        <v>10.202046836827829</v>
      </c>
    </row>
    <row r="26" spans="2:10" ht="16.5">
      <c r="B26" s="300" t="s">
        <v>802</v>
      </c>
      <c r="C26" s="300" t="s">
        <v>763</v>
      </c>
      <c r="D26" s="301">
        <v>1</v>
      </c>
      <c r="E26" s="141">
        <f>IFERROR(IF(ISBLANK(C26),"",IF(OR(ISBLANK(B26),IFERROR(VLOOKUP(B26,'Machinery Input Tables'!$B$6:$AF$121,13,FALSE),"")='Machinery Input Tables'!$N$128),1,VLOOKUP(B26,'Machinery Input Tables'!$B$6:$AF$121,28,FALSE))*VLOOKUP(C26,'Machinery Input Tables'!$AH$6:$BA$30,19,FALSE))*D26,"-")</f>
        <v>0.73333333333333328</v>
      </c>
      <c r="F26" s="141">
        <f>IFERROR(IF(AND(ISBLANK(B26)*ISBLANK(C26)),"",IF(ISBLANK(B26),1,IF(VLOOKUP(B26,'Machinery Input Tables'!$B$6:$AF$121,13,FALSE)='Machinery Input Tables'!$N$128,VLOOKUP(B26,'Machinery Input Tables'!$B$6:$AF$121,17,FALSE),VLOOKUP(B26,'Machinery Input Tables'!$B$6:$AF$121,28,FALSE))))*D26,"-")</f>
        <v>5.9523809523809527E-2</v>
      </c>
      <c r="G26" s="152">
        <f>IFERROR(IF(ISBLANK(C26),"",E26*'Machinery Input Tables'!$BP$10+F26*'Machinery Input Tables'!$BP$6+(VLOOKUP(C26,'Machinery Input Tables'!$AH$6:$BA$30,18,FALSE)*IF(IFERROR(VLOOKUP(B26,'Machinery Input Tables'!$B$6:$AF$121,13,FALSE)='Machinery Input Tables'!$N$128,1),1,VLOOKUP(B26,'Machinery Input Tables'!$B$6:$AF$121,28,FALSE))+IFERROR(VLOOKUP(B26,'Machinery Input Tables'!$B$6:$AF$121,27,FALSE),0))*D26),"-")</f>
        <v>7.39962208167392</v>
      </c>
      <c r="H26" s="141">
        <f>IFERROR((IFERROR(VLOOKUP(B26,'Machinery Input Tables'!$B$6:$AF$121,24,FALSE),0)+VLOOKUP(C26,'Machinery Input Tables'!$AH$6:$BA$30,20,FALSE))*IF(IFERROR(VLOOKUP(B26,'Machinery Input Tables'!$B$6:$AF$121,13,FALSE)='Machinery Input Tables'!$N$128,1),1,VLOOKUP(B26,'Machinery Input Tables'!$B$6:$AF$121,28,FALSE))*D26,"-")</f>
        <v>8.2207352556140325</v>
      </c>
      <c r="I26" s="152">
        <f t="shared" si="1"/>
        <v>15.620357337287953</v>
      </c>
    </row>
    <row r="27" spans="2:10" ht="16.5">
      <c r="B27" s="300" t="s">
        <v>764</v>
      </c>
      <c r="C27" s="300" t="s">
        <v>763</v>
      </c>
      <c r="D27" s="301">
        <v>1</v>
      </c>
      <c r="E27" s="141">
        <f>IFERROR(IF(ISBLANK(C27),"",IF(OR(ISBLANK(B27),IFERROR(VLOOKUP(B27,'Machinery Input Tables'!$B$6:$AF$121,13,FALSE),"")='Machinery Input Tables'!$N$128),1,VLOOKUP(B27,'Machinery Input Tables'!$B$6:$AF$121,28,FALSE))*VLOOKUP(C27,'Machinery Input Tables'!$AH$6:$BA$30,19,FALSE))*D27,"-")</f>
        <v>0.65999999999999992</v>
      </c>
      <c r="F27" s="141">
        <f>IFERROR(IF(AND(ISBLANK(B27)*ISBLANK(C27)),"",IF(ISBLANK(B27),1,IF(VLOOKUP(B27,'Machinery Input Tables'!$B$6:$AF$121,13,FALSE)='Machinery Input Tables'!$N$128,VLOOKUP(B27,'Machinery Input Tables'!$B$6:$AF$121,17,FALSE),VLOOKUP(B27,'Machinery Input Tables'!$B$6:$AF$121,28,FALSE))))*D27,"-")</f>
        <v>5.3571428571428568E-2</v>
      </c>
      <c r="G27" s="152">
        <f>IFERROR(IF(ISBLANK(C27),"",E27*'Machinery Input Tables'!$BP$10+F27*'Machinery Input Tables'!$BP$6+(VLOOKUP(C27,'Machinery Input Tables'!$AH$6:$BA$30,18,FALSE)*IF(IFERROR(VLOOKUP(B27,'Machinery Input Tables'!$B$6:$AF$121,13,FALSE)='Machinery Input Tables'!$N$128,1),1,VLOOKUP(B27,'Machinery Input Tables'!$B$6:$AF$121,28,FALSE))+IFERROR(VLOOKUP(B27,'Machinery Input Tables'!$B$6:$AF$121,27,FALSE),0))*D27),"-")</f>
        <v>10.315987687271134</v>
      </c>
      <c r="H27" s="141">
        <f>IFERROR((IFERROR(VLOOKUP(B27,'Machinery Input Tables'!$B$6:$AF$121,24,FALSE),0)+VLOOKUP(C27,'Machinery Input Tables'!$AH$6:$BA$30,20,FALSE))*IF(IFERROR(VLOOKUP(B27,'Machinery Input Tables'!$B$6:$AF$121,13,FALSE)='Machinery Input Tables'!$N$128,1),1,VLOOKUP(B27,'Machinery Input Tables'!$B$6:$AF$121,28,FALSE))*D27,"-")</f>
        <v>15.04263219469928</v>
      </c>
      <c r="I27" s="152">
        <f t="shared" si="1"/>
        <v>25.358619881970412</v>
      </c>
    </row>
    <row r="28" spans="2:10" ht="16.5">
      <c r="B28" s="300" t="s">
        <v>798</v>
      </c>
      <c r="C28" s="300" t="s">
        <v>803</v>
      </c>
      <c r="D28" s="301">
        <v>2</v>
      </c>
      <c r="E28" s="141">
        <f>IFERROR(IF(ISBLANK(C28),"",IF(OR(ISBLANK(B28),IFERROR(VLOOKUP(B28,'Machinery Input Tables'!$B$6:$AF$121,13,FALSE),"")='Machinery Input Tables'!$N$128),1,VLOOKUP(B28,'Machinery Input Tables'!$B$6:$AF$121,28,FALSE))*VLOOKUP(C28,'Machinery Input Tables'!$AH$6:$BA$30,19,FALSE))*D28,"-")</f>
        <v>0.16385416666666666</v>
      </c>
      <c r="F28" s="141">
        <f>IFERROR(IF(AND(ISBLANK(B28)*ISBLANK(C28)),"",IF(ISBLANK(B28),1,IF(VLOOKUP(B28,'Machinery Input Tables'!$B$6:$AF$121,13,FALSE)='Machinery Input Tables'!$N$128,VLOOKUP(B28,'Machinery Input Tables'!$B$6:$AF$121,17,FALSE),VLOOKUP(B28,'Machinery Input Tables'!$B$6:$AF$121,28,FALSE))))*D28,"-")</f>
        <v>2.8645833333333332E-2</v>
      </c>
      <c r="G28" s="152">
        <f>IFERROR(IF(ISBLANK(C28),"",E28*'Machinery Input Tables'!$BP$10+F28*'Machinery Input Tables'!$BP$6+(VLOOKUP(C28,'Machinery Input Tables'!$AH$6:$BA$30,18,FALSE)*IF(IFERROR(VLOOKUP(B28,'Machinery Input Tables'!$B$6:$AF$121,13,FALSE)='Machinery Input Tables'!$N$128,1),1,VLOOKUP(B28,'Machinery Input Tables'!$B$6:$AF$121,28,FALSE))+IFERROR(VLOOKUP(B28,'Machinery Input Tables'!$B$6:$AF$121,27,FALSE),0))*D28),"-")</f>
        <v>2.3160556423628984</v>
      </c>
      <c r="H28" s="141">
        <f>IFERROR((IFERROR(VLOOKUP(B28,'Machinery Input Tables'!$B$6:$AF$121,24,FALSE),0)+VLOOKUP(C28,'Machinery Input Tables'!$AH$6:$BA$30,20,FALSE))*IF(IFERROR(VLOOKUP(B28,'Machinery Input Tables'!$B$6:$AF$121,13,FALSE)='Machinery Input Tables'!$N$128,1),1,VLOOKUP(B28,'Machinery Input Tables'!$B$6:$AF$121,28,FALSE))*D28,"-")</f>
        <v>2.0241260734095912</v>
      </c>
      <c r="I28" s="152">
        <f t="shared" si="1"/>
        <v>4.3401817157724896</v>
      </c>
    </row>
    <row r="29" spans="2:10" ht="16.5">
      <c r="B29" s="300" t="s">
        <v>809</v>
      </c>
      <c r="C29" s="300" t="s">
        <v>804</v>
      </c>
      <c r="D29" s="301">
        <v>1</v>
      </c>
      <c r="E29" s="141">
        <f>IFERROR(IF(ISBLANK(C29),"",IF(OR(ISBLANK(B29),IFERROR(VLOOKUP(B29,'Machinery Input Tables'!$B$6:$AF$121,13,FALSE),"")='Machinery Input Tables'!$N$128),1,VLOOKUP(B29,'Machinery Input Tables'!$B$6:$AF$121,28,FALSE))*VLOOKUP(C29,'Machinery Input Tables'!$AH$6:$BA$30,19,FALSE))*D29,"-")</f>
        <v>1.368452380952381</v>
      </c>
      <c r="F29" s="141">
        <f>IFERROR(IF(AND(ISBLANK(B29)*ISBLANK(C29)),"",IF(ISBLANK(B29),1,IF(VLOOKUP(B29,'Machinery Input Tables'!$B$6:$AF$121,13,FALSE)='Machinery Input Tables'!$N$128,VLOOKUP(B29,'Machinery Input Tables'!$B$6:$AF$121,17,FALSE),VLOOKUP(B29,'Machinery Input Tables'!$B$6:$AF$121,28,FALSE))))*D29,"-")</f>
        <v>0.13095238095238096</v>
      </c>
      <c r="G29" s="152">
        <f>IFERROR(IF(ISBLANK(C29),"",E29*'Machinery Input Tables'!$BP$10+F29*'Machinery Input Tables'!$BP$6+(VLOOKUP(C29,'Machinery Input Tables'!$AH$6:$BA$30,18,FALSE)*IF(IFERROR(VLOOKUP(B29,'Machinery Input Tables'!$B$6:$AF$121,13,FALSE)='Machinery Input Tables'!$N$128,1),1,VLOOKUP(B29,'Machinery Input Tables'!$B$6:$AF$121,28,FALSE))+IFERROR(VLOOKUP(B29,'Machinery Input Tables'!$B$6:$AF$121,27,FALSE),0))*D29),"-")</f>
        <v>19.987082044831126</v>
      </c>
      <c r="H29" s="141">
        <f>IFERROR((IFERROR(VLOOKUP(B29,'Machinery Input Tables'!$B$6:$AF$121,24,FALSE),0)+VLOOKUP(C29,'Machinery Input Tables'!$AH$6:$BA$30,20,FALSE))*IF(IFERROR(VLOOKUP(B29,'Machinery Input Tables'!$B$6:$AF$121,13,FALSE)='Machinery Input Tables'!$N$128,1),1,VLOOKUP(B29,'Machinery Input Tables'!$B$6:$AF$121,28,FALSE))*D29,"-")</f>
        <v>30.34908050745798</v>
      </c>
      <c r="I29" s="152">
        <f t="shared" si="1"/>
        <v>50.33616255228911</v>
      </c>
    </row>
    <row r="30" spans="2:10" ht="16.5">
      <c r="B30" s="300" t="s">
        <v>806</v>
      </c>
      <c r="C30" s="300" t="s">
        <v>763</v>
      </c>
      <c r="D30" s="301">
        <v>0.06</v>
      </c>
      <c r="E30" s="141">
        <f>IFERROR(IF(ISBLANK(C30),"",IF(OR(ISBLANK(B30),IFERROR(VLOOKUP(B30,'Machinery Input Tables'!$B$6:$AF$121,13,FALSE),"")='Machinery Input Tables'!$N$128),1,VLOOKUP(B30,'Machinery Input Tables'!$B$6:$AF$121,28,FALSE))*VLOOKUP(C30,'Machinery Input Tables'!$AH$6:$BA$30,19,FALSE))*D30,"-")</f>
        <v>0.73919999999999986</v>
      </c>
      <c r="F30" s="141">
        <f>IFERROR(IF(AND(ISBLANK(B30)*ISBLANK(C30)),"",IF(ISBLANK(B30),1,IF(VLOOKUP(B30,'Machinery Input Tables'!$B$6:$AF$121,13,FALSE)='Machinery Input Tables'!$N$128,VLOOKUP(B30,'Machinery Input Tables'!$B$6:$AF$121,17,FALSE),VLOOKUP(B30,'Machinery Input Tables'!$B$6:$AF$121,28,FALSE))))*D30,"-")</f>
        <v>6.6600000000000006E-2</v>
      </c>
      <c r="G30" s="152">
        <f>IFERROR(IF(ISBLANK(C30),"",E30*'Machinery Input Tables'!$BP$10+F30*'Machinery Input Tables'!$BP$6+(VLOOKUP(C30,'Machinery Input Tables'!$AH$6:$BA$30,18,FALSE)*IF(IFERROR(VLOOKUP(B30,'Machinery Input Tables'!$B$6:$AF$121,13,FALSE)='Machinery Input Tables'!$N$128,1),1,VLOOKUP(B30,'Machinery Input Tables'!$B$6:$AF$121,28,FALSE))+IFERROR(VLOOKUP(B30,'Machinery Input Tables'!$B$6:$AF$121,27,FALSE),0))*D30),"-")</f>
        <v>7.4099248946895333</v>
      </c>
      <c r="H30" s="141">
        <f>IFERROR((IFERROR(VLOOKUP(B30,'Machinery Input Tables'!$B$6:$AF$121,24,FALSE),0)+VLOOKUP(C30,'Machinery Input Tables'!$AH$6:$BA$30,20,FALSE))*IF(IFERROR(VLOOKUP(B30,'Machinery Input Tables'!$B$6:$AF$121,13,FALSE)='Machinery Input Tables'!$N$128,1),1,VLOOKUP(B30,'Machinery Input Tables'!$B$6:$AF$121,28,FALSE))*D30,"-")</f>
        <v>8.7439014270392299</v>
      </c>
      <c r="I30" s="152">
        <f t="shared" si="1"/>
        <v>16.153826321728765</v>
      </c>
    </row>
    <row r="31" spans="2:10" ht="16.5">
      <c r="B31" s="300" t="s">
        <v>782</v>
      </c>
      <c r="C31" s="300" t="s">
        <v>783</v>
      </c>
      <c r="D31" s="301">
        <v>0.14000000000000001</v>
      </c>
      <c r="E31" s="141">
        <f>IFERROR(IF(ISBLANK(C31),"",IF(OR(ISBLANK(B31),IFERROR(VLOOKUP(B31,'Machinery Input Tables'!$B$6:$AF$121,13,FALSE),"")='Machinery Input Tables'!$N$128),1,VLOOKUP(B31,'Machinery Input Tables'!$B$6:$AF$121,28,FALSE))*VLOOKUP(C31,'Machinery Input Tables'!$AH$6:$BA$30,19,FALSE))*D31,"-")</f>
        <v>0.99750000000000005</v>
      </c>
      <c r="F31" s="141">
        <f>IFERROR(IF(AND(ISBLANK(B31)*ISBLANK(C31)),"",IF(ISBLANK(B31),1,IF(VLOOKUP(B31,'Machinery Input Tables'!$B$6:$AF$121,13,FALSE)='Machinery Input Tables'!$N$128,VLOOKUP(B31,'Machinery Input Tables'!$B$6:$AF$121,17,FALSE),VLOOKUP(B31,'Machinery Input Tables'!$B$6:$AF$121,28,FALSE))))*D31,"-")</f>
        <v>0.15400000000000003</v>
      </c>
      <c r="G31" s="152">
        <f>IFERROR(IF(ISBLANK(C31),"",E31*'Machinery Input Tables'!$BP$10+F31*'Machinery Input Tables'!$BP$6+(VLOOKUP(C31,'Machinery Input Tables'!$AH$6:$BA$30,18,FALSE)*IF(IFERROR(VLOOKUP(B31,'Machinery Input Tables'!$B$6:$AF$121,13,FALSE)='Machinery Input Tables'!$N$128,1),1,VLOOKUP(B31,'Machinery Input Tables'!$B$6:$AF$121,28,FALSE))+IFERROR(VLOOKUP(B31,'Machinery Input Tables'!$B$6:$AF$121,27,FALSE),0))*D31),"-")</f>
        <v>9.9072278850224009</v>
      </c>
      <c r="H31" s="141">
        <f>IFERROR((IFERROR(VLOOKUP(B31,'Machinery Input Tables'!$B$6:$AF$121,24,FALSE),0)+VLOOKUP(C31,'Machinery Input Tables'!$AH$6:$BA$30,20,FALSE))*IF(IFERROR(VLOOKUP(B31,'Machinery Input Tables'!$B$6:$AF$121,13,FALSE)='Machinery Input Tables'!$N$128,1),1,VLOOKUP(B31,'Machinery Input Tables'!$B$6:$AF$121,28,FALSE))*D31,"-")</f>
        <v>4.5419419948390516</v>
      </c>
      <c r="I31" s="152">
        <f t="shared" si="1"/>
        <v>14.449169879861453</v>
      </c>
    </row>
    <row r="32" spans="2:10" ht="16.5">
      <c r="B32" s="300"/>
      <c r="C32" s="300" t="s">
        <v>799</v>
      </c>
      <c r="D32" s="301">
        <v>0.14000000000000001</v>
      </c>
      <c r="E32" s="141">
        <f>IFERROR(IF(ISBLANK(C32),"",IF(OR(ISBLANK(B32),IFERROR(VLOOKUP(B32,'Machinery Input Tables'!$B$6:$AF$121,13,FALSE),"")='Machinery Input Tables'!$N$128),1,VLOOKUP(B32,'Machinery Input Tables'!$B$6:$AF$121,28,FALSE))*VLOOKUP(C32,'Machinery Input Tables'!$AH$6:$BA$30,19,FALSE))*D32,"-")</f>
        <v>0.68250000000000011</v>
      </c>
      <c r="F32" s="141">
        <f>IFERROR(IF(AND(ISBLANK(B32)*ISBLANK(C32)),"",IF(ISBLANK(B32),1,IF(VLOOKUP(B32,'Machinery Input Tables'!$B$6:$AF$121,13,FALSE)='Machinery Input Tables'!$N$128,VLOOKUP(B32,'Machinery Input Tables'!$B$6:$AF$121,17,FALSE),VLOOKUP(B32,'Machinery Input Tables'!$B$6:$AF$121,28,FALSE))))*D32,"-")</f>
        <v>0.14000000000000001</v>
      </c>
      <c r="G32" s="152">
        <f>IFERROR(IF(ISBLANK(C32),"",E32*'Machinery Input Tables'!$BP$10+F32*'Machinery Input Tables'!$BP$6+(VLOOKUP(C32,'Machinery Input Tables'!$AH$6:$BA$30,18,FALSE)*IF(IFERROR(VLOOKUP(B32,'Machinery Input Tables'!$B$6:$AF$121,13,FALSE)='Machinery Input Tables'!$N$128,1),1,VLOOKUP(B32,'Machinery Input Tables'!$B$6:$AF$121,28,FALSE))+IFERROR(VLOOKUP(B32,'Machinery Input Tables'!$B$6:$AF$121,27,FALSE),0))*D32),"-")</f>
        <v>6.4974583333333342</v>
      </c>
      <c r="H32" s="141">
        <f>IFERROR((IFERROR(VLOOKUP(B32,'Machinery Input Tables'!$B$6:$AF$121,24,FALSE),0)+VLOOKUP(C32,'Machinery Input Tables'!$AH$6:$BA$30,20,FALSE))*IF(IFERROR(VLOOKUP(B32,'Machinery Input Tables'!$B$6:$AF$121,13,FALSE)='Machinery Input Tables'!$N$128,1),1,VLOOKUP(B32,'Machinery Input Tables'!$B$6:$AF$121,28,FALSE))*D32,"-")</f>
        <v>2.0259663459655686</v>
      </c>
      <c r="I32" s="152">
        <f t="shared" si="1"/>
        <v>8.5234246792989019</v>
      </c>
    </row>
    <row r="33" spans="2:9" ht="16.5">
      <c r="B33" s="300" t="s">
        <v>800</v>
      </c>
      <c r="C33" s="300" t="s">
        <v>803</v>
      </c>
      <c r="D33" s="301">
        <v>0.06</v>
      </c>
      <c r="E33" s="141" t="str">
        <f>IFERROR(IF(ISBLANK(C33),"",IF(OR(ISBLANK(B33),IFERROR(VLOOKUP(B33,'Machinery Input Tables'!$B$6:$AF$121,13,FALSE),"")='Machinery Input Tables'!$N$128),1,VLOOKUP(B33,'Machinery Input Tables'!$B$6:$AF$121,28,FALSE))*VLOOKUP(C33,'Machinery Input Tables'!$AH$6:$BA$30,19,FALSE))*D33,"-")</f>
        <v>-</v>
      </c>
      <c r="F33" s="141" t="str">
        <f>IFERROR(IF(AND(ISBLANK(B33)*ISBLANK(C33)),"",IF(ISBLANK(B33),1,IF(VLOOKUP(B33,'Machinery Input Tables'!$B$6:$AF$121,13,FALSE)='Machinery Input Tables'!$N$128,VLOOKUP(B33,'Machinery Input Tables'!$B$6:$AF$121,17,FALSE),VLOOKUP(B33,'Machinery Input Tables'!$B$6:$AF$121,28,FALSE))))*D33,"-")</f>
        <v>-</v>
      </c>
      <c r="G33" s="152" t="str">
        <f>IFERROR(IF(ISBLANK(C33),"",E33*'Machinery Input Tables'!$BP$10+F33*'Machinery Input Tables'!$BP$6+(VLOOKUP(C33,'Machinery Input Tables'!$AH$6:$BA$30,18,FALSE)*IF(IFERROR(VLOOKUP(B33,'Machinery Input Tables'!$B$6:$AF$121,13,FALSE)='Machinery Input Tables'!$N$128,1),1,VLOOKUP(B33,'Machinery Input Tables'!$B$6:$AF$121,28,FALSE))+IFERROR(VLOOKUP(B33,'Machinery Input Tables'!$B$6:$AF$121,27,FALSE),0))*D33),"-")</f>
        <v>-</v>
      </c>
      <c r="H33" s="141">
        <f>IFERROR((IFERROR(VLOOKUP(B33,'Machinery Input Tables'!$B$6:$AF$121,24,FALSE),0)+VLOOKUP(C33,'Machinery Input Tables'!$AH$6:$BA$30,20,FALSE))*IF(IFERROR(VLOOKUP(B33,'Machinery Input Tables'!$B$6:$AF$121,13,FALSE)='Machinery Input Tables'!$N$128,1),1,VLOOKUP(B33,'Machinery Input Tables'!$B$6:$AF$121,28,FALSE))*D33,"-")</f>
        <v>2.4356169456364882</v>
      </c>
      <c r="I33" s="152">
        <f t="shared" si="1"/>
        <v>2.4356169456364882</v>
      </c>
    </row>
    <row r="34" spans="2:9" ht="14.25" customHeight="1">
      <c r="B34" s="300"/>
      <c r="C34" s="300" t="s">
        <v>765</v>
      </c>
      <c r="D34" s="301">
        <v>0.25</v>
      </c>
      <c r="E34" s="141">
        <f>IFERROR(IF(ISBLANK(C34),"",IF(OR(ISBLANK(B34),IFERROR(VLOOKUP(B34,'Machinery Input Tables'!$B$6:$AF$121,13,FALSE),"")='Machinery Input Tables'!$N$128),1,VLOOKUP(B34,'Machinery Input Tables'!$B$6:$AF$121,28,FALSE))*VLOOKUP(C34,'Machinery Input Tables'!$AH$6:$BA$30,19,FALSE))*D34,"-")</f>
        <v>0.75</v>
      </c>
      <c r="F34" s="141">
        <f>IFERROR(IF(AND(ISBLANK(B34)*ISBLANK(C34)),"",IF(ISBLANK(B34),1,IF(VLOOKUP(B34,'Machinery Input Tables'!$B$6:$AF$121,13,FALSE)='Machinery Input Tables'!$N$128,VLOOKUP(B34,'Machinery Input Tables'!$B$6:$AF$121,17,FALSE),VLOOKUP(B34,'Machinery Input Tables'!$B$6:$AF$121,28,FALSE))))*D34,"-")</f>
        <v>0.25</v>
      </c>
      <c r="G34" s="152">
        <f>IFERROR(IF(ISBLANK(C34),"",E34*'Machinery Input Tables'!$BP$10+F34*'Machinery Input Tables'!$BP$6+(VLOOKUP(C34,'Machinery Input Tables'!$AH$6:$BA$30,18,FALSE)*IF(IFERROR(VLOOKUP(B34,'Machinery Input Tables'!$B$6:$AF$121,13,FALSE)='Machinery Input Tables'!$N$128,1),1,VLOOKUP(B34,'Machinery Input Tables'!$B$6:$AF$121,28,FALSE))+IFERROR(VLOOKUP(B34,'Machinery Input Tables'!$B$6:$AF$121,27,FALSE),0))*D34),"-")</f>
        <v>13.358552631578949</v>
      </c>
      <c r="H34" s="141">
        <f>IFERROR((IFERROR(VLOOKUP(B34,'Machinery Input Tables'!$B$6:$AF$121,24,FALSE),0)+VLOOKUP(C34,'Machinery Input Tables'!$AH$6:$BA$30,20,FALSE))*IF(IFERROR(VLOOKUP(B34,'Machinery Input Tables'!$B$6:$AF$121,13,FALSE)='Machinery Input Tables'!$N$128,1),1,VLOOKUP(B34,'Machinery Input Tables'!$B$6:$AF$121,28,FALSE))*D34,"-")</f>
        <v>5.4105509647097261</v>
      </c>
      <c r="I34" s="152">
        <f t="shared" si="1"/>
        <v>18.769103596288673</v>
      </c>
    </row>
    <row r="35" spans="2:9" ht="16.5">
      <c r="B35" s="302"/>
      <c r="C35" s="302"/>
      <c r="D35" s="303"/>
      <c r="E35" s="161" t="str">
        <f>IFERROR(IF(ISBLANK(C35),"",IF(OR(ISBLANK(B35),IFERROR(VLOOKUP(B35,'Machinery Input Tables'!$B$6:$AF$121,13,FALSE),"")='Machinery Input Tables'!$N$128),1,VLOOKUP(B35,'Machinery Input Tables'!$B$6:$AF$121,28,FALSE))*VLOOKUP(C35,'Machinery Input Tables'!$AH$6:$BA$30,19,FALSE))*D35,"-")</f>
        <v>-</v>
      </c>
      <c r="F35" s="161" t="str">
        <f>IFERROR(IF(AND(ISBLANK(B35)*ISBLANK(C35)),"",IF(ISBLANK(B35),1,IF(VLOOKUP(B35,'Machinery Input Tables'!$B$6:$AF$121,13,FALSE)='Machinery Input Tables'!$N$128,VLOOKUP(B35,'Machinery Input Tables'!$B$6:$AF$121,17,FALSE),VLOOKUP(B35,'Machinery Input Tables'!$B$6:$AF$121,28,FALSE))))*D35,"-")</f>
        <v>-</v>
      </c>
      <c r="G35" s="162" t="str">
        <f>IFERROR(IF(ISBLANK(C35),"",E35*'Machinery Input Tables'!$BP$10+F35*'Machinery Input Tables'!$BP$6+(VLOOKUP(C35,'Machinery Input Tables'!$AH$6:$BA$30,18,FALSE)*IF(IFERROR(VLOOKUP(B35,'Machinery Input Tables'!$B$6:$AF$121,13,FALSE)='Machinery Input Tables'!$N$128,1),1,VLOOKUP(B35,'Machinery Input Tables'!$B$6:$AF$121,28,FALSE))+IFERROR(VLOOKUP(B35,'Machinery Input Tables'!$B$6:$AF$121,27,FALSE),0))*D35),"-")</f>
        <v/>
      </c>
      <c r="H35" s="161" t="str">
        <f>IFERROR((IFERROR(VLOOKUP(B35,'Machinery Input Tables'!$B$6:$AF$121,24,FALSE),0)+VLOOKUP(C35,'Machinery Input Tables'!$AH$6:$BA$30,20,FALSE))*IF(IFERROR(VLOOKUP(B35,'Machinery Input Tables'!$B$6:$AF$121,13,FALSE)='Machinery Input Tables'!$N$128,1),1,VLOOKUP(B35,'Machinery Input Tables'!$B$6:$AF$121,28,FALSE))*D35,"-")</f>
        <v>-</v>
      </c>
      <c r="I35" s="162">
        <f>IFERROR(IF(ISBLANK(AND(B35,C35)),"",SUM(G35:H35)),"-")</f>
        <v>0</v>
      </c>
    </row>
    <row r="36" spans="2:9" ht="16.5">
      <c r="B36" s="149"/>
      <c r="C36" s="163" t="s">
        <v>31</v>
      </c>
      <c r="D36" s="255"/>
      <c r="E36" s="164">
        <f>SUM(E25:E35)</f>
        <v>6.6032432422969185</v>
      </c>
      <c r="F36" s="164">
        <f t="shared" ref="F36" si="2">SUM(F25:F35)</f>
        <v>0.91630665766306529</v>
      </c>
      <c r="G36" s="164">
        <f t="shared" ref="G36" si="3">SUM(G25:G35)</f>
        <v>81.503224814507249</v>
      </c>
      <c r="H36" s="164">
        <f t="shared" ref="H36" si="4">SUM(H25:H35)</f>
        <v>84.685284932454806</v>
      </c>
      <c r="I36" s="164">
        <f>SUM(I24:I35)</f>
        <v>184.35152036165982</v>
      </c>
    </row>
    <row r="37" spans="2:9" ht="16.5">
      <c r="B37" s="149"/>
      <c r="C37" s="163"/>
      <c r="D37" s="164"/>
      <c r="E37" s="164"/>
      <c r="F37" s="164"/>
      <c r="G37" s="164"/>
      <c r="H37" s="164"/>
      <c r="I37" s="164"/>
    </row>
    <row r="38" spans="2:9" ht="16.5">
      <c r="B38" s="149"/>
      <c r="C38" s="163"/>
      <c r="D38" s="164"/>
      <c r="E38" s="164"/>
      <c r="F38" s="164"/>
      <c r="G38" s="164"/>
      <c r="H38" s="164"/>
      <c r="I38" s="164"/>
    </row>
    <row r="39" spans="2:9" ht="16.5">
      <c r="B39" s="329" t="s">
        <v>878</v>
      </c>
      <c r="C39" s="329"/>
      <c r="D39" s="329"/>
      <c r="E39" s="329"/>
      <c r="F39" s="329"/>
      <c r="G39" s="329"/>
      <c r="H39" s="329"/>
      <c r="I39" s="329"/>
    </row>
    <row r="40" spans="2:9" ht="16.5">
      <c r="B40" s="326" t="s">
        <v>535</v>
      </c>
      <c r="C40" s="328" t="s">
        <v>536</v>
      </c>
      <c r="D40" s="261" t="s">
        <v>15</v>
      </c>
      <c r="E40" s="328" t="s">
        <v>537</v>
      </c>
      <c r="F40" s="328" t="s">
        <v>538</v>
      </c>
      <c r="G40" s="144" t="s">
        <v>539</v>
      </c>
      <c r="H40" s="144" t="s">
        <v>540</v>
      </c>
      <c r="I40" s="330" t="s">
        <v>541</v>
      </c>
    </row>
    <row r="41" spans="2:9" ht="16.5">
      <c r="B41" s="327"/>
      <c r="C41" s="329"/>
      <c r="D41" s="262" t="s">
        <v>810</v>
      </c>
      <c r="E41" s="329"/>
      <c r="F41" s="329"/>
      <c r="G41" s="142" t="s">
        <v>554</v>
      </c>
      <c r="H41" s="142" t="s">
        <v>554</v>
      </c>
      <c r="I41" s="331"/>
    </row>
    <row r="42" spans="2:9" ht="16.5">
      <c r="B42" s="149"/>
      <c r="C42" s="149"/>
      <c r="D42" s="150" t="s">
        <v>560</v>
      </c>
      <c r="E42" s="150" t="s">
        <v>557</v>
      </c>
      <c r="F42" s="150" t="s">
        <v>558</v>
      </c>
      <c r="G42" s="150" t="s">
        <v>559</v>
      </c>
      <c r="H42" s="150" t="s">
        <v>559</v>
      </c>
      <c r="I42" s="150" t="s">
        <v>561</v>
      </c>
    </row>
    <row r="43" spans="2:9" ht="17.25" customHeight="1">
      <c r="B43" s="300" t="s">
        <v>866</v>
      </c>
      <c r="C43" s="300" t="s">
        <v>871</v>
      </c>
      <c r="D43" s="301">
        <v>1</v>
      </c>
      <c r="E43" s="141">
        <f>IFERROR(IF(ISBLANK(C43),"",IF(OR(ISBLANK(B43),IFERROR(VLOOKUP(B43,'Machinery Input Tables'!$B$6:$AF$121,13,FALSE),"")='Machinery Input Tables'!$N$128),1,VLOOKUP(B43,'Machinery Input Tables'!$B$6:$AF$121,28,FALSE))*VLOOKUP(C43,'Machinery Input Tables'!$AH$6:$BA$30,19,FALSE))*D43,"-")</f>
        <v>0.62117647058823522</v>
      </c>
      <c r="F43" s="141">
        <f>IFERROR(IF(AND(ISBLANK(B43)*ISBLANK(C43)),"",IF(ISBLANK(B43),1,IF(VLOOKUP(B43,'Machinery Input Tables'!$B$6:$AF$121,13,FALSE)='Machinery Input Tables'!$N$128,VLOOKUP(B43,'Machinery Input Tables'!$B$6:$AF$121,17,FALSE),VLOOKUP(B43,'Machinery Input Tables'!$B$6:$AF$121,28,FALSE))))*D43,"-")</f>
        <v>8.8235294117647065E-2</v>
      </c>
      <c r="G43" s="152">
        <f>IFERROR(IF(ISBLANK(C43),"",E43*'Machinery Input Tables'!$BP$10+F43*'Machinery Input Tables'!$BP$6+(VLOOKUP(C43,'Machinery Input Tables'!$AH$6:$BA$30,18,FALSE)*IF(IFERROR(VLOOKUP(B43,'Machinery Input Tables'!$B$6:$AF$121,13,FALSE)='Machinery Input Tables'!$N$128,1),1,VLOOKUP(B43,'Machinery Input Tables'!$B$6:$AF$121,28,FALSE))+IFERROR(VLOOKUP(B43,'Machinery Input Tables'!$B$6:$AF$121,27,FALSE),0))*D43),"-")</f>
        <v>7.4153017022983923</v>
      </c>
      <c r="H43" s="141">
        <f>IFERROR((IFERROR(VLOOKUP(B43,'Machinery Input Tables'!$B$6:$AF$121,24,FALSE),0)+VLOOKUP(C43,'Machinery Input Tables'!$AH$6:$BA$30,20,FALSE))*IF(IFERROR(VLOOKUP(B43,'Machinery Input Tables'!$B$6:$AF$121,13,FALSE)='Machinery Input Tables'!$N$128,1),1,VLOOKUP(B43,'Machinery Input Tables'!$B$6:$AF$121,28,FALSE))*D43,"-")</f>
        <v>11.553870004976101</v>
      </c>
      <c r="I43" s="152">
        <f>IFERROR(IF(ISBLANK(AND(B43,C43)),"",SUM(G43:H43)),"-")</f>
        <v>18.969171707274494</v>
      </c>
    </row>
    <row r="44" spans="2:9" ht="17.25" customHeight="1">
      <c r="B44" s="300" t="s">
        <v>868</v>
      </c>
      <c r="C44" s="300" t="s">
        <v>871</v>
      </c>
      <c r="D44" s="301">
        <v>2</v>
      </c>
      <c r="E44" s="141">
        <f>IFERROR(IF(ISBLANK(C44),"",IF(OR(ISBLANK(B44),IFERROR(VLOOKUP(B44,'Machinery Input Tables'!$B$6:$AF$121,13,FALSE),"")='Machinery Input Tables'!$N$128),1,VLOOKUP(B44,'Machinery Input Tables'!$B$6:$AF$121,28,FALSE))*VLOOKUP(C44,'Machinery Input Tables'!$AH$6:$BA$30,19,FALSE))*D44,"-")</f>
        <v>1.1523809523809521</v>
      </c>
      <c r="F44" s="141">
        <f>IFERROR(IF(AND(ISBLANK(B44)*ISBLANK(C44)),"",IF(ISBLANK(B44),1,IF(VLOOKUP(B44,'Machinery Input Tables'!$B$6:$AF$121,13,FALSE)='Machinery Input Tables'!$N$128,VLOOKUP(B44,'Machinery Input Tables'!$B$6:$AF$121,17,FALSE),VLOOKUP(B44,'Machinery Input Tables'!$B$6:$AF$121,28,FALSE))))*D44,"-")</f>
        <v>0.16369047619047616</v>
      </c>
      <c r="G44" s="152">
        <f>IFERROR(IF(ISBLANK(C44),"",E44*'Machinery Input Tables'!$BP$10+F44*'Machinery Input Tables'!$BP$6+(VLOOKUP(C44,'Machinery Input Tables'!$AH$6:$BA$30,18,FALSE)*IF(IFERROR(VLOOKUP(B44,'Machinery Input Tables'!$B$6:$AF$121,13,FALSE)='Machinery Input Tables'!$N$128,1),1,VLOOKUP(B44,'Machinery Input Tables'!$B$6:$AF$121,28,FALSE))+IFERROR(VLOOKUP(B44,'Machinery Input Tables'!$B$6:$AF$121,27,FALSE),0))*D44),"-")</f>
        <v>14.439887836612003</v>
      </c>
      <c r="H44" s="141">
        <f>IFERROR((IFERROR(VLOOKUP(B44,'Machinery Input Tables'!$B$6:$AF$121,24,FALSE),0)+VLOOKUP(C44,'Machinery Input Tables'!$AH$6:$BA$30,20,FALSE))*IF(IFERROR(VLOOKUP(B44,'Machinery Input Tables'!$B$6:$AF$121,13,FALSE)='Machinery Input Tables'!$N$128,1),1,VLOOKUP(B44,'Machinery Input Tables'!$B$6:$AF$121,28,FALSE))*D44,"-")</f>
        <v>22.232531969570289</v>
      </c>
      <c r="I44" s="152">
        <f t="shared" ref="I44:I46" si="5">IFERROR(IF(ISBLANK(AND(B44,C44)),"",SUM(G44:H44)),"-")</f>
        <v>36.67241980618229</v>
      </c>
    </row>
    <row r="45" spans="2:9" ht="17.25" customHeight="1">
      <c r="B45" s="300" t="s">
        <v>867</v>
      </c>
      <c r="C45" s="300" t="s">
        <v>871</v>
      </c>
      <c r="D45" s="301">
        <v>2</v>
      </c>
      <c r="E45" s="141">
        <f>IFERROR(IF(ISBLANK(C45),"",IF(OR(ISBLANK(B45),IFERROR(VLOOKUP(B45,'Machinery Input Tables'!$B$6:$AF$121,13,FALSE),"")='Machinery Input Tables'!$N$128),1,VLOOKUP(B45,'Machinery Input Tables'!$B$6:$AF$121,28,FALSE))*VLOOKUP(C45,'Machinery Input Tables'!$AH$6:$BA$30,19,FALSE))*D45,"-")</f>
        <v>0.69723889555822327</v>
      </c>
      <c r="F45" s="141">
        <f>IFERROR(IF(AND(ISBLANK(B45)*ISBLANK(C45)),"",IF(ISBLANK(B45),1,IF(VLOOKUP(B45,'Machinery Input Tables'!$B$6:$AF$121,13,FALSE)='Machinery Input Tables'!$N$128,VLOOKUP(B45,'Machinery Input Tables'!$B$6:$AF$121,17,FALSE),VLOOKUP(B45,'Machinery Input Tables'!$B$6:$AF$121,28,FALSE))))*D45,"-")</f>
        <v>9.9039615846338538E-2</v>
      </c>
      <c r="G45" s="152">
        <f>IFERROR(IF(ISBLANK(C45),"",E45*'Machinery Input Tables'!$BP$10+F45*'Machinery Input Tables'!$BP$6+(VLOOKUP(C45,'Machinery Input Tables'!$AH$6:$BA$30,18,FALSE)*IF(IFERROR(VLOOKUP(B45,'Machinery Input Tables'!$B$6:$AF$121,13,FALSE)='Machinery Input Tables'!$N$128,1),1,VLOOKUP(B45,'Machinery Input Tables'!$B$6:$AF$121,28,FALSE))+IFERROR(VLOOKUP(B45,'Machinery Input Tables'!$B$6:$AF$121,27,FALSE),0))*D45),"-")</f>
        <v>8.0829852889381666</v>
      </c>
      <c r="H45" s="141">
        <f>IFERROR((IFERROR(VLOOKUP(B45,'Machinery Input Tables'!$B$6:$AF$121,24,FALSE),0)+VLOOKUP(C45,'Machinery Input Tables'!$AH$6:$BA$30,20,FALSE))*IF(IFERROR(VLOOKUP(B45,'Machinery Input Tables'!$B$6:$AF$121,13,FALSE)='Machinery Input Tables'!$N$128,1),1,VLOOKUP(B45,'Machinery Input Tables'!$B$6:$AF$121,28,FALSE))*D45,"-")</f>
        <v>10.432093520387751</v>
      </c>
      <c r="I45" s="152">
        <f t="shared" si="5"/>
        <v>18.515078809325917</v>
      </c>
    </row>
    <row r="46" spans="2:9" ht="17.25" customHeight="1">
      <c r="B46" s="300" t="s">
        <v>872</v>
      </c>
      <c r="C46" s="300" t="s">
        <v>871</v>
      </c>
      <c r="D46" s="301">
        <v>3</v>
      </c>
      <c r="E46" s="141">
        <f>IFERROR(IF(ISBLANK(C46),"",IF(OR(ISBLANK(B46),IFERROR(VLOOKUP(B46,'Machinery Input Tables'!$B$6:$AF$121,13,FALSE),"")='Machinery Input Tables'!$N$128),1,VLOOKUP(B46,'Machinery Input Tables'!$B$6:$AF$121,28,FALSE))*VLOOKUP(C46,'Machinery Input Tables'!$AH$6:$BA$30,19,FALSE))*D46,"-")</f>
        <v>1.3665882352941177</v>
      </c>
      <c r="F46" s="141">
        <f>IFERROR(IF(AND(ISBLANK(B46)*ISBLANK(C46)),"",IF(ISBLANK(B46),1,IF(VLOOKUP(B46,'Machinery Input Tables'!$B$6:$AF$121,13,FALSE)='Machinery Input Tables'!$N$128,VLOOKUP(B46,'Machinery Input Tables'!$B$6:$AF$121,17,FALSE),VLOOKUP(B46,'Machinery Input Tables'!$B$6:$AF$121,28,FALSE))))*D46,"-")</f>
        <v>0.19411764705882356</v>
      </c>
      <c r="G46" s="152">
        <f>IFERROR(IF(ISBLANK(C46),"",E46*'Machinery Input Tables'!$BP$10+F46*'Machinery Input Tables'!$BP$6+(VLOOKUP(C46,'Machinery Input Tables'!$AH$6:$BA$30,18,FALSE)*IF(IFERROR(VLOOKUP(B46,'Machinery Input Tables'!$B$6:$AF$121,13,FALSE)='Machinery Input Tables'!$N$128,1),1,VLOOKUP(B46,'Machinery Input Tables'!$B$6:$AF$121,28,FALSE))+IFERROR(VLOOKUP(B46,'Machinery Input Tables'!$B$6:$AF$121,27,FALSE),0))*D46),"-")</f>
        <v>15.775026052726819</v>
      </c>
      <c r="H46" s="141">
        <f>IFERROR((IFERROR(VLOOKUP(B46,'Machinery Input Tables'!$B$6:$AF$121,24,FALSE),0)+VLOOKUP(C46,'Machinery Input Tables'!$AH$6:$BA$30,20,FALSE))*IF(IFERROR(VLOOKUP(B46,'Machinery Input Tables'!$B$6:$AF$121,13,FALSE)='Machinery Input Tables'!$N$128,1),1,VLOOKUP(B46,'Machinery Input Tables'!$B$6:$AF$121,28,FALSE))*D46,"-")</f>
        <v>19.342122066594751</v>
      </c>
      <c r="I46" s="152">
        <f t="shared" si="5"/>
        <v>35.11714811932157</v>
      </c>
    </row>
    <row r="47" spans="2:9" ht="16.5">
      <c r="B47" s="300" t="s">
        <v>869</v>
      </c>
      <c r="C47" s="300" t="s">
        <v>871</v>
      </c>
      <c r="D47" s="301">
        <v>1</v>
      </c>
      <c r="E47" s="141">
        <f>IFERROR(IF(ISBLANK(C47),"",IF(OR(ISBLANK(B47),IFERROR(VLOOKUP(B47,'Machinery Input Tables'!$B$6:$AF$121,13,FALSE),"")='Machinery Input Tables'!$N$128),1,VLOOKUP(B47,'Machinery Input Tables'!$B$6:$AF$121,28,FALSE))*VLOOKUP(C47,'Machinery Input Tables'!$AH$6:$BA$30,19,FALSE))*D47,"-")</f>
        <v>0.75428571428571412</v>
      </c>
      <c r="F47" s="141">
        <f>IFERROR(IF(AND(ISBLANK(B47)*ISBLANK(C47)),"",IF(ISBLANK(B47),1,IF(VLOOKUP(B47,'Machinery Input Tables'!$B$6:$AF$121,13,FALSE)='Machinery Input Tables'!$N$128,VLOOKUP(B47,'Machinery Input Tables'!$B$6:$AF$121,17,FALSE),VLOOKUP(B47,'Machinery Input Tables'!$B$6:$AF$121,28,FALSE))))*D47,"-")</f>
        <v>0.10714285714285714</v>
      </c>
      <c r="G47" s="152">
        <f>IFERROR(IF(ISBLANK(C47),"",E47*'Machinery Input Tables'!$BP$10+F47*'Machinery Input Tables'!$BP$6+(VLOOKUP(C47,'Machinery Input Tables'!$AH$6:$BA$30,18,FALSE)*IF(IFERROR(VLOOKUP(B47,'Machinery Input Tables'!$B$6:$AF$121,13,FALSE)='Machinery Input Tables'!$N$128,1),1,VLOOKUP(B47,'Machinery Input Tables'!$B$6:$AF$121,28,FALSE))+IFERROR(VLOOKUP(B47,'Machinery Input Tables'!$B$6:$AF$121,27,FALSE),0))*D47),"-")</f>
        <v>9.9861755178410796</v>
      </c>
      <c r="H47" s="141">
        <f>IFERROR((IFERROR(VLOOKUP(B47,'Machinery Input Tables'!$B$6:$AF$121,24,FALSE),0)+VLOOKUP(C47,'Machinery Input Tables'!$AH$6:$BA$30,20,FALSE))*IF(IFERROR(VLOOKUP(B47,'Machinery Input Tables'!$B$6:$AF$121,13,FALSE)='Machinery Input Tables'!$N$128,1),1,VLOOKUP(B47,'Machinery Input Tables'!$B$6:$AF$121,28,FALSE))*D47,"-")</f>
        <v>14.199056463772342</v>
      </c>
      <c r="I47" s="152">
        <f t="shared" ref="I47:I54" si="6">IFERROR(IF(ISBLANK(AND(B47,C47)),"",SUM(G47:H47)),"-")</f>
        <v>24.18523198161342</v>
      </c>
    </row>
    <row r="48" spans="2:9" ht="16.5">
      <c r="B48" s="300" t="s">
        <v>811</v>
      </c>
      <c r="C48" s="300" t="s">
        <v>804</v>
      </c>
      <c r="D48" s="301">
        <v>1</v>
      </c>
      <c r="E48" s="141">
        <f>IFERROR(IF(ISBLANK(C48),"",IF(OR(ISBLANK(B48),IFERROR(VLOOKUP(B48,'Machinery Input Tables'!$B$6:$AF$121,13,FALSE),"")='Machinery Input Tables'!$N$128),1,VLOOKUP(B48,'Machinery Input Tables'!$B$6:$AF$121,28,FALSE))*VLOOKUP(C48,'Machinery Input Tables'!$AH$6:$BA$30,19,FALSE))*D48,"-")</f>
        <v>1.0947619047619046</v>
      </c>
      <c r="F48" s="141">
        <f>IFERROR(IF(AND(ISBLANK(B48)*ISBLANK(C48)),"",IF(ISBLANK(B48),1,IF(VLOOKUP(B48,'Machinery Input Tables'!$B$6:$AF$121,13,FALSE)='Machinery Input Tables'!$N$128,VLOOKUP(B48,'Machinery Input Tables'!$B$6:$AF$121,17,FALSE),VLOOKUP(B48,'Machinery Input Tables'!$B$6:$AF$121,28,FALSE))))*D48,"-")</f>
        <v>0.10476190476190476</v>
      </c>
      <c r="G48" s="152">
        <f>IFERROR(IF(ISBLANK(C48),"",E48*'Machinery Input Tables'!$BP$10+F48*'Machinery Input Tables'!$BP$6+(VLOOKUP(C48,'Machinery Input Tables'!$AH$6:$BA$30,18,FALSE)*IF(IFERROR(VLOOKUP(B48,'Machinery Input Tables'!$B$6:$AF$121,13,FALSE)='Machinery Input Tables'!$N$128,1),1,VLOOKUP(B48,'Machinery Input Tables'!$B$6:$AF$121,28,FALSE))+IFERROR(VLOOKUP(B48,'Machinery Input Tables'!$B$6:$AF$121,27,FALSE),0))*D48),"-")</f>
        <v>14.647926134508426</v>
      </c>
      <c r="H48" s="141">
        <f>IFERROR((IFERROR(VLOOKUP(B48,'Machinery Input Tables'!$B$6:$AF$121,24,FALSE),0)+VLOOKUP(C48,'Machinery Input Tables'!$AH$6:$BA$30,20,FALSE))*IF(IFERROR(VLOOKUP(B48,'Machinery Input Tables'!$B$6:$AF$121,13,FALSE)='Machinery Input Tables'!$N$128,1),1,VLOOKUP(B48,'Machinery Input Tables'!$B$6:$AF$121,28,FALSE))*D48,"-")</f>
        <v>19.918449503641831</v>
      </c>
      <c r="I48" s="152">
        <f t="shared" si="6"/>
        <v>34.566375638150255</v>
      </c>
    </row>
    <row r="49" spans="2:9" ht="16.5">
      <c r="B49" s="300"/>
      <c r="C49" s="300" t="s">
        <v>799</v>
      </c>
      <c r="D49" s="301">
        <v>0.04</v>
      </c>
      <c r="E49" s="141">
        <f>IFERROR(IF(ISBLANK(C49),"",IF(OR(ISBLANK(B49),IFERROR(VLOOKUP(B49,'Machinery Input Tables'!$B$6:$AF$121,13,FALSE),"")='Machinery Input Tables'!$N$128),1,VLOOKUP(B49,'Machinery Input Tables'!$B$6:$AF$121,28,FALSE))*VLOOKUP(C49,'Machinery Input Tables'!$AH$6:$BA$30,19,FALSE))*D49,"-")</f>
        <v>0.19500000000000001</v>
      </c>
      <c r="F49" s="141">
        <f>IFERROR(IF(AND(ISBLANK(B49)*ISBLANK(C49)),"",IF(ISBLANK(B49),1,IF(VLOOKUP(B49,'Machinery Input Tables'!$B$6:$AF$121,13,FALSE)='Machinery Input Tables'!$N$128,VLOOKUP(B49,'Machinery Input Tables'!$B$6:$AF$121,17,FALSE),VLOOKUP(B49,'Machinery Input Tables'!$B$6:$AF$121,28,FALSE))))*D49,"-")</f>
        <v>0.04</v>
      </c>
      <c r="G49" s="152">
        <f>IFERROR(IF(ISBLANK(C49),"",E49*'Machinery Input Tables'!$BP$10+F49*'Machinery Input Tables'!$BP$6+(VLOOKUP(C49,'Machinery Input Tables'!$AH$6:$BA$30,18,FALSE)*IF(IFERROR(VLOOKUP(B49,'Machinery Input Tables'!$B$6:$AF$121,13,FALSE)='Machinery Input Tables'!$N$128,1),1,VLOOKUP(B49,'Machinery Input Tables'!$B$6:$AF$121,28,FALSE))+IFERROR(VLOOKUP(B49,'Machinery Input Tables'!$B$6:$AF$121,27,FALSE),0))*D49),"-")</f>
        <v>1.8564166666666668</v>
      </c>
      <c r="H49" s="141">
        <f>IFERROR((IFERROR(VLOOKUP(B49,'Machinery Input Tables'!$B$6:$AF$121,24,FALSE),0)+VLOOKUP(C49,'Machinery Input Tables'!$AH$6:$BA$30,20,FALSE))*IF(IFERROR(VLOOKUP(B49,'Machinery Input Tables'!$B$6:$AF$121,13,FALSE)='Machinery Input Tables'!$N$128,1),1,VLOOKUP(B49,'Machinery Input Tables'!$B$6:$AF$121,28,FALSE))*D49,"-")</f>
        <v>0.57884752741873391</v>
      </c>
      <c r="I49" s="152">
        <f t="shared" si="6"/>
        <v>2.4352641940854007</v>
      </c>
    </row>
    <row r="50" spans="2:9" ht="16.5">
      <c r="B50" s="300" t="s">
        <v>800</v>
      </c>
      <c r="C50" s="300" t="s">
        <v>803</v>
      </c>
      <c r="D50" s="301">
        <v>0.02</v>
      </c>
      <c r="E50" s="141" t="str">
        <f>IFERROR(IF(ISBLANK(C50),"",IF(OR(ISBLANK(B50),IFERROR(VLOOKUP(B50,'Machinery Input Tables'!$B$6:$AF$121,13,FALSE),"")='Machinery Input Tables'!$N$128),1,VLOOKUP(B50,'Machinery Input Tables'!$B$6:$AF$121,28,FALSE))*VLOOKUP(C50,'Machinery Input Tables'!$AH$6:$BA$30,19,FALSE))*D50,"-")</f>
        <v>-</v>
      </c>
      <c r="F50" s="141" t="str">
        <f>IFERROR(IF(AND(ISBLANK(B50)*ISBLANK(C50)),"",IF(ISBLANK(B50),1,IF(VLOOKUP(B50,'Machinery Input Tables'!$B$6:$AF$121,13,FALSE)='Machinery Input Tables'!$N$128,VLOOKUP(B50,'Machinery Input Tables'!$B$6:$AF$121,17,FALSE),VLOOKUP(B50,'Machinery Input Tables'!$B$6:$AF$121,28,FALSE))))*D50,"-")</f>
        <v>-</v>
      </c>
      <c r="G50" s="152" t="str">
        <f>IFERROR(IF(ISBLANK(C50),"",E50*'Machinery Input Tables'!$BP$10+F50*'Machinery Input Tables'!$BP$6+(VLOOKUP(C50,'Machinery Input Tables'!$AH$6:$BA$30,18,FALSE)*IF(IFERROR(VLOOKUP(B50,'Machinery Input Tables'!$B$6:$AF$121,13,FALSE)='Machinery Input Tables'!$N$128,1),1,VLOOKUP(B50,'Machinery Input Tables'!$B$6:$AF$121,28,FALSE))+IFERROR(VLOOKUP(B50,'Machinery Input Tables'!$B$6:$AF$121,27,FALSE),0))*D50),"-")</f>
        <v>-</v>
      </c>
      <c r="H50" s="141">
        <f>IFERROR((IFERROR(VLOOKUP(B50,'Machinery Input Tables'!$B$6:$AF$121,24,FALSE),0)+VLOOKUP(C50,'Machinery Input Tables'!$AH$6:$BA$30,20,FALSE))*IF(IFERROR(VLOOKUP(B50,'Machinery Input Tables'!$B$6:$AF$121,13,FALSE)='Machinery Input Tables'!$N$128,1),1,VLOOKUP(B50,'Machinery Input Tables'!$B$6:$AF$121,28,FALSE))*D50,"-")</f>
        <v>0.81187231521216274</v>
      </c>
      <c r="I50" s="152">
        <f t="shared" si="6"/>
        <v>0.81187231521216274</v>
      </c>
    </row>
    <row r="51" spans="2:9" ht="16.5">
      <c r="B51" s="300"/>
      <c r="C51" s="300" t="s">
        <v>765</v>
      </c>
      <c r="D51" s="301">
        <v>0.15</v>
      </c>
      <c r="E51" s="141">
        <f>IFERROR(IF(ISBLANK(C51),"",IF(OR(ISBLANK(B51),IFERROR(VLOOKUP(B51,'Machinery Input Tables'!$B$6:$AF$121,13,FALSE),"")='Machinery Input Tables'!$N$128),1,VLOOKUP(B51,'Machinery Input Tables'!$B$6:$AF$121,28,FALSE))*VLOOKUP(C51,'Machinery Input Tables'!$AH$6:$BA$30,19,FALSE))*D51,"-")</f>
        <v>0.44999999999999996</v>
      </c>
      <c r="F51" s="141">
        <f>IFERROR(IF(AND(ISBLANK(B51)*ISBLANK(C51)),"",IF(ISBLANK(B51),1,IF(VLOOKUP(B51,'Machinery Input Tables'!$B$6:$AF$121,13,FALSE)='Machinery Input Tables'!$N$128,VLOOKUP(B51,'Machinery Input Tables'!$B$6:$AF$121,17,FALSE),VLOOKUP(B51,'Machinery Input Tables'!$B$6:$AF$121,28,FALSE))))*D51,"-")</f>
        <v>0.15</v>
      </c>
      <c r="G51" s="152">
        <f>IFERROR(IF(ISBLANK(C51),"",E51*'Machinery Input Tables'!$BP$10+F51*'Machinery Input Tables'!$BP$6+(VLOOKUP(C51,'Machinery Input Tables'!$AH$6:$BA$30,18,FALSE)*IF(IFERROR(VLOOKUP(B51,'Machinery Input Tables'!$B$6:$AF$121,13,FALSE)='Machinery Input Tables'!$N$128,1),1,VLOOKUP(B51,'Machinery Input Tables'!$B$6:$AF$121,28,FALSE))+IFERROR(VLOOKUP(B51,'Machinery Input Tables'!$B$6:$AF$121,27,FALSE),0))*D51),"-")</f>
        <v>8.0151315789473685</v>
      </c>
      <c r="H51" s="141">
        <f>IFERROR((IFERROR(VLOOKUP(B51,'Machinery Input Tables'!$B$6:$AF$121,24,FALSE),0)+VLOOKUP(C51,'Machinery Input Tables'!$AH$6:$BA$30,20,FALSE))*IF(IFERROR(VLOOKUP(B51,'Machinery Input Tables'!$B$6:$AF$121,13,FALSE)='Machinery Input Tables'!$N$128,1),1,VLOOKUP(B51,'Machinery Input Tables'!$B$6:$AF$121,28,FALSE))*D51,"-")</f>
        <v>3.2463305788258356</v>
      </c>
      <c r="I51" s="152">
        <f t="shared" si="6"/>
        <v>11.261462157773204</v>
      </c>
    </row>
    <row r="52" spans="2:9" ht="16.5">
      <c r="B52" s="300"/>
      <c r="C52" s="300"/>
      <c r="D52" s="301"/>
      <c r="E52" s="141" t="str">
        <f>IFERROR(IF(ISBLANK(C52),"",IF(OR(ISBLANK(B52),IFERROR(VLOOKUP(B52,'Machinery Input Tables'!$B$6:$AF$121,13,FALSE),"")='Machinery Input Tables'!$N$128),1,VLOOKUP(B52,'Machinery Input Tables'!$B$6:$AF$121,28,FALSE))*VLOOKUP(C52,'Machinery Input Tables'!$AH$6:$BA$30,19,FALSE))*D52,"-")</f>
        <v>-</v>
      </c>
      <c r="F52" s="141" t="str">
        <f>IFERROR(IF(AND(ISBLANK(B52)*ISBLANK(C52)),"",IF(ISBLANK(B52),1,IF(VLOOKUP(B52,'Machinery Input Tables'!$B$6:$AF$121,13,FALSE)='Machinery Input Tables'!$N$128,VLOOKUP(B52,'Machinery Input Tables'!$B$6:$AF$121,17,FALSE),VLOOKUP(B52,'Machinery Input Tables'!$B$6:$AF$121,28,FALSE))))*D52,"-")</f>
        <v>-</v>
      </c>
      <c r="G52" s="152" t="str">
        <f>IFERROR(IF(ISBLANK(C52),"",E52*'Machinery Input Tables'!$BP$10+F52*'Machinery Input Tables'!$BP$6+(VLOOKUP(C52,'Machinery Input Tables'!$AH$6:$BA$30,18,FALSE)*IF(IFERROR(VLOOKUP(B52,'Machinery Input Tables'!$B$6:$AF$121,13,FALSE)='Machinery Input Tables'!$N$128,1),1,VLOOKUP(B52,'Machinery Input Tables'!$B$6:$AF$121,28,FALSE))+IFERROR(VLOOKUP(B52,'Machinery Input Tables'!$B$6:$AF$121,27,FALSE),0))*D52),"-")</f>
        <v/>
      </c>
      <c r="H52" s="141" t="str">
        <f>IFERROR((IFERROR(VLOOKUP(B52,'Machinery Input Tables'!$B$6:$AF$121,24,FALSE),0)+VLOOKUP(C52,'Machinery Input Tables'!$AH$6:$BA$30,20,FALSE))*IF(IFERROR(VLOOKUP(B52,'Machinery Input Tables'!$B$6:$AF$121,13,FALSE)='Machinery Input Tables'!$N$128,1),1,VLOOKUP(B52,'Machinery Input Tables'!$B$6:$AF$121,28,FALSE))*D52,"-")</f>
        <v>-</v>
      </c>
      <c r="I52" s="152">
        <f t="shared" si="6"/>
        <v>0</v>
      </c>
    </row>
    <row r="53" spans="2:9" ht="16.5">
      <c r="B53" s="300"/>
      <c r="C53" s="300"/>
      <c r="D53" s="301"/>
      <c r="E53" s="141" t="str">
        <f>IFERROR(IF(ISBLANK(C53),"",IF(OR(ISBLANK(B53),IFERROR(VLOOKUP(B53,'Machinery Input Tables'!$B$6:$AF$121,13,FALSE),"")='Machinery Input Tables'!$N$128),1,VLOOKUP(B53,'Machinery Input Tables'!$B$6:$AF$121,28,FALSE))*VLOOKUP(C53,'Machinery Input Tables'!$AH$6:$BA$30,19,FALSE))*D53,"-")</f>
        <v>-</v>
      </c>
      <c r="F53" s="141" t="str">
        <f>IFERROR(IF(AND(ISBLANK(B53)*ISBLANK(C53)),"",IF(ISBLANK(B53),1,IF(VLOOKUP(B53,'Machinery Input Tables'!$B$6:$AF$121,13,FALSE)='Machinery Input Tables'!$N$128,VLOOKUP(B53,'Machinery Input Tables'!$B$6:$AF$121,17,FALSE),VLOOKUP(B53,'Machinery Input Tables'!$B$6:$AF$121,28,FALSE))))*D53,"-")</f>
        <v>-</v>
      </c>
      <c r="G53" s="152" t="str">
        <f>IFERROR(IF(ISBLANK(C53),"",E53*'Machinery Input Tables'!$BP$10+F53*'Machinery Input Tables'!$BP$6+(VLOOKUP(C53,'Machinery Input Tables'!$AH$6:$BA$30,18,FALSE)*IF(IFERROR(VLOOKUP(B53,'Machinery Input Tables'!$B$6:$AF$121,13,FALSE)='Machinery Input Tables'!$N$128,1),1,VLOOKUP(B53,'Machinery Input Tables'!$B$6:$AF$121,28,FALSE))+IFERROR(VLOOKUP(B53,'Machinery Input Tables'!$B$6:$AF$121,27,FALSE),0))*D53),"-")</f>
        <v/>
      </c>
      <c r="H53" s="141" t="str">
        <f>IFERROR((IFERROR(VLOOKUP(B53,'Machinery Input Tables'!$B$6:$AF$121,24,FALSE),0)+VLOOKUP(C53,'Machinery Input Tables'!$AH$6:$BA$30,20,FALSE))*IF(IFERROR(VLOOKUP(B53,'Machinery Input Tables'!$B$6:$AF$121,13,FALSE)='Machinery Input Tables'!$N$128,1),1,VLOOKUP(B53,'Machinery Input Tables'!$B$6:$AF$121,28,FALSE))*D53,"-")</f>
        <v>-</v>
      </c>
      <c r="I53" s="152">
        <f t="shared" si="6"/>
        <v>0</v>
      </c>
    </row>
    <row r="54" spans="2:9" ht="16.5">
      <c r="B54" s="302"/>
      <c r="C54" s="302"/>
      <c r="D54" s="303"/>
      <c r="E54" s="161" t="str">
        <f>IFERROR(IF(ISBLANK(C54),"",IF(OR(ISBLANK(B54),IFERROR(VLOOKUP(B54,'Machinery Input Tables'!$B$6:$AF$121,13,FALSE),"")='Machinery Input Tables'!$N$128),1,VLOOKUP(B54,'Machinery Input Tables'!$B$6:$AF$121,28,FALSE))*VLOOKUP(C54,'Machinery Input Tables'!$AH$6:$BA$30,19,FALSE))*D54,"-")</f>
        <v>-</v>
      </c>
      <c r="F54" s="161" t="str">
        <f>IFERROR(IF(AND(ISBLANK(B54)*ISBLANK(C54)),"",IF(ISBLANK(B54),1,IF(VLOOKUP(B54,'Machinery Input Tables'!$B$6:$AF$121,13,FALSE)='Machinery Input Tables'!$N$128,VLOOKUP(B54,'Machinery Input Tables'!$B$6:$AF$121,17,FALSE),VLOOKUP(B54,'Machinery Input Tables'!$B$6:$AF$121,28,FALSE))))*D54,"-")</f>
        <v>-</v>
      </c>
      <c r="G54" s="162" t="str">
        <f>IFERROR(IF(ISBLANK(C54),"",E54*'Machinery Input Tables'!$BP$10+F54*'Machinery Input Tables'!$BP$6+(VLOOKUP(C54,'Machinery Input Tables'!$AH$6:$BA$30,18,FALSE)*IF(IFERROR(VLOOKUP(B54,'Machinery Input Tables'!$B$6:$AF$121,13,FALSE)='Machinery Input Tables'!$N$128,1),1,VLOOKUP(B54,'Machinery Input Tables'!$B$6:$AF$121,28,FALSE))+IFERROR(VLOOKUP(B54,'Machinery Input Tables'!$B$6:$AF$121,27,FALSE),0))*D54),"-")</f>
        <v/>
      </c>
      <c r="H54" s="161" t="str">
        <f>IFERROR((IFERROR(VLOOKUP(B54,'Machinery Input Tables'!$B$6:$AF$121,24,FALSE),0)+VLOOKUP(C54,'Machinery Input Tables'!$AH$6:$BA$30,20,FALSE))*IF(IFERROR(VLOOKUP(B54,'Machinery Input Tables'!$B$6:$AF$121,13,FALSE)='Machinery Input Tables'!$N$128,1),1,VLOOKUP(B54,'Machinery Input Tables'!$B$6:$AF$121,28,FALSE))*D54,"-")</f>
        <v>-</v>
      </c>
      <c r="I54" s="162">
        <f t="shared" si="6"/>
        <v>0</v>
      </c>
    </row>
    <row r="55" spans="2:9" ht="16.5">
      <c r="B55" s="149"/>
      <c r="C55" s="163" t="s">
        <v>31</v>
      </c>
      <c r="D55" s="255"/>
      <c r="E55" s="164">
        <f>SUM(E43:E54)</f>
        <v>6.3314321728691478</v>
      </c>
      <c r="F55" s="164">
        <f>SUM(F43:F54)</f>
        <v>0.9469877951180472</v>
      </c>
      <c r="G55" s="164">
        <f>SUM(G43:G54)</f>
        <v>80.218850778538922</v>
      </c>
      <c r="H55" s="164">
        <f>SUM(H43:H54)</f>
        <v>102.3151739503998</v>
      </c>
      <c r="I55" s="164">
        <f>SUM(I43:I54)</f>
        <v>182.53402472893868</v>
      </c>
    </row>
    <row r="56" spans="2:9" ht="16.5">
      <c r="B56" s="149"/>
      <c r="C56" s="149"/>
      <c r="D56" s="150"/>
      <c r="E56" s="150"/>
      <c r="F56" s="150"/>
      <c r="G56" s="150"/>
      <c r="H56" s="150"/>
      <c r="I56" s="150"/>
    </row>
    <row r="57" spans="2:9" ht="16.5">
      <c r="B57" s="149"/>
      <c r="C57" s="149"/>
      <c r="D57" s="150"/>
      <c r="E57" s="150"/>
      <c r="F57" s="150"/>
      <c r="G57" s="150"/>
      <c r="H57" s="150"/>
      <c r="I57" s="150"/>
    </row>
    <row r="58" spans="2:9" ht="16.5">
      <c r="B58" s="329" t="s">
        <v>786</v>
      </c>
      <c r="C58" s="329"/>
      <c r="D58" s="329"/>
      <c r="E58" s="329"/>
      <c r="F58" s="329"/>
      <c r="G58" s="329"/>
      <c r="H58" s="329"/>
      <c r="I58" s="329"/>
    </row>
    <row r="59" spans="2:9" ht="16.5">
      <c r="B59" s="326" t="s">
        <v>535</v>
      </c>
      <c r="C59" s="328" t="s">
        <v>536</v>
      </c>
      <c r="D59" s="261" t="s">
        <v>15</v>
      </c>
      <c r="E59" s="328" t="s">
        <v>537</v>
      </c>
      <c r="F59" s="328" t="s">
        <v>538</v>
      </c>
      <c r="G59" s="144" t="s">
        <v>539</v>
      </c>
      <c r="H59" s="144" t="s">
        <v>540</v>
      </c>
      <c r="I59" s="330" t="s">
        <v>541</v>
      </c>
    </row>
    <row r="60" spans="2:9" ht="16.5">
      <c r="B60" s="327"/>
      <c r="C60" s="329"/>
      <c r="D60" s="262" t="s">
        <v>810</v>
      </c>
      <c r="E60" s="329"/>
      <c r="F60" s="329"/>
      <c r="G60" s="142" t="s">
        <v>554</v>
      </c>
      <c r="H60" s="142" t="s">
        <v>554</v>
      </c>
      <c r="I60" s="331"/>
    </row>
    <row r="61" spans="2:9" ht="16.5">
      <c r="B61" s="149"/>
      <c r="C61" s="149"/>
      <c r="D61" s="150" t="s">
        <v>560</v>
      </c>
      <c r="E61" s="150" t="s">
        <v>557</v>
      </c>
      <c r="F61" s="150" t="s">
        <v>558</v>
      </c>
      <c r="G61" s="150" t="s">
        <v>559</v>
      </c>
      <c r="H61" s="150" t="s">
        <v>559</v>
      </c>
      <c r="I61" s="150" t="s">
        <v>561</v>
      </c>
    </row>
    <row r="62" spans="2:9" ht="16.5">
      <c r="B62" s="300" t="s">
        <v>764</v>
      </c>
      <c r="C62" s="300" t="s">
        <v>763</v>
      </c>
      <c r="D62" s="301">
        <v>1</v>
      </c>
      <c r="E62" s="141">
        <f>IFERROR(IF(ISBLANK(C62),"",IF(OR(ISBLANK(B62),IFERROR(VLOOKUP(B62,'Machinery Input Tables'!$B$6:$AF$121,13,FALSE),"")='Machinery Input Tables'!$N$128),1,VLOOKUP(B62,'Machinery Input Tables'!$B$6:$AF$121,28,FALSE))*VLOOKUP(C62,'Machinery Input Tables'!$AH$6:$BA$30,19,FALSE))*D62,"-")</f>
        <v>0.65999999999999992</v>
      </c>
      <c r="F62" s="141">
        <f>IFERROR(IF(AND(ISBLANK(B62)*ISBLANK(C62)),"",IF(ISBLANK(B62),1,IF(VLOOKUP(B62,'Machinery Input Tables'!$B$6:$AF$121,13,FALSE)='Machinery Input Tables'!$N$128,VLOOKUP(B62,'Machinery Input Tables'!$B$6:$AF$121,17,FALSE),VLOOKUP(B62,'Machinery Input Tables'!$B$6:$AF$121,28,FALSE))))*D62,"-")</f>
        <v>5.3571428571428568E-2</v>
      </c>
      <c r="G62" s="152">
        <f>IFERROR(IF(ISBLANK(C62),"",E62*'Machinery Input Tables'!$BP$10+F62*'Machinery Input Tables'!$BP$6+(VLOOKUP(C62,'Machinery Input Tables'!$AH$6:$BA$30,18,FALSE)*IF(IFERROR(VLOOKUP(B62,'Machinery Input Tables'!$B$6:$AF$121,13,FALSE)='Machinery Input Tables'!$N$128,1),1,VLOOKUP(B62,'Machinery Input Tables'!$B$6:$AF$121,28,FALSE))+IFERROR(VLOOKUP(B62,'Machinery Input Tables'!$B$6:$AF$121,27,FALSE),0))*D62),"-")</f>
        <v>10.315987687271134</v>
      </c>
      <c r="H62" s="141">
        <f>IFERROR((IFERROR(VLOOKUP(B62,'Machinery Input Tables'!$B$6:$AF$121,24,FALSE),0)+VLOOKUP(C62,'Machinery Input Tables'!$AH$6:$BA$30,20,FALSE))*IF(IFERROR(VLOOKUP(B62,'Machinery Input Tables'!$B$6:$AF$121,13,FALSE)='Machinery Input Tables'!$N$128,1),1,VLOOKUP(B62,'Machinery Input Tables'!$B$6:$AF$121,28,FALSE))*D62,"-")</f>
        <v>15.04263219469928</v>
      </c>
      <c r="I62" s="152">
        <f t="shared" ref="I62:I72" si="7">IFERROR(IF(ISBLANK(AND(B62,C62)),"",SUM(G62:H62)),"-")</f>
        <v>25.358619881970412</v>
      </c>
    </row>
    <row r="63" spans="2:9" ht="16.5">
      <c r="B63" s="300" t="s">
        <v>798</v>
      </c>
      <c r="C63" s="300" t="s">
        <v>803</v>
      </c>
      <c r="D63" s="301">
        <v>2</v>
      </c>
      <c r="E63" s="141">
        <f>IFERROR(IF(ISBLANK(C63),"",IF(OR(ISBLANK(B63),IFERROR(VLOOKUP(B63,'Machinery Input Tables'!$B$6:$AF$121,13,FALSE),"")='Machinery Input Tables'!$N$128),1,VLOOKUP(B63,'Machinery Input Tables'!$B$6:$AF$121,28,FALSE))*VLOOKUP(C63,'Machinery Input Tables'!$AH$6:$BA$30,19,FALSE))*D63,"-")</f>
        <v>0.16385416666666666</v>
      </c>
      <c r="F63" s="141">
        <f>IFERROR(IF(AND(ISBLANK(B63)*ISBLANK(C63)),"",IF(ISBLANK(B63),1,IF(VLOOKUP(B63,'Machinery Input Tables'!$B$6:$AF$121,13,FALSE)='Machinery Input Tables'!$N$128,VLOOKUP(B63,'Machinery Input Tables'!$B$6:$AF$121,17,FALSE),VLOOKUP(B63,'Machinery Input Tables'!$B$6:$AF$121,28,FALSE))))*D63,"-")</f>
        <v>2.8645833333333332E-2</v>
      </c>
      <c r="G63" s="152">
        <f>IFERROR(IF(ISBLANK(C63),"",E63*'Machinery Input Tables'!$BP$10+F63*'Machinery Input Tables'!$BP$6+(VLOOKUP(C63,'Machinery Input Tables'!$AH$6:$BA$30,18,FALSE)*IF(IFERROR(VLOOKUP(B63,'Machinery Input Tables'!$B$6:$AF$121,13,FALSE)='Machinery Input Tables'!$N$128,1),1,VLOOKUP(B63,'Machinery Input Tables'!$B$6:$AF$121,28,FALSE))+IFERROR(VLOOKUP(B63,'Machinery Input Tables'!$B$6:$AF$121,27,FALSE),0))*D63),"-")</f>
        <v>2.3160556423628984</v>
      </c>
      <c r="H63" s="141">
        <f>IFERROR((IFERROR(VLOOKUP(B63,'Machinery Input Tables'!$B$6:$AF$121,24,FALSE),0)+VLOOKUP(C63,'Machinery Input Tables'!$AH$6:$BA$30,20,FALSE))*IF(IFERROR(VLOOKUP(B63,'Machinery Input Tables'!$B$6:$AF$121,13,FALSE)='Machinery Input Tables'!$N$128,1),1,VLOOKUP(B63,'Machinery Input Tables'!$B$6:$AF$121,28,FALSE))*D63,"-")</f>
        <v>2.0241260734095912</v>
      </c>
      <c r="I63" s="152">
        <f t="shared" si="7"/>
        <v>4.3401817157724896</v>
      </c>
    </row>
    <row r="64" spans="2:9" ht="16.5">
      <c r="B64" s="300" t="s">
        <v>811</v>
      </c>
      <c r="C64" s="300" t="s">
        <v>804</v>
      </c>
      <c r="D64" s="301">
        <v>1</v>
      </c>
      <c r="E64" s="141">
        <f>IFERROR(IF(ISBLANK(C64),"",IF(OR(ISBLANK(B64),IFERROR(VLOOKUP(B64,'Machinery Input Tables'!$B$6:$AF$121,13,FALSE),"")='Machinery Input Tables'!$N$128),1,VLOOKUP(B64,'Machinery Input Tables'!$B$6:$AF$121,28,FALSE))*VLOOKUP(C64,'Machinery Input Tables'!$AH$6:$BA$30,19,FALSE))*D64,"-")</f>
        <v>1.0947619047619046</v>
      </c>
      <c r="F64" s="141">
        <f>IFERROR(IF(AND(ISBLANK(B64)*ISBLANK(C64)),"",IF(ISBLANK(B64),1,IF(VLOOKUP(B64,'Machinery Input Tables'!$B$6:$AF$121,13,FALSE)='Machinery Input Tables'!$N$128,VLOOKUP(B64,'Machinery Input Tables'!$B$6:$AF$121,17,FALSE),VLOOKUP(B64,'Machinery Input Tables'!$B$6:$AF$121,28,FALSE))))*D64,"-")</f>
        <v>0.10476190476190476</v>
      </c>
      <c r="G64" s="152">
        <f>IFERROR(IF(ISBLANK(C64),"",E64*'Machinery Input Tables'!$BP$10+F64*'Machinery Input Tables'!$BP$6+(VLOOKUP(C64,'Machinery Input Tables'!$AH$6:$BA$30,18,FALSE)*IF(IFERROR(VLOOKUP(B64,'Machinery Input Tables'!$B$6:$AF$121,13,FALSE)='Machinery Input Tables'!$N$128,1),1,VLOOKUP(B64,'Machinery Input Tables'!$B$6:$AF$121,28,FALSE))+IFERROR(VLOOKUP(B64,'Machinery Input Tables'!$B$6:$AF$121,27,FALSE),0))*D64),"-")</f>
        <v>14.647926134508426</v>
      </c>
      <c r="H64" s="141">
        <f>IFERROR((IFERROR(VLOOKUP(B64,'Machinery Input Tables'!$B$6:$AF$121,24,FALSE),0)+VLOOKUP(C64,'Machinery Input Tables'!$AH$6:$BA$30,20,FALSE))*IF(IFERROR(VLOOKUP(B64,'Machinery Input Tables'!$B$6:$AF$121,13,FALSE)='Machinery Input Tables'!$N$128,1),1,VLOOKUP(B64,'Machinery Input Tables'!$B$6:$AF$121,28,FALSE))*D64,"-")</f>
        <v>19.918449503641831</v>
      </c>
      <c r="I64" s="152">
        <f t="shared" si="7"/>
        <v>34.566375638150255</v>
      </c>
    </row>
    <row r="65" spans="2:9" ht="16.5">
      <c r="B65" s="300" t="s">
        <v>782</v>
      </c>
      <c r="C65" s="300" t="s">
        <v>783</v>
      </c>
      <c r="D65" s="301">
        <v>0.02</v>
      </c>
      <c r="E65" s="141">
        <f>IFERROR(IF(ISBLANK(C65),"",IF(OR(ISBLANK(B65),IFERROR(VLOOKUP(B65,'Machinery Input Tables'!$B$6:$AF$121,13,FALSE),"")='Machinery Input Tables'!$N$128),1,VLOOKUP(B65,'Machinery Input Tables'!$B$6:$AF$121,28,FALSE))*VLOOKUP(C65,'Machinery Input Tables'!$AH$6:$BA$30,19,FALSE))*D65,"-")</f>
        <v>0.14250000000000002</v>
      </c>
      <c r="F65" s="141">
        <f>IFERROR(IF(AND(ISBLANK(B65)*ISBLANK(C65)),"",IF(ISBLANK(B65),1,IF(VLOOKUP(B65,'Machinery Input Tables'!$B$6:$AF$121,13,FALSE)='Machinery Input Tables'!$N$128,VLOOKUP(B65,'Machinery Input Tables'!$B$6:$AF$121,17,FALSE),VLOOKUP(B65,'Machinery Input Tables'!$B$6:$AF$121,28,FALSE))))*D65,"-")</f>
        <v>2.2000000000000002E-2</v>
      </c>
      <c r="G65" s="152">
        <f>IFERROR(IF(ISBLANK(C65),"",E65*'Machinery Input Tables'!$BP$10+F65*'Machinery Input Tables'!$BP$6+(VLOOKUP(C65,'Machinery Input Tables'!$AH$6:$BA$30,18,FALSE)*IF(IFERROR(VLOOKUP(B65,'Machinery Input Tables'!$B$6:$AF$121,13,FALSE)='Machinery Input Tables'!$N$128,1),1,VLOOKUP(B65,'Machinery Input Tables'!$B$6:$AF$121,28,FALSE))+IFERROR(VLOOKUP(B65,'Machinery Input Tables'!$B$6:$AF$121,27,FALSE),0))*D65),"-")</f>
        <v>1.4153182692889144</v>
      </c>
      <c r="H65" s="141">
        <f>IFERROR((IFERROR(VLOOKUP(B65,'Machinery Input Tables'!$B$6:$AF$121,24,FALSE),0)+VLOOKUP(C65,'Machinery Input Tables'!$AH$6:$BA$30,20,FALSE))*IF(IFERROR(VLOOKUP(B65,'Machinery Input Tables'!$B$6:$AF$121,13,FALSE)='Machinery Input Tables'!$N$128,1),1,VLOOKUP(B65,'Machinery Input Tables'!$B$6:$AF$121,28,FALSE))*D65,"-")</f>
        <v>0.64884885640557866</v>
      </c>
      <c r="I65" s="152">
        <f t="shared" si="7"/>
        <v>2.0641671256944929</v>
      </c>
    </row>
    <row r="66" spans="2:9" ht="16.5">
      <c r="B66" s="300"/>
      <c r="C66" s="300" t="s">
        <v>799</v>
      </c>
      <c r="D66" s="301">
        <v>0.02</v>
      </c>
      <c r="E66" s="141">
        <f>IFERROR(IF(ISBLANK(C66),"",IF(OR(ISBLANK(B66),IFERROR(VLOOKUP(B66,'Machinery Input Tables'!$B$6:$AF$121,13,FALSE),"")='Machinery Input Tables'!$N$128),1,VLOOKUP(B66,'Machinery Input Tables'!$B$6:$AF$121,28,FALSE))*VLOOKUP(C66,'Machinery Input Tables'!$AH$6:$BA$30,19,FALSE))*D66,"-")</f>
        <v>9.7500000000000003E-2</v>
      </c>
      <c r="F66" s="141">
        <f>IFERROR(IF(AND(ISBLANK(B66)*ISBLANK(C66)),"",IF(ISBLANK(B66),1,IF(VLOOKUP(B66,'Machinery Input Tables'!$B$6:$AF$121,13,FALSE)='Machinery Input Tables'!$N$128,VLOOKUP(B66,'Machinery Input Tables'!$B$6:$AF$121,17,FALSE),VLOOKUP(B66,'Machinery Input Tables'!$B$6:$AF$121,28,FALSE))))*D66,"-")</f>
        <v>0.02</v>
      </c>
      <c r="G66" s="152">
        <f>IFERROR(IF(ISBLANK(C66),"",E66*'Machinery Input Tables'!$BP$10+F66*'Machinery Input Tables'!$BP$6+(VLOOKUP(C66,'Machinery Input Tables'!$AH$6:$BA$30,18,FALSE)*IF(IFERROR(VLOOKUP(B66,'Machinery Input Tables'!$B$6:$AF$121,13,FALSE)='Machinery Input Tables'!$N$128,1),1,VLOOKUP(B66,'Machinery Input Tables'!$B$6:$AF$121,28,FALSE))+IFERROR(VLOOKUP(B66,'Machinery Input Tables'!$B$6:$AF$121,27,FALSE),0))*D66),"-")</f>
        <v>0.92820833333333341</v>
      </c>
      <c r="H66" s="141">
        <f>IFERROR((IFERROR(VLOOKUP(B66,'Machinery Input Tables'!$B$6:$AF$121,24,FALSE),0)+VLOOKUP(C66,'Machinery Input Tables'!$AH$6:$BA$30,20,FALSE))*IF(IFERROR(VLOOKUP(B66,'Machinery Input Tables'!$B$6:$AF$121,13,FALSE)='Machinery Input Tables'!$N$128,1),1,VLOOKUP(B66,'Machinery Input Tables'!$B$6:$AF$121,28,FALSE))*D66,"-")</f>
        <v>0.28942376370936695</v>
      </c>
      <c r="I66" s="152">
        <f t="shared" si="7"/>
        <v>1.2176320970427004</v>
      </c>
    </row>
    <row r="67" spans="2:9" ht="16.5">
      <c r="B67" s="300" t="s">
        <v>800</v>
      </c>
      <c r="C67" s="300" t="s">
        <v>803</v>
      </c>
      <c r="D67" s="301">
        <v>0.02</v>
      </c>
      <c r="E67" s="141" t="str">
        <f>IFERROR(IF(ISBLANK(C67),"",IF(OR(ISBLANK(B67),IFERROR(VLOOKUP(B67,'Machinery Input Tables'!$B$6:$AF$121,13,FALSE),"")='Machinery Input Tables'!$N$128),1,VLOOKUP(B67,'Machinery Input Tables'!$B$6:$AF$121,28,FALSE))*VLOOKUP(C67,'Machinery Input Tables'!$AH$6:$BA$30,19,FALSE))*D67,"-")</f>
        <v>-</v>
      </c>
      <c r="F67" s="141" t="str">
        <f>IFERROR(IF(AND(ISBLANK(B67)*ISBLANK(C67)),"",IF(ISBLANK(B67),1,IF(VLOOKUP(B67,'Machinery Input Tables'!$B$6:$AF$121,13,FALSE)='Machinery Input Tables'!$N$128,VLOOKUP(B67,'Machinery Input Tables'!$B$6:$AF$121,17,FALSE),VLOOKUP(B67,'Machinery Input Tables'!$B$6:$AF$121,28,FALSE))))*D67,"-")</f>
        <v>-</v>
      </c>
      <c r="G67" s="152" t="str">
        <f>IFERROR(IF(ISBLANK(C67),"",E67*'Machinery Input Tables'!$BP$10+F67*'Machinery Input Tables'!$BP$6+(VLOOKUP(C67,'Machinery Input Tables'!$AH$6:$BA$30,18,FALSE)*IF(IFERROR(VLOOKUP(B67,'Machinery Input Tables'!$B$6:$AF$121,13,FALSE)='Machinery Input Tables'!$N$128,1),1,VLOOKUP(B67,'Machinery Input Tables'!$B$6:$AF$121,28,FALSE))+IFERROR(VLOOKUP(B67,'Machinery Input Tables'!$B$6:$AF$121,27,FALSE),0))*D67),"-")</f>
        <v>-</v>
      </c>
      <c r="H67" s="141">
        <f>IFERROR((IFERROR(VLOOKUP(B67,'Machinery Input Tables'!$B$6:$AF$121,24,FALSE),0)+VLOOKUP(C67,'Machinery Input Tables'!$AH$6:$BA$30,20,FALSE))*IF(IFERROR(VLOOKUP(B67,'Machinery Input Tables'!$B$6:$AF$121,13,FALSE)='Machinery Input Tables'!$N$128,1),1,VLOOKUP(B67,'Machinery Input Tables'!$B$6:$AF$121,28,FALSE))*D67,"-")</f>
        <v>0.81187231521216274</v>
      </c>
      <c r="I67" s="152">
        <f t="shared" si="7"/>
        <v>0.81187231521216274</v>
      </c>
    </row>
    <row r="68" spans="2:9" ht="14.25" customHeight="1">
      <c r="B68" s="300"/>
      <c r="C68" s="300" t="s">
        <v>765</v>
      </c>
      <c r="D68" s="301">
        <v>0.15</v>
      </c>
      <c r="E68" s="141">
        <f>IFERROR(IF(ISBLANK(C68),"",IF(OR(ISBLANK(B68),IFERROR(VLOOKUP(B68,'Machinery Input Tables'!$B$6:$AF$121,13,FALSE),"")='Machinery Input Tables'!$N$128),1,VLOOKUP(B68,'Machinery Input Tables'!$B$6:$AF$121,28,FALSE))*VLOOKUP(C68,'Machinery Input Tables'!$AH$6:$BA$30,19,FALSE))*D68,"-")</f>
        <v>0.44999999999999996</v>
      </c>
      <c r="F68" s="141">
        <f>IFERROR(IF(AND(ISBLANK(B68)*ISBLANK(C68)),"",IF(ISBLANK(B68),1,IF(VLOOKUP(B68,'Machinery Input Tables'!$B$6:$AF$121,13,FALSE)='Machinery Input Tables'!$N$128,VLOOKUP(B68,'Machinery Input Tables'!$B$6:$AF$121,17,FALSE),VLOOKUP(B68,'Machinery Input Tables'!$B$6:$AF$121,28,FALSE))))*D68,"-")</f>
        <v>0.15</v>
      </c>
      <c r="G68" s="152">
        <f>IFERROR(IF(ISBLANK(C68),"",E68*'Machinery Input Tables'!$BP$10+F68*'Machinery Input Tables'!$BP$6+(VLOOKUP(C68,'Machinery Input Tables'!$AH$6:$BA$30,18,FALSE)*IF(IFERROR(VLOOKUP(B68,'Machinery Input Tables'!$B$6:$AF$121,13,FALSE)='Machinery Input Tables'!$N$128,1),1,VLOOKUP(B68,'Machinery Input Tables'!$B$6:$AF$121,28,FALSE))+IFERROR(VLOOKUP(B68,'Machinery Input Tables'!$B$6:$AF$121,27,FALSE),0))*D68),"-")</f>
        <v>8.0151315789473685</v>
      </c>
      <c r="H68" s="141">
        <f>IFERROR((IFERROR(VLOOKUP(B68,'Machinery Input Tables'!$B$6:$AF$121,24,FALSE),0)+VLOOKUP(C68,'Machinery Input Tables'!$AH$6:$BA$30,20,FALSE))*IF(IFERROR(VLOOKUP(B68,'Machinery Input Tables'!$B$6:$AF$121,13,FALSE)='Machinery Input Tables'!$N$128,1),1,VLOOKUP(B68,'Machinery Input Tables'!$B$6:$AF$121,28,FALSE))*D68,"-")</f>
        <v>3.2463305788258356</v>
      </c>
      <c r="I68" s="152">
        <f t="shared" si="7"/>
        <v>11.261462157773204</v>
      </c>
    </row>
    <row r="69" spans="2:9" ht="16.5">
      <c r="B69" s="300"/>
      <c r="C69" s="300"/>
      <c r="D69" s="301"/>
      <c r="E69" s="141" t="str">
        <f>IFERROR(IF(ISBLANK(C69),"",IF(OR(ISBLANK(B69),IFERROR(VLOOKUP(B69,'Machinery Input Tables'!$B$6:$AF$121,13,FALSE),"")='Machinery Input Tables'!$N$128),1,VLOOKUP(B69,'Machinery Input Tables'!$B$6:$AF$121,28,FALSE))*VLOOKUP(C69,'Machinery Input Tables'!$AH$6:$BA$30,19,FALSE))*D69,"-")</f>
        <v>-</v>
      </c>
      <c r="F69" s="141" t="str">
        <f>IFERROR(IF(AND(ISBLANK(B69)*ISBLANK(C69)),"",IF(ISBLANK(B69),1,IF(VLOOKUP(B69,'Machinery Input Tables'!$B$6:$AF$121,13,FALSE)='Machinery Input Tables'!$N$128,VLOOKUP(B69,'Machinery Input Tables'!$B$6:$AF$121,17,FALSE),VLOOKUP(B69,'Machinery Input Tables'!$B$6:$AF$121,28,FALSE))))*D69,"-")</f>
        <v>-</v>
      </c>
      <c r="G69" s="152" t="str">
        <f>IFERROR(IF(ISBLANK(C69),"",E69*'Machinery Input Tables'!$BP$10+F69*'Machinery Input Tables'!$BP$6+(VLOOKUP(C69,'Machinery Input Tables'!$AH$6:$BA$30,18,FALSE)*IF(IFERROR(VLOOKUP(B69,'Machinery Input Tables'!$B$6:$AF$121,13,FALSE)='Machinery Input Tables'!$N$128,1),1,VLOOKUP(B69,'Machinery Input Tables'!$B$6:$AF$121,28,FALSE))+IFERROR(VLOOKUP(B69,'Machinery Input Tables'!$B$6:$AF$121,27,FALSE),0))*D69),"-")</f>
        <v/>
      </c>
      <c r="H69" s="141" t="str">
        <f>IFERROR((IFERROR(VLOOKUP(B69,'Machinery Input Tables'!$B$6:$AF$121,24,FALSE),0)+VLOOKUP(C69,'Machinery Input Tables'!$AH$6:$BA$30,20,FALSE))*IF(IFERROR(VLOOKUP(B69,'Machinery Input Tables'!$B$6:$AF$121,13,FALSE)='Machinery Input Tables'!$N$128,1),1,VLOOKUP(B69,'Machinery Input Tables'!$B$6:$AF$121,28,FALSE))*D69,"-")</f>
        <v>-</v>
      </c>
      <c r="I69" s="152">
        <f t="shared" si="7"/>
        <v>0</v>
      </c>
    </row>
    <row r="70" spans="2:9" ht="16.5">
      <c r="B70" s="300"/>
      <c r="C70" s="300"/>
      <c r="D70" s="301"/>
      <c r="E70" s="141" t="str">
        <f>IFERROR(IF(ISBLANK(C70),"",IF(OR(ISBLANK(B70),IFERROR(VLOOKUP(B70,'Machinery Input Tables'!$B$6:$AF$121,13,FALSE),"")='Machinery Input Tables'!$N$128),1,VLOOKUP(B70,'Machinery Input Tables'!$B$6:$AF$121,28,FALSE))*VLOOKUP(C70,'Machinery Input Tables'!$AH$6:$BA$30,19,FALSE))*D70,"-")</f>
        <v>-</v>
      </c>
      <c r="F70" s="141" t="str">
        <f>IFERROR(IF(AND(ISBLANK(B70)*ISBLANK(C70)),"",IF(ISBLANK(B70),1,IF(VLOOKUP(B70,'Machinery Input Tables'!$B$6:$AF$121,13,FALSE)='Machinery Input Tables'!$N$128,VLOOKUP(B70,'Machinery Input Tables'!$B$6:$AF$121,17,FALSE),VLOOKUP(B70,'Machinery Input Tables'!$B$6:$AF$121,28,FALSE))))*D70,"-")</f>
        <v>-</v>
      </c>
      <c r="G70" s="152" t="str">
        <f>IFERROR(IF(ISBLANK(C70),"",E70*'Machinery Input Tables'!$BP$10+F70*'Machinery Input Tables'!$BP$6+(VLOOKUP(C70,'Machinery Input Tables'!$AH$6:$BA$30,18,FALSE)*IF(IFERROR(VLOOKUP(B70,'Machinery Input Tables'!$B$6:$AF$121,13,FALSE)='Machinery Input Tables'!$N$128,1),1,VLOOKUP(B70,'Machinery Input Tables'!$B$6:$AF$121,28,FALSE))+IFERROR(VLOOKUP(B70,'Machinery Input Tables'!$B$6:$AF$121,27,FALSE),0))*D70),"-")</f>
        <v/>
      </c>
      <c r="H70" s="141" t="str">
        <f>IFERROR((IFERROR(VLOOKUP(B70,'Machinery Input Tables'!$B$6:$AF$121,24,FALSE),0)+VLOOKUP(C70,'Machinery Input Tables'!$AH$6:$BA$30,20,FALSE))*IF(IFERROR(VLOOKUP(B70,'Machinery Input Tables'!$B$6:$AF$121,13,FALSE)='Machinery Input Tables'!$N$128,1),1,VLOOKUP(B70,'Machinery Input Tables'!$B$6:$AF$121,28,FALSE))*D70,"-")</f>
        <v>-</v>
      </c>
      <c r="I70" s="152">
        <f t="shared" si="7"/>
        <v>0</v>
      </c>
    </row>
    <row r="71" spans="2:9" ht="16.5">
      <c r="B71" s="300"/>
      <c r="C71" s="300"/>
      <c r="D71" s="301"/>
      <c r="E71" s="141" t="str">
        <f>IFERROR(IF(ISBLANK(C71),"",IF(OR(ISBLANK(B71),IFERROR(VLOOKUP(B71,'Machinery Input Tables'!$B$6:$AF$121,13,FALSE),"")='Machinery Input Tables'!$N$128),1,VLOOKUP(B71,'Machinery Input Tables'!$B$6:$AF$121,28,FALSE))*VLOOKUP(C71,'Machinery Input Tables'!$AH$6:$BA$30,19,FALSE))*D71,"-")</f>
        <v>-</v>
      </c>
      <c r="F71" s="141" t="str">
        <f>IFERROR(IF(AND(ISBLANK(B71)*ISBLANK(C71)),"",IF(ISBLANK(B71),1,IF(VLOOKUP(B71,'Machinery Input Tables'!$B$6:$AF$121,13,FALSE)='Machinery Input Tables'!$N$128,VLOOKUP(B71,'Machinery Input Tables'!$B$6:$AF$121,17,FALSE),VLOOKUP(B71,'Machinery Input Tables'!$B$6:$AF$121,28,FALSE))))*D71,"-")</f>
        <v>-</v>
      </c>
      <c r="G71" s="152" t="str">
        <f>IFERROR(IF(ISBLANK(C71),"",E71*'Machinery Input Tables'!$BP$10+F71*'Machinery Input Tables'!$BP$6+(VLOOKUP(C71,'Machinery Input Tables'!$AH$6:$BA$30,18,FALSE)*IF(IFERROR(VLOOKUP(B71,'Machinery Input Tables'!$B$6:$AF$121,13,FALSE)='Machinery Input Tables'!$N$128,1),1,VLOOKUP(B71,'Machinery Input Tables'!$B$6:$AF$121,28,FALSE))+IFERROR(VLOOKUP(B71,'Machinery Input Tables'!$B$6:$AF$121,27,FALSE),0))*D71),"-")</f>
        <v/>
      </c>
      <c r="H71" s="141" t="str">
        <f>IFERROR((IFERROR(VLOOKUP(B71,'Machinery Input Tables'!$B$6:$AF$121,24,FALSE),0)+VLOOKUP(C71,'Machinery Input Tables'!$AH$6:$BA$30,20,FALSE))*IF(IFERROR(VLOOKUP(B71,'Machinery Input Tables'!$B$6:$AF$121,13,FALSE)='Machinery Input Tables'!$N$128,1),1,VLOOKUP(B71,'Machinery Input Tables'!$B$6:$AF$121,28,FALSE))*D71,"-")</f>
        <v>-</v>
      </c>
      <c r="I71" s="152">
        <f t="shared" si="7"/>
        <v>0</v>
      </c>
    </row>
    <row r="72" spans="2:9" ht="16.5">
      <c r="B72" s="302"/>
      <c r="C72" s="302"/>
      <c r="D72" s="303"/>
      <c r="E72" s="161" t="str">
        <f>IFERROR(IF(ISBLANK(C72),"",IF(OR(ISBLANK(B72),IFERROR(VLOOKUP(B72,'Machinery Input Tables'!$B$6:$AF$121,13,FALSE),"")='Machinery Input Tables'!$N$128),1,VLOOKUP(B72,'Machinery Input Tables'!$B$6:$AF$121,28,FALSE))*VLOOKUP(C72,'Machinery Input Tables'!$AH$6:$BA$30,19,FALSE))*D72,"-")</f>
        <v>-</v>
      </c>
      <c r="F72" s="161" t="str">
        <f>IFERROR(IF(AND(ISBLANK(B72)*ISBLANK(C72)),"",IF(ISBLANK(B72),1,IF(VLOOKUP(B72,'Machinery Input Tables'!$B$6:$AF$121,13,FALSE)='Machinery Input Tables'!$N$128,VLOOKUP(B72,'Machinery Input Tables'!$B$6:$AF$121,17,FALSE),VLOOKUP(B72,'Machinery Input Tables'!$B$6:$AF$121,28,FALSE))))*D72,"-")</f>
        <v>-</v>
      </c>
      <c r="G72" s="162" t="str">
        <f>IFERROR(IF(ISBLANK(C72),"",E72*'Machinery Input Tables'!$BP$10+F72*'Machinery Input Tables'!$BP$6+(VLOOKUP(C72,'Machinery Input Tables'!$AH$6:$BA$30,18,FALSE)*IF(IFERROR(VLOOKUP(B72,'Machinery Input Tables'!$B$6:$AF$121,13,FALSE)='Machinery Input Tables'!$N$128,1),1,VLOOKUP(B72,'Machinery Input Tables'!$B$6:$AF$121,28,FALSE))+IFERROR(VLOOKUP(B72,'Machinery Input Tables'!$B$6:$AF$121,27,FALSE),0))*D72),"-")</f>
        <v/>
      </c>
      <c r="H72" s="161" t="str">
        <f>IFERROR((IFERROR(VLOOKUP(B72,'Machinery Input Tables'!$B$6:$AF$121,24,FALSE),0)+VLOOKUP(C72,'Machinery Input Tables'!$AH$6:$BA$30,20,FALSE))*IF(IFERROR(VLOOKUP(B72,'Machinery Input Tables'!$B$6:$AF$121,13,FALSE)='Machinery Input Tables'!$N$128,1),1,VLOOKUP(B72,'Machinery Input Tables'!$B$6:$AF$121,28,FALSE))*D72,"-")</f>
        <v>-</v>
      </c>
      <c r="I72" s="162">
        <f t="shared" si="7"/>
        <v>0</v>
      </c>
    </row>
    <row r="73" spans="2:9" ht="16.5">
      <c r="B73" s="149"/>
      <c r="C73" s="163" t="s">
        <v>31</v>
      </c>
      <c r="D73" s="255"/>
      <c r="E73" s="164">
        <f>SUM(E62:E72)</f>
        <v>2.6086160714285711</v>
      </c>
      <c r="F73" s="164">
        <f t="shared" ref="F73" si="8">SUM(F62:F72)</f>
        <v>0.37897916666666664</v>
      </c>
      <c r="G73" s="164">
        <f t="shared" ref="G73" si="9">SUM(G62:G72)</f>
        <v>37.638627645712077</v>
      </c>
      <c r="H73" s="164">
        <f t="shared" ref="H73" si="10">SUM(H62:H72)</f>
        <v>41.981683285903642</v>
      </c>
      <c r="I73" s="164">
        <f t="shared" ref="I73" si="11">SUM(I62:I72)</f>
        <v>79.62031093161572</v>
      </c>
    </row>
    <row r="74" spans="2:9" ht="16.5">
      <c r="B74" s="149"/>
      <c r="C74" s="163"/>
      <c r="D74" s="164"/>
      <c r="E74" s="164"/>
      <c r="F74" s="164"/>
      <c r="G74" s="164"/>
      <c r="H74" s="164"/>
      <c r="I74" s="164"/>
    </row>
    <row r="75" spans="2:9" ht="16.5">
      <c r="B75" s="149"/>
      <c r="C75" s="163"/>
      <c r="D75" s="164"/>
      <c r="E75" s="164"/>
      <c r="F75" s="164"/>
      <c r="G75" s="164"/>
      <c r="H75" s="164"/>
      <c r="I75" s="164"/>
    </row>
    <row r="76" spans="2:9" ht="16.5"/>
    <row r="77" spans="2:9" ht="16.5">
      <c r="B77" s="329" t="s">
        <v>815</v>
      </c>
      <c r="C77" s="329"/>
      <c r="D77" s="329"/>
      <c r="E77" s="329"/>
      <c r="F77" s="329"/>
      <c r="G77" s="329"/>
      <c r="H77" s="329"/>
      <c r="I77" s="329"/>
    </row>
    <row r="78" spans="2:9" ht="16.5">
      <c r="B78" s="326" t="s">
        <v>535</v>
      </c>
      <c r="C78" s="328" t="s">
        <v>536</v>
      </c>
      <c r="D78" s="261" t="s">
        <v>15</v>
      </c>
      <c r="E78" s="328" t="s">
        <v>537</v>
      </c>
      <c r="F78" s="328" t="s">
        <v>538</v>
      </c>
      <c r="G78" s="144" t="s">
        <v>539</v>
      </c>
      <c r="H78" s="144" t="s">
        <v>540</v>
      </c>
      <c r="I78" s="330" t="s">
        <v>541</v>
      </c>
    </row>
    <row r="79" spans="2:9" ht="16.5">
      <c r="B79" s="327"/>
      <c r="C79" s="329"/>
      <c r="D79" s="262" t="s">
        <v>810</v>
      </c>
      <c r="E79" s="329"/>
      <c r="F79" s="329"/>
      <c r="G79" s="142" t="s">
        <v>554</v>
      </c>
      <c r="H79" s="142" t="s">
        <v>554</v>
      </c>
      <c r="I79" s="331"/>
    </row>
    <row r="80" spans="2:9" ht="16.5">
      <c r="B80" s="149"/>
      <c r="C80" s="149"/>
      <c r="D80" s="150" t="s">
        <v>560</v>
      </c>
      <c r="E80" s="150" t="s">
        <v>557</v>
      </c>
      <c r="F80" s="150" t="s">
        <v>558</v>
      </c>
      <c r="G80" s="150" t="s">
        <v>559</v>
      </c>
      <c r="H80" s="150" t="s">
        <v>559</v>
      </c>
      <c r="I80" s="150" t="s">
        <v>561</v>
      </c>
    </row>
    <row r="81" spans="2:9" ht="16.5">
      <c r="B81" s="300" t="s">
        <v>812</v>
      </c>
      <c r="C81" s="300" t="s">
        <v>803</v>
      </c>
      <c r="D81" s="301">
        <v>1</v>
      </c>
      <c r="E81" s="141">
        <f>IFERROR(IF(ISBLANK(C81),"",IF(OR(ISBLANK(B81),IFERROR(VLOOKUP(B81,'Machinery Input Tables'!$B$6:$AF$121,13,FALSE),"")='Machinery Input Tables'!$N$128),1,VLOOKUP(B81,'Machinery Input Tables'!$B$6:$AF$121,28,FALSE))*VLOOKUP(C81,'Machinery Input Tables'!$AH$6:$BA$30,19,FALSE))*D81,"-")</f>
        <v>0.8988571428571428</v>
      </c>
      <c r="F81" s="141">
        <f>IFERROR(IF(AND(ISBLANK(B81)*ISBLANK(C81)),"",IF(ISBLANK(B81),1,IF(VLOOKUP(B81,'Machinery Input Tables'!$B$6:$AF$121,13,FALSE)='Machinery Input Tables'!$N$128,VLOOKUP(B81,'Machinery Input Tables'!$B$6:$AF$121,17,FALSE),VLOOKUP(B81,'Machinery Input Tables'!$B$6:$AF$121,28,FALSE))))*D81,"-")</f>
        <v>0.15714285714285714</v>
      </c>
      <c r="G81" s="152">
        <f>IFERROR(IF(ISBLANK(C81),"",E81*'Machinery Input Tables'!$BP$10+F81*'Machinery Input Tables'!$BP$6+(VLOOKUP(C81,'Machinery Input Tables'!$AH$6:$BA$30,18,FALSE)*IF(IFERROR(VLOOKUP(B81,'Machinery Input Tables'!$B$6:$AF$121,13,FALSE)='Machinery Input Tables'!$N$128,1),1,VLOOKUP(B81,'Machinery Input Tables'!$B$6:$AF$121,28,FALSE))+IFERROR(VLOOKUP(B81,'Machinery Input Tables'!$B$6:$AF$121,27,FALSE),0))*D81),"-")</f>
        <v>14.888517795954517</v>
      </c>
      <c r="H81" s="141">
        <f>IFERROR((IFERROR(VLOOKUP(B81,'Machinery Input Tables'!$B$6:$AF$121,24,FALSE),0)+VLOOKUP(C81,'Machinery Input Tables'!$AH$6:$BA$30,20,FALSE))*IF(IFERROR(VLOOKUP(B81,'Machinery Input Tables'!$B$6:$AF$121,13,FALSE)='Machinery Input Tables'!$N$128,1),1,VLOOKUP(B81,'Machinery Input Tables'!$B$6:$AF$121,28,FALSE))*D81,"-")</f>
        <v>19.198107054771704</v>
      </c>
      <c r="I81" s="152">
        <f t="shared" ref="I81:I90" si="12">IFERROR(IF(ISBLANK(AND(B81,C81)),"",SUM(G81:H81)),"-")</f>
        <v>34.086624850726224</v>
      </c>
    </row>
    <row r="82" spans="2:9" ht="16.5">
      <c r="B82" s="300" t="s">
        <v>798</v>
      </c>
      <c r="C82" s="300" t="s">
        <v>803</v>
      </c>
      <c r="D82" s="301">
        <v>1</v>
      </c>
      <c r="E82" s="141">
        <f>IFERROR(IF(ISBLANK(C82),"",IF(OR(ISBLANK(B82),IFERROR(VLOOKUP(B82,'Machinery Input Tables'!$B$6:$AF$121,13,FALSE),"")='Machinery Input Tables'!$N$128),1,VLOOKUP(B82,'Machinery Input Tables'!$B$6:$AF$121,28,FALSE))*VLOOKUP(C82,'Machinery Input Tables'!$AH$6:$BA$30,19,FALSE))*D82,"-")</f>
        <v>8.1927083333333331E-2</v>
      </c>
      <c r="F82" s="141">
        <f>IFERROR(IF(AND(ISBLANK(B82)*ISBLANK(C82)),"",IF(ISBLANK(B82),1,IF(VLOOKUP(B82,'Machinery Input Tables'!$B$6:$AF$121,13,FALSE)='Machinery Input Tables'!$N$128,VLOOKUP(B82,'Machinery Input Tables'!$B$6:$AF$121,17,FALSE),VLOOKUP(B82,'Machinery Input Tables'!$B$6:$AF$121,28,FALSE))))*D82,"-")</f>
        <v>1.4322916666666666E-2</v>
      </c>
      <c r="G82" s="152">
        <f>IFERROR(IF(ISBLANK(C82),"",E82*'Machinery Input Tables'!$BP$10+F82*'Machinery Input Tables'!$BP$6+(VLOOKUP(C82,'Machinery Input Tables'!$AH$6:$BA$30,18,FALSE)*IF(IFERROR(VLOOKUP(B82,'Machinery Input Tables'!$B$6:$AF$121,13,FALSE)='Machinery Input Tables'!$N$128,1),1,VLOOKUP(B82,'Machinery Input Tables'!$B$6:$AF$121,28,FALSE))+IFERROR(VLOOKUP(B82,'Machinery Input Tables'!$B$6:$AF$121,27,FALSE),0))*D82),"-")</f>
        <v>1.1580278211814492</v>
      </c>
      <c r="H82" s="141">
        <f>IFERROR((IFERROR(VLOOKUP(B82,'Machinery Input Tables'!$B$6:$AF$121,24,FALSE),0)+VLOOKUP(C82,'Machinery Input Tables'!$AH$6:$BA$30,20,FALSE))*IF(IFERROR(VLOOKUP(B82,'Machinery Input Tables'!$B$6:$AF$121,13,FALSE)='Machinery Input Tables'!$N$128,1),1,VLOOKUP(B82,'Machinery Input Tables'!$B$6:$AF$121,28,FALSE))*D82,"-")</f>
        <v>1.0120630367047956</v>
      </c>
      <c r="I82" s="152">
        <f t="shared" si="12"/>
        <v>2.1700908578862448</v>
      </c>
    </row>
    <row r="83" spans="2:9" ht="16.5">
      <c r="B83" s="300" t="s">
        <v>811</v>
      </c>
      <c r="C83" s="300" t="s">
        <v>804</v>
      </c>
      <c r="D83" s="301">
        <v>1</v>
      </c>
      <c r="E83" s="141">
        <f>IFERROR(IF(ISBLANK(C83),"",IF(OR(ISBLANK(B83),IFERROR(VLOOKUP(B83,'Machinery Input Tables'!$B$6:$AF$121,13,FALSE),"")='Machinery Input Tables'!$N$128),1,VLOOKUP(B83,'Machinery Input Tables'!$B$6:$AF$121,28,FALSE))*VLOOKUP(C83,'Machinery Input Tables'!$AH$6:$BA$30,19,FALSE))*D83,"-")</f>
        <v>1.0947619047619046</v>
      </c>
      <c r="F83" s="141">
        <f>IFERROR(IF(AND(ISBLANK(B83)*ISBLANK(C83)),"",IF(ISBLANK(B83),1,IF(VLOOKUP(B83,'Machinery Input Tables'!$B$6:$AF$121,13,FALSE)='Machinery Input Tables'!$N$128,VLOOKUP(B83,'Machinery Input Tables'!$B$6:$AF$121,17,FALSE),VLOOKUP(B83,'Machinery Input Tables'!$B$6:$AF$121,28,FALSE))))*D83,"-")</f>
        <v>0.10476190476190476</v>
      </c>
      <c r="G83" s="152">
        <f>IFERROR(IF(ISBLANK(C83),"",E83*'Machinery Input Tables'!$BP$10+F83*'Machinery Input Tables'!$BP$6+(VLOOKUP(C83,'Machinery Input Tables'!$AH$6:$BA$30,18,FALSE)*IF(IFERROR(VLOOKUP(B83,'Machinery Input Tables'!$B$6:$AF$121,13,FALSE)='Machinery Input Tables'!$N$128,1),1,VLOOKUP(B83,'Machinery Input Tables'!$B$6:$AF$121,28,FALSE))+IFERROR(VLOOKUP(B83,'Machinery Input Tables'!$B$6:$AF$121,27,FALSE),0))*D83),"-")</f>
        <v>14.647926134508426</v>
      </c>
      <c r="H83" s="141">
        <f>IFERROR((IFERROR(VLOOKUP(B83,'Machinery Input Tables'!$B$6:$AF$121,24,FALSE),0)+VLOOKUP(C83,'Machinery Input Tables'!$AH$6:$BA$30,20,FALSE))*IF(IFERROR(VLOOKUP(B83,'Machinery Input Tables'!$B$6:$AF$121,13,FALSE)='Machinery Input Tables'!$N$128,1),1,VLOOKUP(B83,'Machinery Input Tables'!$B$6:$AF$121,28,FALSE))*D83,"-")</f>
        <v>19.918449503641831</v>
      </c>
      <c r="I83" s="152">
        <f t="shared" si="12"/>
        <v>34.566375638150255</v>
      </c>
    </row>
    <row r="84" spans="2:9" ht="16.5">
      <c r="B84" s="300" t="s">
        <v>782</v>
      </c>
      <c r="C84" s="300" t="s">
        <v>783</v>
      </c>
      <c r="D84" s="301">
        <v>4.4999999999999998E-2</v>
      </c>
      <c r="E84" s="141">
        <f>IFERROR(IF(ISBLANK(C84),"",IF(OR(ISBLANK(B84),IFERROR(VLOOKUP(B84,'Machinery Input Tables'!$B$6:$AF$121,13,FALSE),"")='Machinery Input Tables'!$N$128),1,VLOOKUP(B84,'Machinery Input Tables'!$B$6:$AF$121,28,FALSE))*VLOOKUP(C84,'Machinery Input Tables'!$AH$6:$BA$30,19,FALSE))*D84,"-")</f>
        <v>0.32062499999999999</v>
      </c>
      <c r="F84" s="141">
        <f>IFERROR(IF(AND(ISBLANK(B84)*ISBLANK(C84)),"",IF(ISBLANK(B84),1,IF(VLOOKUP(B84,'Machinery Input Tables'!$B$6:$AF$121,13,FALSE)='Machinery Input Tables'!$N$128,VLOOKUP(B84,'Machinery Input Tables'!$B$6:$AF$121,17,FALSE),VLOOKUP(B84,'Machinery Input Tables'!$B$6:$AF$121,28,FALSE))))*D84,"-")</f>
        <v>4.9500000000000002E-2</v>
      </c>
      <c r="G84" s="152">
        <f>IFERROR(IF(ISBLANK(C84),"",E84*'Machinery Input Tables'!$BP$10+F84*'Machinery Input Tables'!$BP$6+(VLOOKUP(C84,'Machinery Input Tables'!$AH$6:$BA$30,18,FALSE)*IF(IFERROR(VLOOKUP(B84,'Machinery Input Tables'!$B$6:$AF$121,13,FALSE)='Machinery Input Tables'!$N$128,1),1,VLOOKUP(B84,'Machinery Input Tables'!$B$6:$AF$121,28,FALSE))+IFERROR(VLOOKUP(B84,'Machinery Input Tables'!$B$6:$AF$121,27,FALSE),0))*D84),"-")</f>
        <v>3.1844661059000567</v>
      </c>
      <c r="H84" s="141">
        <f>IFERROR((IFERROR(VLOOKUP(B84,'Machinery Input Tables'!$B$6:$AF$121,24,FALSE),0)+VLOOKUP(C84,'Machinery Input Tables'!$AH$6:$BA$30,20,FALSE))*IF(IFERROR(VLOOKUP(B84,'Machinery Input Tables'!$B$6:$AF$121,13,FALSE)='Machinery Input Tables'!$N$128,1),1,VLOOKUP(B84,'Machinery Input Tables'!$B$6:$AF$121,28,FALSE))*D84,"-")</f>
        <v>1.4599099269125519</v>
      </c>
      <c r="I84" s="152">
        <f t="shared" si="12"/>
        <v>4.6443760328126089</v>
      </c>
    </row>
    <row r="85" spans="2:9" ht="16.5">
      <c r="B85" s="300"/>
      <c r="C85" s="300" t="s">
        <v>799</v>
      </c>
      <c r="D85" s="301">
        <v>4.4999999999999998E-2</v>
      </c>
      <c r="E85" s="141">
        <f>IFERROR(IF(ISBLANK(C85),"",IF(OR(ISBLANK(B85),IFERROR(VLOOKUP(B85,'Machinery Input Tables'!$B$6:$AF$121,13,FALSE),"")='Machinery Input Tables'!$N$128),1,VLOOKUP(B85,'Machinery Input Tables'!$B$6:$AF$121,28,FALSE))*VLOOKUP(C85,'Machinery Input Tables'!$AH$6:$BA$30,19,FALSE))*D85,"-")</f>
        <v>0.21937499999999999</v>
      </c>
      <c r="F85" s="141">
        <f>IFERROR(IF(AND(ISBLANK(B85)*ISBLANK(C85)),"",IF(ISBLANK(B85),1,IF(VLOOKUP(B85,'Machinery Input Tables'!$B$6:$AF$121,13,FALSE)='Machinery Input Tables'!$N$128,VLOOKUP(B85,'Machinery Input Tables'!$B$6:$AF$121,17,FALSE),VLOOKUP(B85,'Machinery Input Tables'!$B$6:$AF$121,28,FALSE))))*D85,"-")</f>
        <v>4.4999999999999998E-2</v>
      </c>
      <c r="G85" s="152">
        <f>IFERROR(IF(ISBLANK(C85),"",E85*'Machinery Input Tables'!$BP$10+F85*'Machinery Input Tables'!$BP$6+(VLOOKUP(C85,'Machinery Input Tables'!$AH$6:$BA$30,18,FALSE)*IF(IFERROR(VLOOKUP(B85,'Machinery Input Tables'!$B$6:$AF$121,13,FALSE)='Machinery Input Tables'!$N$128,1),1,VLOOKUP(B85,'Machinery Input Tables'!$B$6:$AF$121,28,FALSE))+IFERROR(VLOOKUP(B85,'Machinery Input Tables'!$B$6:$AF$121,27,FALSE),0))*D85),"-")</f>
        <v>2.0884687499999997</v>
      </c>
      <c r="H85" s="141">
        <f>IFERROR((IFERROR(VLOOKUP(B85,'Machinery Input Tables'!$B$6:$AF$121,24,FALSE),0)+VLOOKUP(C85,'Machinery Input Tables'!$AH$6:$BA$30,20,FALSE))*IF(IFERROR(VLOOKUP(B85,'Machinery Input Tables'!$B$6:$AF$121,13,FALSE)='Machinery Input Tables'!$N$128,1),1,VLOOKUP(B85,'Machinery Input Tables'!$B$6:$AF$121,28,FALSE))*D85,"-")</f>
        <v>0.65120346834607556</v>
      </c>
      <c r="I85" s="152">
        <f t="shared" si="12"/>
        <v>2.7396722183460751</v>
      </c>
    </row>
    <row r="86" spans="2:9" ht="16.5">
      <c r="B86" s="300" t="s">
        <v>800</v>
      </c>
      <c r="C86" s="300" t="s">
        <v>803</v>
      </c>
      <c r="D86" s="301">
        <v>0.03</v>
      </c>
      <c r="E86" s="141" t="str">
        <f>IFERROR(IF(ISBLANK(C86),"",IF(OR(ISBLANK(B86),IFERROR(VLOOKUP(B86,'Machinery Input Tables'!$B$6:$AF$121,13,FALSE),"")='Machinery Input Tables'!$N$128),1,VLOOKUP(B86,'Machinery Input Tables'!$B$6:$AF$121,28,FALSE))*VLOOKUP(C86,'Machinery Input Tables'!$AH$6:$BA$30,19,FALSE))*D86,"-")</f>
        <v>-</v>
      </c>
      <c r="F86" s="141" t="str">
        <f>IFERROR(IF(AND(ISBLANK(B86)*ISBLANK(C86)),"",IF(ISBLANK(B86),1,IF(VLOOKUP(B86,'Machinery Input Tables'!$B$6:$AF$121,13,FALSE)='Machinery Input Tables'!$N$128,VLOOKUP(B86,'Machinery Input Tables'!$B$6:$AF$121,17,FALSE),VLOOKUP(B86,'Machinery Input Tables'!$B$6:$AF$121,28,FALSE))))*D86,"-")</f>
        <v>-</v>
      </c>
      <c r="G86" s="152" t="str">
        <f>IFERROR(IF(ISBLANK(C86),"",E86*'Machinery Input Tables'!$BP$10+F86*'Machinery Input Tables'!$BP$6+(VLOOKUP(C86,'Machinery Input Tables'!$AH$6:$BA$30,18,FALSE)*IF(IFERROR(VLOOKUP(B86,'Machinery Input Tables'!$B$6:$AF$121,13,FALSE)='Machinery Input Tables'!$N$128,1),1,VLOOKUP(B86,'Machinery Input Tables'!$B$6:$AF$121,28,FALSE))+IFERROR(VLOOKUP(B86,'Machinery Input Tables'!$B$6:$AF$121,27,FALSE),0))*D86),"-")</f>
        <v>-</v>
      </c>
      <c r="H86" s="141">
        <f>IFERROR((IFERROR(VLOOKUP(B86,'Machinery Input Tables'!$B$6:$AF$121,24,FALSE),0)+VLOOKUP(C86,'Machinery Input Tables'!$AH$6:$BA$30,20,FALSE))*IF(IFERROR(VLOOKUP(B86,'Machinery Input Tables'!$B$6:$AF$121,13,FALSE)='Machinery Input Tables'!$N$128,1),1,VLOOKUP(B86,'Machinery Input Tables'!$B$6:$AF$121,28,FALSE))*D86,"-")</f>
        <v>1.2178084728182441</v>
      </c>
      <c r="I86" s="152">
        <f t="shared" si="12"/>
        <v>1.2178084728182441</v>
      </c>
    </row>
    <row r="87" spans="2:9" ht="16.5">
      <c r="B87" s="300"/>
      <c r="C87" s="300" t="s">
        <v>765</v>
      </c>
      <c r="D87" s="301">
        <v>0.1</v>
      </c>
      <c r="E87" s="141">
        <f>IFERROR(IF(ISBLANK(C87),"",IF(OR(ISBLANK(B87),IFERROR(VLOOKUP(B87,'Machinery Input Tables'!$B$6:$AF$121,13,FALSE),"")='Machinery Input Tables'!$N$128),1,VLOOKUP(B87,'Machinery Input Tables'!$B$6:$AF$121,28,FALSE))*VLOOKUP(C87,'Machinery Input Tables'!$AH$6:$BA$30,19,FALSE))*D87,"-")</f>
        <v>0.30000000000000004</v>
      </c>
      <c r="F87" s="141">
        <f>IFERROR(IF(AND(ISBLANK(B87)*ISBLANK(C87)),"",IF(ISBLANK(B87),1,IF(VLOOKUP(B87,'Machinery Input Tables'!$B$6:$AF$121,13,FALSE)='Machinery Input Tables'!$N$128,VLOOKUP(B87,'Machinery Input Tables'!$B$6:$AF$121,17,FALSE),VLOOKUP(B87,'Machinery Input Tables'!$B$6:$AF$121,28,FALSE))))*D87,"-")</f>
        <v>0.1</v>
      </c>
      <c r="G87" s="152">
        <f>IFERROR(IF(ISBLANK(C87),"",E87*'Machinery Input Tables'!$BP$10+F87*'Machinery Input Tables'!$BP$6+(VLOOKUP(C87,'Machinery Input Tables'!$AH$6:$BA$30,18,FALSE)*IF(IFERROR(VLOOKUP(B87,'Machinery Input Tables'!$B$6:$AF$121,13,FALSE)='Machinery Input Tables'!$N$128,1),1,VLOOKUP(B87,'Machinery Input Tables'!$B$6:$AF$121,28,FALSE))+IFERROR(VLOOKUP(B87,'Machinery Input Tables'!$B$6:$AF$121,27,FALSE),0))*D87),"-")</f>
        <v>5.3434210526315793</v>
      </c>
      <c r="H87" s="141">
        <f>IFERROR((IFERROR(VLOOKUP(B87,'Machinery Input Tables'!$B$6:$AF$121,24,FALSE),0)+VLOOKUP(C87,'Machinery Input Tables'!$AH$6:$BA$30,20,FALSE))*IF(IFERROR(VLOOKUP(B87,'Machinery Input Tables'!$B$6:$AF$121,13,FALSE)='Machinery Input Tables'!$N$128,1),1,VLOOKUP(B87,'Machinery Input Tables'!$B$6:$AF$121,28,FALSE))*D87,"-")</f>
        <v>2.1642203858838904</v>
      </c>
      <c r="I87" s="152">
        <f t="shared" si="12"/>
        <v>7.5076414385154697</v>
      </c>
    </row>
    <row r="88" spans="2:9" ht="16.5">
      <c r="B88" s="300"/>
      <c r="C88" s="300"/>
      <c r="D88" s="301"/>
      <c r="E88" s="141" t="str">
        <f>IFERROR(IF(ISBLANK(C88),"",IF(OR(ISBLANK(B88),IFERROR(VLOOKUP(B88,'Machinery Input Tables'!$B$6:$AF$121,13,FALSE),"")='Machinery Input Tables'!$N$128),1,VLOOKUP(B88,'Machinery Input Tables'!$B$6:$AF$121,28,FALSE))*VLOOKUP(C88,'Machinery Input Tables'!$AH$6:$BA$30,19,FALSE))*D88,"-")</f>
        <v>-</v>
      </c>
      <c r="F88" s="141" t="str">
        <f>IFERROR(IF(AND(ISBLANK(B88)*ISBLANK(C88)),"",IF(ISBLANK(B88),1,IF(VLOOKUP(B88,'Machinery Input Tables'!$B$6:$AF$121,13,FALSE)='Machinery Input Tables'!$N$128,VLOOKUP(B88,'Machinery Input Tables'!$B$6:$AF$121,17,FALSE),VLOOKUP(B88,'Machinery Input Tables'!$B$6:$AF$121,28,FALSE))))*D88,"-")</f>
        <v>-</v>
      </c>
      <c r="G88" s="152" t="str">
        <f>IFERROR(IF(ISBLANK(C88),"",E88*'Machinery Input Tables'!$BP$10+F88*'Machinery Input Tables'!$BP$6+(VLOOKUP(C88,'Machinery Input Tables'!$AH$6:$BA$30,18,FALSE)*IF(IFERROR(VLOOKUP(B88,'Machinery Input Tables'!$B$6:$AF$121,13,FALSE)='Machinery Input Tables'!$N$128,1),1,VLOOKUP(B88,'Machinery Input Tables'!$B$6:$AF$121,28,FALSE))+IFERROR(VLOOKUP(B88,'Machinery Input Tables'!$B$6:$AF$121,27,FALSE),0))*D88),"-")</f>
        <v/>
      </c>
      <c r="H88" s="141" t="str">
        <f>IFERROR((IFERROR(VLOOKUP(B88,'Machinery Input Tables'!$B$6:$AF$121,24,FALSE),0)+VLOOKUP(C88,'Machinery Input Tables'!$AH$6:$BA$30,20,FALSE))*IF(IFERROR(VLOOKUP(B88,'Machinery Input Tables'!$B$6:$AF$121,13,FALSE)='Machinery Input Tables'!$N$128,1),1,VLOOKUP(B88,'Machinery Input Tables'!$B$6:$AF$121,28,FALSE))*D88,"-")</f>
        <v>-</v>
      </c>
      <c r="I88" s="152">
        <f t="shared" si="12"/>
        <v>0</v>
      </c>
    </row>
    <row r="89" spans="2:9" ht="16.5">
      <c r="B89" s="300"/>
      <c r="C89" s="300"/>
      <c r="D89" s="301"/>
      <c r="E89" s="141" t="str">
        <f>IFERROR(IF(ISBLANK(C89),"",IF(OR(ISBLANK(B89),IFERROR(VLOOKUP(B89,'Machinery Input Tables'!$B$6:$AF$121,13,FALSE),"")='Machinery Input Tables'!$N$128),1,VLOOKUP(B89,'Machinery Input Tables'!$B$6:$AF$121,28,FALSE))*VLOOKUP(C89,'Machinery Input Tables'!$AH$6:$BA$30,19,FALSE))*D89,"-")</f>
        <v>-</v>
      </c>
      <c r="F89" s="141" t="str">
        <f>IFERROR(IF(AND(ISBLANK(B89)*ISBLANK(C89)),"",IF(ISBLANK(B89),1,IF(VLOOKUP(B89,'Machinery Input Tables'!$B$6:$AF$121,13,FALSE)='Machinery Input Tables'!$N$128,VLOOKUP(B89,'Machinery Input Tables'!$B$6:$AF$121,17,FALSE),VLOOKUP(B89,'Machinery Input Tables'!$B$6:$AF$121,28,FALSE))))*D89,"-")</f>
        <v>-</v>
      </c>
      <c r="G89" s="152" t="str">
        <f>IFERROR(IF(ISBLANK(C89),"",E89*'Machinery Input Tables'!$BP$10+F89*'Machinery Input Tables'!$BP$6+(VLOOKUP(C89,'Machinery Input Tables'!$AH$6:$BA$30,18,FALSE)*IF(IFERROR(VLOOKUP(B89,'Machinery Input Tables'!$B$6:$AF$121,13,FALSE)='Machinery Input Tables'!$N$128,1),1,VLOOKUP(B89,'Machinery Input Tables'!$B$6:$AF$121,28,FALSE))+IFERROR(VLOOKUP(B89,'Machinery Input Tables'!$B$6:$AF$121,27,FALSE),0))*D89),"-")</f>
        <v/>
      </c>
      <c r="H89" s="141" t="str">
        <f>IFERROR((IFERROR(VLOOKUP(B89,'Machinery Input Tables'!$B$6:$AF$121,24,FALSE),0)+VLOOKUP(C89,'Machinery Input Tables'!$AH$6:$BA$30,20,FALSE))*IF(IFERROR(VLOOKUP(B89,'Machinery Input Tables'!$B$6:$AF$121,13,FALSE)='Machinery Input Tables'!$N$128,1),1,VLOOKUP(B89,'Machinery Input Tables'!$B$6:$AF$121,28,FALSE))*D89,"-")</f>
        <v>-</v>
      </c>
      <c r="I89" s="152">
        <f t="shared" si="12"/>
        <v>0</v>
      </c>
    </row>
    <row r="90" spans="2:9" ht="16.5">
      <c r="B90" s="302"/>
      <c r="C90" s="302"/>
      <c r="D90" s="303"/>
      <c r="E90" s="161" t="str">
        <f>IFERROR(IF(ISBLANK(C90),"",IF(OR(ISBLANK(B90),IFERROR(VLOOKUP(B90,'Machinery Input Tables'!$B$6:$AF$121,13,FALSE),"")='Machinery Input Tables'!$N$128),1,VLOOKUP(B90,'Machinery Input Tables'!$B$6:$AF$121,28,FALSE))*VLOOKUP(C90,'Machinery Input Tables'!$AH$6:$BA$30,19,FALSE))*D90,"-")</f>
        <v>-</v>
      </c>
      <c r="F90" s="161" t="str">
        <f>IFERROR(IF(AND(ISBLANK(B90)*ISBLANK(C90)),"",IF(ISBLANK(B90),1,IF(VLOOKUP(B90,'Machinery Input Tables'!$B$6:$AF$121,13,FALSE)='Machinery Input Tables'!$N$128,VLOOKUP(B90,'Machinery Input Tables'!$B$6:$AF$121,17,FALSE),VLOOKUP(B90,'Machinery Input Tables'!$B$6:$AF$121,28,FALSE))))*D90,"-")</f>
        <v>-</v>
      </c>
      <c r="G90" s="162" t="str">
        <f>IFERROR(IF(ISBLANK(C90),"",E90*'Machinery Input Tables'!$BP$10+F90*'Machinery Input Tables'!$BP$6+(VLOOKUP(C90,'Machinery Input Tables'!$AH$6:$BA$30,18,FALSE)*IF(IFERROR(VLOOKUP(B90,'Machinery Input Tables'!$B$6:$AF$121,13,FALSE)='Machinery Input Tables'!$N$128,1),1,VLOOKUP(B90,'Machinery Input Tables'!$B$6:$AF$121,28,FALSE))+IFERROR(VLOOKUP(B90,'Machinery Input Tables'!$B$6:$AF$121,27,FALSE),0))*D90),"-")</f>
        <v/>
      </c>
      <c r="H90" s="161" t="str">
        <f>IFERROR((IFERROR(VLOOKUP(B90,'Machinery Input Tables'!$B$6:$AF$121,24,FALSE),0)+VLOOKUP(C90,'Machinery Input Tables'!$AH$6:$BA$30,20,FALSE))*IF(IFERROR(VLOOKUP(B90,'Machinery Input Tables'!$B$6:$AF$121,13,FALSE)='Machinery Input Tables'!$N$128,1),1,VLOOKUP(B90,'Machinery Input Tables'!$B$6:$AF$121,28,FALSE))*D90,"-")</f>
        <v>-</v>
      </c>
      <c r="I90" s="162">
        <f t="shared" si="12"/>
        <v>0</v>
      </c>
    </row>
    <row r="91" spans="2:9" ht="16.5">
      <c r="B91" s="149"/>
      <c r="C91" s="163" t="s">
        <v>31</v>
      </c>
      <c r="D91" s="255"/>
      <c r="E91" s="164">
        <f>SUM(E80:E90)</f>
        <v>2.9155461309523805</v>
      </c>
      <c r="F91" s="164">
        <f t="shared" ref="F91" si="13">SUM(F80:F90)</f>
        <v>0.4707276785714285</v>
      </c>
      <c r="G91" s="164">
        <f t="shared" ref="G91" si="14">SUM(G80:G90)</f>
        <v>41.310827660176024</v>
      </c>
      <c r="H91" s="164">
        <f t="shared" ref="H91" si="15">SUM(H80:H90)</f>
        <v>45.621761849079093</v>
      </c>
      <c r="I91" s="164">
        <f t="shared" ref="I91" si="16">SUM(I80:I90)</f>
        <v>86.932589509255124</v>
      </c>
    </row>
    <row r="92" spans="2:9" ht="16.5">
      <c r="B92" s="102"/>
      <c r="C92" s="102"/>
      <c r="D92" s="102"/>
      <c r="E92" s="102"/>
      <c r="F92" s="143"/>
      <c r="G92" s="143"/>
      <c r="H92" s="143"/>
      <c r="I92" s="238"/>
    </row>
    <row r="93" spans="2:9" ht="16.5">
      <c r="B93" s="329" t="s">
        <v>792</v>
      </c>
      <c r="C93" s="329"/>
      <c r="D93" s="329"/>
      <c r="E93" s="329"/>
      <c r="F93" s="329"/>
      <c r="G93" s="329"/>
      <c r="H93" s="329"/>
      <c r="I93" s="329"/>
    </row>
    <row r="94" spans="2:9" ht="16.5">
      <c r="B94" s="326" t="s">
        <v>535</v>
      </c>
      <c r="C94" s="328" t="s">
        <v>536</v>
      </c>
      <c r="D94" s="261" t="s">
        <v>15</v>
      </c>
      <c r="E94" s="328" t="s">
        <v>537</v>
      </c>
      <c r="F94" s="328" t="s">
        <v>538</v>
      </c>
      <c r="G94" s="144" t="s">
        <v>539</v>
      </c>
      <c r="H94" s="144" t="s">
        <v>540</v>
      </c>
      <c r="I94" s="330" t="s">
        <v>541</v>
      </c>
    </row>
    <row r="95" spans="2:9" ht="16.5">
      <c r="B95" s="327"/>
      <c r="C95" s="329"/>
      <c r="D95" s="262" t="s">
        <v>810</v>
      </c>
      <c r="E95" s="329"/>
      <c r="F95" s="329"/>
      <c r="G95" s="142" t="s">
        <v>554</v>
      </c>
      <c r="H95" s="142" t="s">
        <v>554</v>
      </c>
      <c r="I95" s="331"/>
    </row>
    <row r="96" spans="2:9" ht="16.5">
      <c r="B96" s="149"/>
      <c r="C96" s="149"/>
      <c r="D96" s="150" t="s">
        <v>560</v>
      </c>
      <c r="E96" s="150" t="s">
        <v>557</v>
      </c>
      <c r="F96" s="150" t="s">
        <v>558</v>
      </c>
      <c r="G96" s="150" t="s">
        <v>559</v>
      </c>
      <c r="H96" s="150" t="s">
        <v>559</v>
      </c>
      <c r="I96" s="150" t="s">
        <v>561</v>
      </c>
    </row>
    <row r="97" spans="2:9" ht="16.5">
      <c r="B97" s="300" t="s">
        <v>807</v>
      </c>
      <c r="C97" s="300" t="s">
        <v>801</v>
      </c>
      <c r="D97" s="301">
        <v>1</v>
      </c>
      <c r="E97" s="141">
        <f>IFERROR(IF(ISBLANK(C97),"",IF(OR(ISBLANK(B97),IFERROR(VLOOKUP(B97,'Machinery Input Tables'!$B$6:$AF$121,13,FALSE),"")='Machinery Input Tables'!$N$128),1,VLOOKUP(B97,'Machinery Input Tables'!$B$6:$AF$121,28,FALSE))*VLOOKUP(C97,'Machinery Input Tables'!$AH$6:$BA$30,19,FALSE))*D97,"-")</f>
        <v>0.82714843749999978</v>
      </c>
      <c r="F97" s="141">
        <f>IFERROR(IF(AND(ISBLANK(B97)*ISBLANK(C97)),"",IF(ISBLANK(B97),1,IF(VLOOKUP(B97,'Machinery Input Tables'!$B$6:$AF$121,13,FALSE)='Machinery Input Tables'!$N$128,VLOOKUP(B97,'Machinery Input Tables'!$B$6:$AF$121,17,FALSE),VLOOKUP(B97,'Machinery Input Tables'!$B$6:$AF$121,28,FALSE))))*D97,"-")</f>
        <v>5.3710937499999993E-2</v>
      </c>
      <c r="G97" s="152">
        <f>IFERROR(IF(ISBLANK(C97),"",E97*'Machinery Input Tables'!$BP$10+F97*'Machinery Input Tables'!$BP$6+(VLOOKUP(C97,'Machinery Input Tables'!$AH$6:$BA$30,18,FALSE)*IF(IFERROR(VLOOKUP(B97,'Machinery Input Tables'!$B$6:$AF$121,13,FALSE)='Machinery Input Tables'!$N$128,1),1,VLOOKUP(B97,'Machinery Input Tables'!$B$6:$AF$121,28,FALSE))+IFERROR(VLOOKUP(B97,'Machinery Input Tables'!$B$6:$AF$121,27,FALSE),0))*D97),"-")</f>
        <v>7.5686817442480105</v>
      </c>
      <c r="H97" s="141">
        <f>IFERROR((IFERROR(VLOOKUP(B97,'Machinery Input Tables'!$B$6:$AF$121,24,FALSE),0)+VLOOKUP(C97,'Machinery Input Tables'!$AH$6:$BA$30,20,FALSE))*IF(IFERROR(VLOOKUP(B97,'Machinery Input Tables'!$B$6:$AF$121,13,FALSE)='Machinery Input Tables'!$N$128,1),1,VLOOKUP(B97,'Machinery Input Tables'!$B$6:$AF$121,28,FALSE))*D97,"-")</f>
        <v>10.594328870449727</v>
      </c>
      <c r="I97" s="152">
        <f t="shared" ref="I97:I106" si="17">IFERROR(IF(ISBLANK(AND(B97,C97)),"",SUM(G97:H97)),"-")</f>
        <v>18.16301061469774</v>
      </c>
    </row>
    <row r="98" spans="2:9" ht="16.5">
      <c r="B98" s="300" t="s">
        <v>764</v>
      </c>
      <c r="C98" s="300" t="s">
        <v>763</v>
      </c>
      <c r="D98" s="301">
        <v>1</v>
      </c>
      <c r="E98" s="141">
        <f>IFERROR(IF(ISBLANK(C98),"",IF(OR(ISBLANK(B98),IFERROR(VLOOKUP(B98,'Machinery Input Tables'!$B$6:$AF$121,13,FALSE),"")='Machinery Input Tables'!$N$128),1,VLOOKUP(B98,'Machinery Input Tables'!$B$6:$AF$121,28,FALSE))*VLOOKUP(C98,'Machinery Input Tables'!$AH$6:$BA$30,19,FALSE))*D98,"-")</f>
        <v>0.65999999999999992</v>
      </c>
      <c r="F98" s="141">
        <f>IFERROR(IF(AND(ISBLANK(B98)*ISBLANK(C98)),"",IF(ISBLANK(B98),1,IF(VLOOKUP(B98,'Machinery Input Tables'!$B$6:$AF$121,13,FALSE)='Machinery Input Tables'!$N$128,VLOOKUP(B98,'Machinery Input Tables'!$B$6:$AF$121,17,FALSE),VLOOKUP(B98,'Machinery Input Tables'!$B$6:$AF$121,28,FALSE))))*D98,"-")</f>
        <v>5.3571428571428568E-2</v>
      </c>
      <c r="G98" s="152">
        <f>IFERROR(IF(ISBLANK(C98),"",E98*'Machinery Input Tables'!$BP$10+F98*'Machinery Input Tables'!$BP$6+(VLOOKUP(C98,'Machinery Input Tables'!$AH$6:$BA$30,18,FALSE)*IF(IFERROR(VLOOKUP(B98,'Machinery Input Tables'!$B$6:$AF$121,13,FALSE)='Machinery Input Tables'!$N$128,1),1,VLOOKUP(B98,'Machinery Input Tables'!$B$6:$AF$121,28,FALSE))+IFERROR(VLOOKUP(B98,'Machinery Input Tables'!$B$6:$AF$121,27,FALSE),0))*D98),"-")</f>
        <v>10.315987687271134</v>
      </c>
      <c r="H98" s="141">
        <f>IFERROR((IFERROR(VLOOKUP(B98,'Machinery Input Tables'!$B$6:$AF$121,24,FALSE),0)+VLOOKUP(C98,'Machinery Input Tables'!$AH$6:$BA$30,20,FALSE))*IF(IFERROR(VLOOKUP(B98,'Machinery Input Tables'!$B$6:$AF$121,13,FALSE)='Machinery Input Tables'!$N$128,1),1,VLOOKUP(B98,'Machinery Input Tables'!$B$6:$AF$121,28,FALSE))*D98,"-")</f>
        <v>15.04263219469928</v>
      </c>
      <c r="I98" s="152">
        <f t="shared" si="17"/>
        <v>25.358619881970412</v>
      </c>
    </row>
    <row r="99" spans="2:9" ht="16.5">
      <c r="B99" s="300" t="s">
        <v>798</v>
      </c>
      <c r="C99" s="300" t="s">
        <v>803</v>
      </c>
      <c r="D99" s="301">
        <v>2</v>
      </c>
      <c r="E99" s="141">
        <f>IFERROR(IF(ISBLANK(C99),"",IF(OR(ISBLANK(B99),IFERROR(VLOOKUP(B99,'Machinery Input Tables'!$B$6:$AF$121,13,FALSE),"")='Machinery Input Tables'!$N$128),1,VLOOKUP(B99,'Machinery Input Tables'!$B$6:$AF$121,28,FALSE))*VLOOKUP(C99,'Machinery Input Tables'!$AH$6:$BA$30,19,FALSE))*D99,"-")</f>
        <v>0.16385416666666666</v>
      </c>
      <c r="F99" s="141">
        <f>IFERROR(IF(AND(ISBLANK(B99)*ISBLANK(C99)),"",IF(ISBLANK(B99),1,IF(VLOOKUP(B99,'Machinery Input Tables'!$B$6:$AF$121,13,FALSE)='Machinery Input Tables'!$N$128,VLOOKUP(B99,'Machinery Input Tables'!$B$6:$AF$121,17,FALSE),VLOOKUP(B99,'Machinery Input Tables'!$B$6:$AF$121,28,FALSE))))*D99,"-")</f>
        <v>2.8645833333333332E-2</v>
      </c>
      <c r="G99" s="152">
        <f>IFERROR(IF(ISBLANK(C99),"",E99*'Machinery Input Tables'!$BP$10+F99*'Machinery Input Tables'!$BP$6+(VLOOKUP(C99,'Machinery Input Tables'!$AH$6:$BA$30,18,FALSE)*IF(IFERROR(VLOOKUP(B99,'Machinery Input Tables'!$B$6:$AF$121,13,FALSE)='Machinery Input Tables'!$N$128,1),1,VLOOKUP(B99,'Machinery Input Tables'!$B$6:$AF$121,28,FALSE))+IFERROR(VLOOKUP(B99,'Machinery Input Tables'!$B$6:$AF$121,27,FALSE),0))*D99),"-")</f>
        <v>2.3160556423628984</v>
      </c>
      <c r="H99" s="141">
        <f>IFERROR((IFERROR(VLOOKUP(B99,'Machinery Input Tables'!$B$6:$AF$121,24,FALSE),0)+VLOOKUP(C99,'Machinery Input Tables'!$AH$6:$BA$30,20,FALSE))*IF(IFERROR(VLOOKUP(B99,'Machinery Input Tables'!$B$6:$AF$121,13,FALSE)='Machinery Input Tables'!$N$128,1),1,VLOOKUP(B99,'Machinery Input Tables'!$B$6:$AF$121,28,FALSE))*D99,"-")</f>
        <v>2.0241260734095912</v>
      </c>
      <c r="I99" s="152">
        <f t="shared" si="17"/>
        <v>4.3401817157724896</v>
      </c>
    </row>
    <row r="100" spans="2:9" ht="16.5">
      <c r="B100" s="300" t="s">
        <v>811</v>
      </c>
      <c r="C100" s="300" t="s">
        <v>804</v>
      </c>
      <c r="D100" s="301">
        <v>1</v>
      </c>
      <c r="E100" s="141">
        <f>IFERROR(IF(ISBLANK(C100),"",IF(OR(ISBLANK(B100),IFERROR(VLOOKUP(B100,'Machinery Input Tables'!$B$6:$AF$121,13,FALSE),"")='Machinery Input Tables'!$N$128),1,VLOOKUP(B100,'Machinery Input Tables'!$B$6:$AF$121,28,FALSE))*VLOOKUP(C100,'Machinery Input Tables'!$AH$6:$BA$30,19,FALSE))*D100,"-")</f>
        <v>1.0947619047619046</v>
      </c>
      <c r="F100" s="141">
        <f>IFERROR(IF(AND(ISBLANK(B100)*ISBLANK(C100)),"",IF(ISBLANK(B100),1,IF(VLOOKUP(B100,'Machinery Input Tables'!$B$6:$AF$121,13,FALSE)='Machinery Input Tables'!$N$128,VLOOKUP(B100,'Machinery Input Tables'!$B$6:$AF$121,17,FALSE),VLOOKUP(B100,'Machinery Input Tables'!$B$6:$AF$121,28,FALSE))))*D100,"-")</f>
        <v>0.10476190476190476</v>
      </c>
      <c r="G100" s="152">
        <f>IFERROR(IF(ISBLANK(C100),"",E100*'Machinery Input Tables'!$BP$10+F100*'Machinery Input Tables'!$BP$6+(VLOOKUP(C100,'Machinery Input Tables'!$AH$6:$BA$30,18,FALSE)*IF(IFERROR(VLOOKUP(B100,'Machinery Input Tables'!$B$6:$AF$121,13,FALSE)='Machinery Input Tables'!$N$128,1),1,VLOOKUP(B100,'Machinery Input Tables'!$B$6:$AF$121,28,FALSE))+IFERROR(VLOOKUP(B100,'Machinery Input Tables'!$B$6:$AF$121,27,FALSE),0))*D100),"-")</f>
        <v>14.647926134508426</v>
      </c>
      <c r="H100" s="141">
        <f>IFERROR((IFERROR(VLOOKUP(B100,'Machinery Input Tables'!$B$6:$AF$121,24,FALSE),0)+VLOOKUP(C100,'Machinery Input Tables'!$AH$6:$BA$30,20,FALSE))*IF(IFERROR(VLOOKUP(B100,'Machinery Input Tables'!$B$6:$AF$121,13,FALSE)='Machinery Input Tables'!$N$128,1),1,VLOOKUP(B100,'Machinery Input Tables'!$B$6:$AF$121,28,FALSE))*D100,"-")</f>
        <v>19.918449503641831</v>
      </c>
      <c r="I100" s="152">
        <f t="shared" si="17"/>
        <v>34.566375638150255</v>
      </c>
    </row>
    <row r="101" spans="2:9" ht="16.5">
      <c r="B101" s="300" t="s">
        <v>800</v>
      </c>
      <c r="C101" s="300" t="s">
        <v>803</v>
      </c>
      <c r="D101" s="301">
        <v>0.03</v>
      </c>
      <c r="E101" s="141" t="str">
        <f>IFERROR(IF(ISBLANK(C101),"",IF(OR(ISBLANK(B101),IFERROR(VLOOKUP(B101,'Machinery Input Tables'!$B$6:$AF$121,13,FALSE),"")='Machinery Input Tables'!$N$128),1,VLOOKUP(B101,'Machinery Input Tables'!$B$6:$AF$121,28,FALSE))*VLOOKUP(C101,'Machinery Input Tables'!$AH$6:$BA$30,19,FALSE))*D101,"-")</f>
        <v>-</v>
      </c>
      <c r="F101" s="141" t="str">
        <f>IFERROR(IF(AND(ISBLANK(B101)*ISBLANK(C101)),"",IF(ISBLANK(B101),1,IF(VLOOKUP(B101,'Machinery Input Tables'!$B$6:$AF$121,13,FALSE)='Machinery Input Tables'!$N$128,VLOOKUP(B101,'Machinery Input Tables'!$B$6:$AF$121,17,FALSE),VLOOKUP(B101,'Machinery Input Tables'!$B$6:$AF$121,28,FALSE))))*D101,"-")</f>
        <v>-</v>
      </c>
      <c r="G101" s="152" t="str">
        <f>IFERROR(IF(ISBLANK(C101),"",E101*'Machinery Input Tables'!$BP$10+F101*'Machinery Input Tables'!$BP$6+(VLOOKUP(C101,'Machinery Input Tables'!$AH$6:$BA$30,18,FALSE)*IF(IFERROR(VLOOKUP(B101,'Machinery Input Tables'!$B$6:$AF$121,13,FALSE)='Machinery Input Tables'!$N$128,1),1,VLOOKUP(B101,'Machinery Input Tables'!$B$6:$AF$121,28,FALSE))+IFERROR(VLOOKUP(B101,'Machinery Input Tables'!$B$6:$AF$121,27,FALSE),0))*D101),"-")</f>
        <v>-</v>
      </c>
      <c r="H101" s="141">
        <f>IFERROR((IFERROR(VLOOKUP(B101,'Machinery Input Tables'!$B$6:$AF$121,24,FALSE),0)+VLOOKUP(C101,'Machinery Input Tables'!$AH$6:$BA$30,20,FALSE))*IF(IFERROR(VLOOKUP(B101,'Machinery Input Tables'!$B$6:$AF$121,13,FALSE)='Machinery Input Tables'!$N$128,1),1,VLOOKUP(B101,'Machinery Input Tables'!$B$6:$AF$121,28,FALSE))*D101,"-")</f>
        <v>1.2178084728182441</v>
      </c>
      <c r="I101" s="152">
        <f t="shared" si="17"/>
        <v>1.2178084728182441</v>
      </c>
    </row>
    <row r="102" spans="2:9" ht="16.5">
      <c r="B102" s="300" t="s">
        <v>782</v>
      </c>
      <c r="C102" s="300" t="s">
        <v>783</v>
      </c>
      <c r="D102" s="301">
        <v>5.5E-2</v>
      </c>
      <c r="E102" s="141">
        <f>IFERROR(IF(ISBLANK(C102),"",IF(OR(ISBLANK(B102),IFERROR(VLOOKUP(B102,'Machinery Input Tables'!$B$6:$AF$121,13,FALSE),"")='Machinery Input Tables'!$N$128),1,VLOOKUP(B102,'Machinery Input Tables'!$B$6:$AF$121,28,FALSE))*VLOOKUP(C102,'Machinery Input Tables'!$AH$6:$BA$30,19,FALSE))*D102,"-")</f>
        <v>0.39187500000000003</v>
      </c>
      <c r="F102" s="141">
        <f>IFERROR(IF(AND(ISBLANK(B102)*ISBLANK(C102)),"",IF(ISBLANK(B102),1,IF(VLOOKUP(B102,'Machinery Input Tables'!$B$6:$AF$121,13,FALSE)='Machinery Input Tables'!$N$128,VLOOKUP(B102,'Machinery Input Tables'!$B$6:$AF$121,17,FALSE),VLOOKUP(B102,'Machinery Input Tables'!$B$6:$AF$121,28,FALSE))))*D102,"-")</f>
        <v>6.0500000000000005E-2</v>
      </c>
      <c r="G102" s="152">
        <f>IFERROR(IF(ISBLANK(C102),"",E102*'Machinery Input Tables'!$BP$10+F102*'Machinery Input Tables'!$BP$6+(VLOOKUP(C102,'Machinery Input Tables'!$AH$6:$BA$30,18,FALSE)*IF(IFERROR(VLOOKUP(B102,'Machinery Input Tables'!$B$6:$AF$121,13,FALSE)='Machinery Input Tables'!$N$128,1),1,VLOOKUP(B102,'Machinery Input Tables'!$B$6:$AF$121,28,FALSE))+IFERROR(VLOOKUP(B102,'Machinery Input Tables'!$B$6:$AF$121,27,FALSE),0))*D102),"-")</f>
        <v>3.8921252405445141</v>
      </c>
      <c r="H102" s="141">
        <f>IFERROR((IFERROR(VLOOKUP(B102,'Machinery Input Tables'!$B$6:$AF$121,24,FALSE),0)+VLOOKUP(C102,'Machinery Input Tables'!$AH$6:$BA$30,20,FALSE))*IF(IFERROR(VLOOKUP(B102,'Machinery Input Tables'!$B$6:$AF$121,13,FALSE)='Machinery Input Tables'!$N$128,1),1,VLOOKUP(B102,'Machinery Input Tables'!$B$6:$AF$121,28,FALSE))*D102,"-")</f>
        <v>1.7843343551153414</v>
      </c>
      <c r="I102" s="152">
        <f t="shared" si="17"/>
        <v>5.6764595956598551</v>
      </c>
    </row>
    <row r="103" spans="2:9" ht="16.5">
      <c r="B103" s="300"/>
      <c r="C103" s="300" t="s">
        <v>799</v>
      </c>
      <c r="D103" s="301">
        <v>5.5E-2</v>
      </c>
      <c r="E103" s="141">
        <f>IFERROR(IF(ISBLANK(C103),"",IF(OR(ISBLANK(B103),IFERROR(VLOOKUP(B103,'Machinery Input Tables'!$B$6:$AF$121,13,FALSE),"")='Machinery Input Tables'!$N$128),1,VLOOKUP(B103,'Machinery Input Tables'!$B$6:$AF$121,28,FALSE))*VLOOKUP(C103,'Machinery Input Tables'!$AH$6:$BA$30,19,FALSE))*D103,"-")</f>
        <v>0.268125</v>
      </c>
      <c r="F103" s="141">
        <f>IFERROR(IF(AND(ISBLANK(B103)*ISBLANK(C103)),"",IF(ISBLANK(B103),1,IF(VLOOKUP(B103,'Machinery Input Tables'!$B$6:$AF$121,13,FALSE)='Machinery Input Tables'!$N$128,VLOOKUP(B103,'Machinery Input Tables'!$B$6:$AF$121,17,FALSE),VLOOKUP(B103,'Machinery Input Tables'!$B$6:$AF$121,28,FALSE))))*D103,"-")</f>
        <v>5.5E-2</v>
      </c>
      <c r="G103" s="152">
        <f>IFERROR(IF(ISBLANK(C103),"",E103*'Machinery Input Tables'!$BP$10+F103*'Machinery Input Tables'!$BP$6+(VLOOKUP(C103,'Machinery Input Tables'!$AH$6:$BA$30,18,FALSE)*IF(IFERROR(VLOOKUP(B103,'Machinery Input Tables'!$B$6:$AF$121,13,FALSE)='Machinery Input Tables'!$N$128,1),1,VLOOKUP(B103,'Machinery Input Tables'!$B$6:$AF$121,28,FALSE))+IFERROR(VLOOKUP(B103,'Machinery Input Tables'!$B$6:$AF$121,27,FALSE),0))*D103),"-")</f>
        <v>2.5525729166666666</v>
      </c>
      <c r="H103" s="141">
        <f>IFERROR((IFERROR(VLOOKUP(B103,'Machinery Input Tables'!$B$6:$AF$121,24,FALSE),0)+VLOOKUP(C103,'Machinery Input Tables'!$AH$6:$BA$30,20,FALSE))*IF(IFERROR(VLOOKUP(B103,'Machinery Input Tables'!$B$6:$AF$121,13,FALSE)='Machinery Input Tables'!$N$128,1),1,VLOOKUP(B103,'Machinery Input Tables'!$B$6:$AF$121,28,FALSE))*D103,"-")</f>
        <v>0.7959153502007591</v>
      </c>
      <c r="I103" s="152">
        <f t="shared" si="17"/>
        <v>3.3484882668674256</v>
      </c>
    </row>
    <row r="104" spans="2:9" ht="16.5">
      <c r="B104" s="300"/>
      <c r="C104" s="300" t="s">
        <v>765</v>
      </c>
      <c r="D104" s="301">
        <v>0.1</v>
      </c>
      <c r="E104" s="141">
        <f>IFERROR(IF(ISBLANK(C104),"",IF(OR(ISBLANK(B104),IFERROR(VLOOKUP(B104,'Machinery Input Tables'!$B$6:$AF$121,13,FALSE),"")='Machinery Input Tables'!$N$128),1,VLOOKUP(B104,'Machinery Input Tables'!$B$6:$AF$121,28,FALSE))*VLOOKUP(C104,'Machinery Input Tables'!$AH$6:$BA$30,19,FALSE))*D104,"-")</f>
        <v>0.30000000000000004</v>
      </c>
      <c r="F104" s="141">
        <f>IFERROR(IF(AND(ISBLANK(B104)*ISBLANK(C104)),"",IF(ISBLANK(B104),1,IF(VLOOKUP(B104,'Machinery Input Tables'!$B$6:$AF$121,13,FALSE)='Machinery Input Tables'!$N$128,VLOOKUP(B104,'Machinery Input Tables'!$B$6:$AF$121,17,FALSE),VLOOKUP(B104,'Machinery Input Tables'!$B$6:$AF$121,28,FALSE))))*D104,"-")</f>
        <v>0.1</v>
      </c>
      <c r="G104" s="152">
        <f>IFERROR(IF(ISBLANK(C104),"",E104*'Machinery Input Tables'!$BP$10+F104*'Machinery Input Tables'!$BP$6+(VLOOKUP(C104,'Machinery Input Tables'!$AH$6:$BA$30,18,FALSE)*IF(IFERROR(VLOOKUP(B104,'Machinery Input Tables'!$B$6:$AF$121,13,FALSE)='Machinery Input Tables'!$N$128,1),1,VLOOKUP(B104,'Machinery Input Tables'!$B$6:$AF$121,28,FALSE))+IFERROR(VLOOKUP(B104,'Machinery Input Tables'!$B$6:$AF$121,27,FALSE),0))*D104),"-")</f>
        <v>5.3434210526315793</v>
      </c>
      <c r="H104" s="141">
        <f>IFERROR((IFERROR(VLOOKUP(B104,'Machinery Input Tables'!$B$6:$AF$121,24,FALSE),0)+VLOOKUP(C104,'Machinery Input Tables'!$AH$6:$BA$30,20,FALSE))*IF(IFERROR(VLOOKUP(B104,'Machinery Input Tables'!$B$6:$AF$121,13,FALSE)='Machinery Input Tables'!$N$128,1),1,VLOOKUP(B104,'Machinery Input Tables'!$B$6:$AF$121,28,FALSE))*D104,"-")</f>
        <v>2.1642203858838904</v>
      </c>
      <c r="I104" s="152">
        <f t="shared" si="17"/>
        <v>7.5076414385154697</v>
      </c>
    </row>
    <row r="105" spans="2:9" ht="16.5">
      <c r="B105" s="300"/>
      <c r="C105" s="300"/>
      <c r="D105" s="301"/>
      <c r="E105" s="141" t="str">
        <f>IFERROR(IF(ISBLANK(C105),"",IF(OR(ISBLANK(B105),IFERROR(VLOOKUP(B105,'Machinery Input Tables'!$B$6:$AF$121,13,FALSE),"")='Machinery Input Tables'!$N$128),1,VLOOKUP(B105,'Machinery Input Tables'!$B$6:$AF$121,28,FALSE))*VLOOKUP(C105,'Machinery Input Tables'!$AH$6:$BA$30,19,FALSE))*D105,"-")</f>
        <v>-</v>
      </c>
      <c r="F105" s="141" t="str">
        <f>IFERROR(IF(AND(ISBLANK(B105)*ISBLANK(C105)),"",IF(ISBLANK(B105),1,IF(VLOOKUP(B105,'Machinery Input Tables'!$B$6:$AF$121,13,FALSE)='Machinery Input Tables'!$N$128,VLOOKUP(B105,'Machinery Input Tables'!$B$6:$AF$121,17,FALSE),VLOOKUP(B105,'Machinery Input Tables'!$B$6:$AF$121,28,FALSE))))*D105,"-")</f>
        <v>-</v>
      </c>
      <c r="G105" s="152" t="str">
        <f>IFERROR(IF(ISBLANK(C105),"",E105*'Machinery Input Tables'!$BP$10+F105*'Machinery Input Tables'!$BP$6+(VLOOKUP(C105,'Machinery Input Tables'!$AH$6:$BA$30,18,FALSE)*IF(IFERROR(VLOOKUP(B105,'Machinery Input Tables'!$B$6:$AF$121,13,FALSE)='Machinery Input Tables'!$N$128,1),1,VLOOKUP(B105,'Machinery Input Tables'!$B$6:$AF$121,28,FALSE))+IFERROR(VLOOKUP(B105,'Machinery Input Tables'!$B$6:$AF$121,27,FALSE),0))*D105),"-")</f>
        <v/>
      </c>
      <c r="H105" s="141" t="str">
        <f>IFERROR((IFERROR(VLOOKUP(B105,'Machinery Input Tables'!$B$6:$AF$121,24,FALSE),0)+VLOOKUP(C105,'Machinery Input Tables'!$AH$6:$BA$30,20,FALSE))*IF(IFERROR(VLOOKUP(B105,'Machinery Input Tables'!$B$6:$AF$121,13,FALSE)='Machinery Input Tables'!$N$128,1),1,VLOOKUP(B105,'Machinery Input Tables'!$B$6:$AF$121,28,FALSE))*D105,"-")</f>
        <v>-</v>
      </c>
      <c r="I105" s="152">
        <f t="shared" si="17"/>
        <v>0</v>
      </c>
    </row>
    <row r="106" spans="2:9" ht="16.5">
      <c r="B106" s="302"/>
      <c r="C106" s="302"/>
      <c r="D106" s="303"/>
      <c r="E106" s="161" t="str">
        <f>IFERROR(IF(ISBLANK(C106),"",IF(OR(ISBLANK(B106),IFERROR(VLOOKUP(B106,'Machinery Input Tables'!$B$6:$AF$121,13,FALSE),"")='Machinery Input Tables'!$N$128),1,VLOOKUP(B106,'Machinery Input Tables'!$B$6:$AF$121,28,FALSE))*VLOOKUP(C106,'Machinery Input Tables'!$AH$6:$BA$30,19,FALSE))*D106,"-")</f>
        <v>-</v>
      </c>
      <c r="F106" s="161" t="str">
        <f>IFERROR(IF(AND(ISBLANK(B106)*ISBLANK(C106)),"",IF(ISBLANK(B106),1,IF(VLOOKUP(B106,'Machinery Input Tables'!$B$6:$AF$121,13,FALSE)='Machinery Input Tables'!$N$128,VLOOKUP(B106,'Machinery Input Tables'!$B$6:$AF$121,17,FALSE),VLOOKUP(B106,'Machinery Input Tables'!$B$6:$AF$121,28,FALSE))))*D106,"-")</f>
        <v>-</v>
      </c>
      <c r="G106" s="162" t="str">
        <f>IFERROR(IF(ISBLANK(C106),"",E106*'Machinery Input Tables'!$BP$10+F106*'Machinery Input Tables'!$BP$6+(VLOOKUP(C106,'Machinery Input Tables'!$AH$6:$BA$30,18,FALSE)*IF(IFERROR(VLOOKUP(B106,'Machinery Input Tables'!$B$6:$AF$121,13,FALSE)='Machinery Input Tables'!$N$128,1),1,VLOOKUP(B106,'Machinery Input Tables'!$B$6:$AF$121,28,FALSE))+IFERROR(VLOOKUP(B106,'Machinery Input Tables'!$B$6:$AF$121,27,FALSE),0))*D106),"-")</f>
        <v/>
      </c>
      <c r="H106" s="161" t="str">
        <f>IFERROR((IFERROR(VLOOKUP(B106,'Machinery Input Tables'!$B$6:$AF$121,24,FALSE),0)+VLOOKUP(C106,'Machinery Input Tables'!$AH$6:$BA$30,20,FALSE))*IF(IFERROR(VLOOKUP(B106,'Machinery Input Tables'!$B$6:$AF$121,13,FALSE)='Machinery Input Tables'!$N$128,1),1,VLOOKUP(B106,'Machinery Input Tables'!$B$6:$AF$121,28,FALSE))*D106,"-")</f>
        <v>-</v>
      </c>
      <c r="I106" s="162">
        <f t="shared" si="17"/>
        <v>0</v>
      </c>
    </row>
    <row r="107" spans="2:9" ht="16.5">
      <c r="B107" s="149"/>
      <c r="C107" s="163" t="s">
        <v>31</v>
      </c>
      <c r="D107" s="255"/>
      <c r="E107" s="164">
        <f>SUM(E96:E106)</f>
        <v>3.7057645089285707</v>
      </c>
      <c r="F107" s="164">
        <f t="shared" ref="F107" si="18">SUM(F96:F106)</f>
        <v>0.45619010416666661</v>
      </c>
      <c r="G107" s="164">
        <f t="shared" ref="G107" si="19">SUM(G96:G106)</f>
        <v>46.636770418233226</v>
      </c>
      <c r="H107" s="164">
        <f t="shared" ref="H107" si="20">SUM(H96:H106)</f>
        <v>53.541815206218658</v>
      </c>
      <c r="I107" s="164">
        <f t="shared" ref="I107" si="21">SUM(I96:I106)</f>
        <v>100.17858562445187</v>
      </c>
    </row>
    <row r="108" spans="2:9" ht="16.5">
      <c r="B108" s="102"/>
      <c r="C108" s="102"/>
      <c r="D108" s="102"/>
      <c r="E108" s="102"/>
      <c r="F108" s="143"/>
      <c r="G108" s="143"/>
      <c r="H108" s="143"/>
      <c r="I108" s="238"/>
    </row>
    <row r="109" spans="2:9" ht="16.5" hidden="1">
      <c r="D109" s="141"/>
      <c r="E109" s="141"/>
      <c r="F109" s="152"/>
      <c r="G109" s="141"/>
      <c r="H109" s="141"/>
      <c r="I109" s="152"/>
    </row>
    <row r="110" spans="2:9" ht="16.5" hidden="1">
      <c r="D110" s="141"/>
      <c r="E110" s="141"/>
      <c r="F110" s="152"/>
      <c r="G110" s="141"/>
      <c r="H110" s="141"/>
      <c r="I110" s="152"/>
    </row>
    <row r="111" spans="2:9" ht="16.5" hidden="1">
      <c r="D111" s="141"/>
      <c r="E111" s="141"/>
      <c r="F111" s="152"/>
      <c r="G111" s="141"/>
      <c r="H111" s="141"/>
      <c r="I111" s="152"/>
    </row>
    <row r="112" spans="2:9" ht="16.5" hidden="1">
      <c r="D112" s="141"/>
      <c r="E112" s="141"/>
      <c r="F112" s="152"/>
      <c r="G112" s="141"/>
      <c r="H112" s="141"/>
      <c r="I112" s="152"/>
    </row>
    <row r="113" spans="2:9" ht="16.5" hidden="1">
      <c r="D113" s="141"/>
      <c r="E113" s="141"/>
      <c r="F113" s="152"/>
      <c r="G113" s="141"/>
      <c r="H113" s="141"/>
      <c r="I113" s="152"/>
    </row>
    <row r="114" spans="2:9" ht="16.5" hidden="1">
      <c r="D114" s="141"/>
      <c r="E114" s="141"/>
      <c r="F114" s="152"/>
      <c r="G114" s="152"/>
      <c r="H114" s="141"/>
      <c r="I114" s="152"/>
    </row>
    <row r="115" spans="2:9" ht="16.5" hidden="1">
      <c r="B115" s="149"/>
      <c r="C115" s="163"/>
      <c r="D115" s="164"/>
      <c r="E115" s="164"/>
      <c r="F115" s="164"/>
      <c r="G115" s="164"/>
      <c r="H115" s="164"/>
      <c r="I115" s="164"/>
    </row>
    <row r="116" spans="2:9" ht="14.25" hidden="1" customHeight="1"/>
    <row r="117" spans="2:9" ht="14.25" hidden="1" customHeight="1">
      <c r="B117" s="332"/>
      <c r="C117" s="332"/>
      <c r="D117" s="332"/>
      <c r="E117" s="332"/>
      <c r="F117" s="332"/>
      <c r="G117" s="332"/>
      <c r="H117" s="332"/>
      <c r="I117" s="332"/>
    </row>
    <row r="118" spans="2:9" ht="14.25" hidden="1" customHeight="1">
      <c r="B118" s="333"/>
      <c r="C118" s="332"/>
      <c r="D118" s="332"/>
      <c r="E118" s="332"/>
      <c r="F118" s="143"/>
      <c r="G118" s="143"/>
      <c r="H118" s="143"/>
      <c r="I118" s="334"/>
    </row>
    <row r="119" spans="2:9" ht="14.25" hidden="1" customHeight="1">
      <c r="B119" s="333"/>
      <c r="C119" s="332"/>
      <c r="D119" s="332"/>
      <c r="E119" s="332"/>
      <c r="F119" s="143"/>
      <c r="G119" s="143"/>
      <c r="H119" s="143"/>
      <c r="I119" s="334"/>
    </row>
    <row r="120" spans="2:9" ht="14.25" hidden="1" customHeight="1">
      <c r="B120" s="149"/>
      <c r="C120" s="149"/>
      <c r="D120" s="150"/>
      <c r="E120" s="150"/>
      <c r="F120" s="150"/>
      <c r="G120" s="150"/>
      <c r="H120" s="150"/>
      <c r="I120" s="150"/>
    </row>
    <row r="121" spans="2:9" ht="14.25" hidden="1" customHeight="1">
      <c r="D121" s="141"/>
      <c r="E121" s="141"/>
      <c r="F121" s="152"/>
      <c r="G121" s="141"/>
      <c r="H121" s="141"/>
      <c r="I121" s="152"/>
    </row>
    <row r="122" spans="2:9" ht="14.25" hidden="1" customHeight="1">
      <c r="D122" s="141"/>
      <c r="E122" s="141"/>
      <c r="F122" s="152"/>
      <c r="G122" s="141"/>
      <c r="H122" s="141"/>
      <c r="I122" s="152"/>
    </row>
    <row r="123" spans="2:9" ht="14.25" hidden="1" customHeight="1">
      <c r="D123" s="141"/>
      <c r="E123" s="141"/>
      <c r="F123" s="152"/>
      <c r="G123" s="141"/>
      <c r="H123" s="141"/>
      <c r="I123" s="152"/>
    </row>
    <row r="124" spans="2:9" ht="14.25" hidden="1" customHeight="1">
      <c r="D124" s="141"/>
      <c r="E124" s="141"/>
      <c r="F124" s="152"/>
      <c r="G124" s="141"/>
      <c r="H124" s="141"/>
      <c r="I124" s="152"/>
    </row>
    <row r="125" spans="2:9" ht="14.25" hidden="1" customHeight="1">
      <c r="D125" s="141"/>
      <c r="E125" s="141"/>
      <c r="F125" s="152"/>
      <c r="G125" s="141"/>
      <c r="H125" s="141"/>
      <c r="I125" s="152"/>
    </row>
    <row r="126" spans="2:9" ht="14.25" hidden="1" customHeight="1">
      <c r="D126" s="141"/>
      <c r="E126" s="141"/>
      <c r="F126" s="152"/>
      <c r="G126" s="152"/>
      <c r="H126" s="141"/>
      <c r="I126" s="152"/>
    </row>
    <row r="127" spans="2:9" ht="14.25" hidden="1" customHeight="1">
      <c r="B127" s="149"/>
      <c r="C127" s="163"/>
      <c r="D127" s="164"/>
      <c r="E127" s="164"/>
      <c r="F127" s="164"/>
      <c r="G127" s="164"/>
      <c r="H127" s="164"/>
      <c r="I127" s="164"/>
    </row>
    <row r="128" spans="2:9" ht="14.25" hidden="1" customHeight="1"/>
    <row r="137" ht="14.25" hidden="1" customHeight="1"/>
    <row r="138" ht="16.5" hidden="1"/>
    <row r="140" ht="14.25" hidden="1" customHeight="1"/>
    <row r="141" ht="16.5" hidden="1"/>
    <row r="142" ht="14.25" hidden="1" customHeight="1"/>
  </sheetData>
  <protectedRanges>
    <protectedRange sqref="B109:C113 F114:G114 H109:H113 B121:C125 F126:G126 H121:H125 B97:D106 B62:D72 B81:D90 B24:D35 B43:D54 B8:D17" name="Grey edit cells_1"/>
  </protectedRanges>
  <mergeCells count="44">
    <mergeCell ref="B2:I3"/>
    <mergeCell ref="B1:I1"/>
    <mergeCell ref="B94:B95"/>
    <mergeCell ref="C94:C95"/>
    <mergeCell ref="E94:E95"/>
    <mergeCell ref="F94:F95"/>
    <mergeCell ref="I94:I95"/>
    <mergeCell ref="B39:I39"/>
    <mergeCell ref="B40:B41"/>
    <mergeCell ref="C40:C41"/>
    <mergeCell ref="E40:E41"/>
    <mergeCell ref="F40:F41"/>
    <mergeCell ref="I40:I41"/>
    <mergeCell ref="B4:I4"/>
    <mergeCell ref="B5:B6"/>
    <mergeCell ref="C5:C6"/>
    <mergeCell ref="E5:E6"/>
    <mergeCell ref="F5:F6"/>
    <mergeCell ref="I5:I6"/>
    <mergeCell ref="B77:I77"/>
    <mergeCell ref="B78:B79"/>
    <mergeCell ref="C78:C79"/>
    <mergeCell ref="E78:E79"/>
    <mergeCell ref="F78:F79"/>
    <mergeCell ref="I78:I79"/>
    <mergeCell ref="B58:I58"/>
    <mergeCell ref="B59:B60"/>
    <mergeCell ref="C59:C60"/>
    <mergeCell ref="E59:E60"/>
    <mergeCell ref="F59:F60"/>
    <mergeCell ref="I59:I60"/>
    <mergeCell ref="B20:I20"/>
    <mergeCell ref="B93:I93"/>
    <mergeCell ref="B117:I117"/>
    <mergeCell ref="B118:B119"/>
    <mergeCell ref="C118:C119"/>
    <mergeCell ref="D118:D119"/>
    <mergeCell ref="E118:E119"/>
    <mergeCell ref="I118:I119"/>
    <mergeCell ref="B21:B22"/>
    <mergeCell ref="C21:C22"/>
    <mergeCell ref="E21:E22"/>
    <mergeCell ref="F21:F22"/>
    <mergeCell ref="I21:I22"/>
  </mergeCells>
  <dataValidations count="2">
    <dataValidation type="list" allowBlank="1" showInputMessage="1" showErrorMessage="1" sqref="C121:C125 C109:C113" xr:uid="{E279A76E-CF64-4620-B64B-D09511A2D4A7}">
      <formula1>PowerSel</formula1>
    </dataValidation>
    <dataValidation type="list" allowBlank="1" showInputMessage="1" showErrorMessage="1" sqref="B121:B125 B109:B113" xr:uid="{25E8B1FC-355E-4808-A196-3056B82148B7}">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46A5EE-4183-4BCA-9D02-869FC27DE0F7}">
          <x14:formula1>
            <xm:f>'Machinery Input Tables'!$B$6:$B$109</xm:f>
          </x14:formula1>
          <xm:sqref>B97:B106 B24:B35 B62:B72 B81:B90 B43:B54 B8:B17</xm:sqref>
        </x14:dataValidation>
        <x14:dataValidation type="list" allowBlank="1" showInputMessage="1" showErrorMessage="1" xr:uid="{C02BB291-1D65-4396-B79A-6D7EE3AD7F9D}">
          <x14:formula1>
            <xm:f>'Machinery Input Tables'!$AH$6:$AH$30</xm:f>
          </x14:formula1>
          <xm:sqref>C81:C90 C24:C35 C97:C106 C62:C72 C43:C54 C8:C17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4A15-7366-4309-BF7F-BE5F0F522CA7}">
  <sheetPr codeName="Sheet12"/>
  <dimension ref="A1:M59"/>
  <sheetViews>
    <sheetView workbookViewId="0">
      <selection activeCell="A18" sqref="A18:XFD1048576"/>
    </sheetView>
  </sheetViews>
  <sheetFormatPr defaultColWidth="0" defaultRowHeight="16" zeroHeight="1"/>
  <cols>
    <col min="1" max="1" width="2.83203125" style="100" customWidth="1"/>
    <col min="2" max="2" width="42.1640625" style="100" bestFit="1" customWidth="1"/>
    <col min="3" max="5" width="14.5" style="100" customWidth="1"/>
    <col min="6" max="6" width="9" style="100" customWidth="1"/>
    <col min="7" max="7" width="2.83203125" style="100" customWidth="1"/>
    <col min="8" max="8" width="9" style="100" hidden="1" customWidth="1"/>
    <col min="9" max="9" width="14.6640625" style="100" hidden="1" customWidth="1"/>
    <col min="10" max="10" width="64.33203125" style="100" hidden="1" customWidth="1"/>
    <col min="11" max="11" width="17.83203125" style="100" hidden="1" customWidth="1"/>
    <col min="12" max="12" width="17.6640625" style="100" hidden="1" customWidth="1"/>
    <col min="13" max="13" width="19.6640625" style="100" hidden="1" customWidth="1"/>
    <col min="14" max="16384" width="9" style="100" hidden="1"/>
  </cols>
  <sheetData>
    <row r="1" spans="2:13" ht="24.75" customHeight="1">
      <c r="B1" s="336" t="s">
        <v>819</v>
      </c>
      <c r="C1" s="337"/>
      <c r="D1" s="337"/>
      <c r="E1" s="337"/>
      <c r="F1" s="337"/>
    </row>
    <row r="2" spans="2:13">
      <c r="B2" s="335" t="s">
        <v>820</v>
      </c>
      <c r="C2" s="335"/>
      <c r="D2" s="335"/>
      <c r="E2" s="335"/>
      <c r="F2" s="335"/>
    </row>
    <row r="3" spans="2:13" ht="16.5" customHeight="1">
      <c r="B3" s="335"/>
      <c r="C3" s="335"/>
      <c r="D3" s="335"/>
      <c r="E3" s="335"/>
      <c r="F3" s="335"/>
      <c r="I3" s="169" t="s">
        <v>593</v>
      </c>
      <c r="J3" s="170" t="s">
        <v>594</v>
      </c>
      <c r="K3" s="170" t="s">
        <v>595</v>
      </c>
      <c r="L3" s="170" t="s">
        <v>596</v>
      </c>
      <c r="M3" s="100" t="s">
        <v>597</v>
      </c>
    </row>
    <row r="4" spans="2:13" ht="16.5" customHeight="1">
      <c r="B4" s="329" t="s">
        <v>877</v>
      </c>
      <c r="C4" s="329"/>
      <c r="D4" s="329"/>
      <c r="E4" s="329"/>
      <c r="F4" s="329"/>
      <c r="I4" s="100" t="s">
        <v>598</v>
      </c>
      <c r="J4" s="146" t="s">
        <v>451</v>
      </c>
      <c r="K4" s="171">
        <v>27.1</v>
      </c>
      <c r="L4" s="146" t="s">
        <v>50</v>
      </c>
      <c r="M4" s="100" t="s">
        <v>599</v>
      </c>
    </row>
    <row r="5" spans="2:13" ht="16.5" customHeight="1">
      <c r="B5" s="172" t="s">
        <v>600</v>
      </c>
      <c r="C5" s="173" t="s">
        <v>601</v>
      </c>
      <c r="D5" s="173" t="s">
        <v>596</v>
      </c>
      <c r="E5" s="173" t="s">
        <v>787</v>
      </c>
      <c r="F5" s="173" t="s">
        <v>15</v>
      </c>
      <c r="I5" s="100" t="s">
        <v>598</v>
      </c>
      <c r="J5" s="146" t="s">
        <v>602</v>
      </c>
      <c r="K5" s="171">
        <v>21.36</v>
      </c>
      <c r="L5" s="146" t="s">
        <v>50</v>
      </c>
      <c r="M5" s="100" t="s">
        <v>599</v>
      </c>
    </row>
    <row r="6" spans="2:13" ht="16.5" customHeight="1">
      <c r="B6" s="101" t="s">
        <v>640</v>
      </c>
      <c r="C6" s="174">
        <f>IF(ISBLANK($B6),"",VLOOKUP($B6,$J$3:$L$48,2,FALSE))</f>
        <v>0.28999999999999998</v>
      </c>
      <c r="D6" s="174" t="str">
        <f>IF(ISBLANK($B6),"",VLOOKUP($B6,$J$3:$L$48,3,FALSE))</f>
        <v>per bushel</v>
      </c>
      <c r="E6" s="239"/>
      <c r="F6" s="101">
        <v>1</v>
      </c>
      <c r="I6" s="100" t="s">
        <v>598</v>
      </c>
      <c r="J6" s="146" t="s">
        <v>449</v>
      </c>
      <c r="K6" s="171">
        <v>23.81</v>
      </c>
      <c r="L6" s="146" t="s">
        <v>50</v>
      </c>
      <c r="M6" s="100" t="s">
        <v>599</v>
      </c>
    </row>
    <row r="7" spans="2:13" ht="16.5" customHeight="1">
      <c r="B7" s="101"/>
      <c r="C7" s="174" t="str">
        <f>IF(ISBLANK($B7),"",VLOOKUP($B7,$J$3:$L$48,2,FALSE))</f>
        <v/>
      </c>
      <c r="D7" s="174" t="str">
        <f>IF(ISBLANK($B7),"",VLOOKUP($B7,$J$3:$L$48,3,FALSE))</f>
        <v/>
      </c>
      <c r="E7" s="239"/>
      <c r="F7" s="101">
        <v>1</v>
      </c>
      <c r="I7" s="100" t="s">
        <v>598</v>
      </c>
      <c r="J7" s="146" t="s">
        <v>605</v>
      </c>
      <c r="K7" s="171">
        <v>19.75</v>
      </c>
      <c r="L7" s="146" t="s">
        <v>50</v>
      </c>
      <c r="M7" s="100" t="s">
        <v>599</v>
      </c>
    </row>
    <row r="8" spans="2:13" ht="16.5" customHeight="1">
      <c r="B8" s="256"/>
      <c r="C8" s="174" t="str">
        <f>IF(ISBLANK($B8),"",VLOOKUP($B8,$J$3:$L$48,2,FALSE))</f>
        <v/>
      </c>
      <c r="D8" s="174" t="str">
        <f>IF(ISBLANK($B8),"",VLOOKUP($B8,$J$3:$L$48,3,FALSE))</f>
        <v/>
      </c>
      <c r="E8" s="257"/>
      <c r="F8" s="256"/>
      <c r="I8" s="100" t="s">
        <v>598</v>
      </c>
      <c r="J8" s="146" t="s">
        <v>447</v>
      </c>
      <c r="K8" s="171">
        <v>19.05</v>
      </c>
      <c r="L8" s="146" t="s">
        <v>50</v>
      </c>
      <c r="M8" s="100" t="s">
        <v>599</v>
      </c>
    </row>
    <row r="9" spans="2:13" ht="16.5" customHeight="1">
      <c r="B9" s="258"/>
      <c r="C9" s="259" t="str">
        <f>IF(ISBLANK(B9),"",VLOOKUP(B9,$J$3:$L$48,2,FALSE))</f>
        <v/>
      </c>
      <c r="D9" s="259" t="str">
        <f>IF(ISBLANK($B9),"",VLOOKUP($B9,$J$3:$L$48,3,FALSE))</f>
        <v/>
      </c>
      <c r="E9" s="260"/>
      <c r="F9" s="258"/>
      <c r="I9" s="100" t="s">
        <v>598</v>
      </c>
      <c r="J9" s="146" t="s">
        <v>606</v>
      </c>
      <c r="K9" s="171">
        <v>97.86</v>
      </c>
      <c r="L9" s="146" t="s">
        <v>607</v>
      </c>
      <c r="M9" s="100" t="s">
        <v>599</v>
      </c>
    </row>
    <row r="10" spans="2:13" ht="16.5" customHeight="1">
      <c r="I10" s="100" t="s">
        <v>598</v>
      </c>
      <c r="J10" s="146" t="s">
        <v>608</v>
      </c>
      <c r="K10" s="171">
        <v>95.71</v>
      </c>
      <c r="L10" s="146" t="s">
        <v>607</v>
      </c>
      <c r="M10" s="100" t="s">
        <v>599</v>
      </c>
    </row>
    <row r="11" spans="2:13" ht="16.5" customHeight="1">
      <c r="B11" s="329" t="s">
        <v>875</v>
      </c>
      <c r="C11" s="329"/>
      <c r="D11" s="329"/>
      <c r="E11" s="329"/>
      <c r="F11" s="329"/>
      <c r="I11" s="100" t="s">
        <v>609</v>
      </c>
      <c r="J11" s="146" t="s">
        <v>612</v>
      </c>
      <c r="K11" s="171">
        <v>24.81</v>
      </c>
      <c r="L11" s="146" t="s">
        <v>50</v>
      </c>
      <c r="M11" s="100" t="s">
        <v>599</v>
      </c>
    </row>
    <row r="12" spans="2:13" ht="16.5" customHeight="1">
      <c r="B12" s="172" t="s">
        <v>600</v>
      </c>
      <c r="C12" s="173" t="s">
        <v>601</v>
      </c>
      <c r="D12" s="173"/>
      <c r="E12" s="173" t="s">
        <v>787</v>
      </c>
      <c r="F12" s="173" t="s">
        <v>15</v>
      </c>
      <c r="I12" s="100" t="s">
        <v>609</v>
      </c>
      <c r="J12" s="146" t="s">
        <v>613</v>
      </c>
      <c r="K12" s="171">
        <v>29.07</v>
      </c>
      <c r="L12" s="146" t="s">
        <v>50</v>
      </c>
      <c r="M12" s="100" t="s">
        <v>599</v>
      </c>
    </row>
    <row r="13" spans="2:13" ht="16.5" customHeight="1">
      <c r="B13" s="101" t="s">
        <v>640</v>
      </c>
      <c r="C13" s="174">
        <f>IF(ISBLANK($B13),"",VLOOKUP($B13,$J$3:$L$48,2,FALSE))</f>
        <v>0.28999999999999998</v>
      </c>
      <c r="D13" s="174" t="str">
        <f>IF(ISBLANK($B13),"",VLOOKUP($B13,$J$3:$L$48,3,FALSE))</f>
        <v>per bushel</v>
      </c>
      <c r="E13" s="239"/>
      <c r="F13" s="101">
        <v>1</v>
      </c>
      <c r="I13" s="100" t="s">
        <v>609</v>
      </c>
      <c r="J13" s="146" t="s">
        <v>614</v>
      </c>
      <c r="K13" s="171">
        <v>27.89</v>
      </c>
      <c r="L13" s="146" t="s">
        <v>50</v>
      </c>
      <c r="M13" s="100" t="s">
        <v>599</v>
      </c>
    </row>
    <row r="14" spans="2:13" ht="16.5" customHeight="1">
      <c r="B14" s="101"/>
      <c r="C14" s="174" t="str">
        <f>IF(ISBLANK($B14),"",VLOOKUP($B14,$J$3:$L$48,2,FALSE))</f>
        <v/>
      </c>
      <c r="D14" s="174" t="str">
        <f>IF(ISBLANK($B14),"",VLOOKUP($B14,$J$3:$L$48,3,FALSE))</f>
        <v/>
      </c>
      <c r="E14" s="239"/>
      <c r="F14" s="101">
        <v>2</v>
      </c>
      <c r="I14" s="100" t="s">
        <v>609</v>
      </c>
      <c r="J14" s="146" t="s">
        <v>615</v>
      </c>
      <c r="K14" s="171">
        <v>25.72</v>
      </c>
      <c r="L14" s="146" t="s">
        <v>50</v>
      </c>
      <c r="M14" s="100" t="s">
        <v>599</v>
      </c>
    </row>
    <row r="15" spans="2:13" ht="16.5" customHeight="1">
      <c r="B15" s="101"/>
      <c r="C15" s="174"/>
      <c r="D15" s="174"/>
      <c r="E15" s="239"/>
      <c r="F15" s="101"/>
      <c r="I15" s="100" t="s">
        <v>609</v>
      </c>
      <c r="J15" s="146" t="s">
        <v>616</v>
      </c>
      <c r="K15" s="171">
        <v>21</v>
      </c>
      <c r="L15" s="146" t="s">
        <v>50</v>
      </c>
      <c r="M15" s="100" t="s">
        <v>599</v>
      </c>
    </row>
    <row r="16" spans="2:13" ht="16.5" customHeight="1">
      <c r="B16" s="175"/>
      <c r="C16" s="176" t="str">
        <f>IF(ISBLANK(B16),"",VLOOKUP(B16,$J$3:$L$48,2,FALSE))</f>
        <v/>
      </c>
      <c r="D16" s="176" t="str">
        <f>IF(ISBLANK($B16),"",VLOOKUP($B16,$J$3:$L$48,3,FALSE))</f>
        <v/>
      </c>
      <c r="E16" s="240"/>
      <c r="F16" s="175"/>
      <c r="I16" s="100" t="s">
        <v>617</v>
      </c>
      <c r="J16" s="146" t="s">
        <v>603</v>
      </c>
      <c r="K16" s="171">
        <v>7.02</v>
      </c>
      <c r="L16" s="146" t="s">
        <v>50</v>
      </c>
      <c r="M16" s="100" t="s">
        <v>599</v>
      </c>
    </row>
    <row r="17" spans="2:13" ht="16.5" customHeight="1">
      <c r="I17" s="100" t="s">
        <v>617</v>
      </c>
      <c r="J17" s="146" t="s">
        <v>618</v>
      </c>
      <c r="K17" s="171">
        <v>10.06</v>
      </c>
      <c r="L17" s="146" t="s">
        <v>50</v>
      </c>
      <c r="M17" s="100" t="s">
        <v>599</v>
      </c>
    </row>
    <row r="18" spans="2:13" ht="16.5" hidden="1" customHeight="1">
      <c r="B18" s="329" t="s">
        <v>785</v>
      </c>
      <c r="C18" s="329"/>
      <c r="D18" s="329"/>
      <c r="E18" s="329"/>
      <c r="F18" s="329"/>
      <c r="I18" s="100" t="s">
        <v>617</v>
      </c>
      <c r="J18" s="146" t="s">
        <v>620</v>
      </c>
      <c r="K18" s="171">
        <v>9.93</v>
      </c>
      <c r="L18" s="146" t="s">
        <v>50</v>
      </c>
      <c r="M18" s="100" t="s">
        <v>599</v>
      </c>
    </row>
    <row r="19" spans="2:13" ht="16.5" hidden="1" customHeight="1">
      <c r="B19" s="172" t="s">
        <v>600</v>
      </c>
      <c r="C19" s="173" t="s">
        <v>601</v>
      </c>
      <c r="D19" s="173"/>
      <c r="E19" s="173" t="s">
        <v>787</v>
      </c>
      <c r="F19" s="173" t="s">
        <v>15</v>
      </c>
      <c r="I19" s="100" t="s">
        <v>617</v>
      </c>
      <c r="J19" s="146" t="s">
        <v>621</v>
      </c>
      <c r="K19" s="171">
        <v>7.25</v>
      </c>
      <c r="L19" s="146" t="s">
        <v>50</v>
      </c>
      <c r="M19" s="100" t="s">
        <v>599</v>
      </c>
    </row>
    <row r="20" spans="2:13" ht="16.5" hidden="1" customHeight="1">
      <c r="B20" s="101"/>
      <c r="C20" s="174" t="str">
        <f>IF(ISBLANK($B20),"",VLOOKUP($B20,$J$3:$L$48,2,FALSE))</f>
        <v/>
      </c>
      <c r="D20" s="174" t="str">
        <f>IF(ISBLANK($B20),"",VLOOKUP($B20,$J$3:$L$48,3,FALSE))</f>
        <v/>
      </c>
      <c r="E20" s="239"/>
      <c r="F20" s="101"/>
      <c r="I20" s="100" t="s">
        <v>617</v>
      </c>
      <c r="J20" s="146" t="s">
        <v>622</v>
      </c>
      <c r="K20" s="171">
        <v>7.81</v>
      </c>
      <c r="L20" s="146" t="s">
        <v>50</v>
      </c>
      <c r="M20" s="100" t="s">
        <v>599</v>
      </c>
    </row>
    <row r="21" spans="2:13" ht="16.5" hidden="1" customHeight="1">
      <c r="B21" s="101"/>
      <c r="C21" s="174" t="str">
        <f>IF(ISBLANK($B21),"",VLOOKUP($B21,$J$3:$L$48,2,FALSE))</f>
        <v/>
      </c>
      <c r="D21" s="174" t="str">
        <f>IF(ISBLANK($B21),"",VLOOKUP($B21,$J$3:$L$48,3,FALSE))</f>
        <v/>
      </c>
      <c r="E21" s="239"/>
      <c r="F21" s="101"/>
      <c r="I21" s="100" t="s">
        <v>617</v>
      </c>
      <c r="J21" s="146" t="s">
        <v>770</v>
      </c>
      <c r="K21" s="171">
        <v>0.08</v>
      </c>
      <c r="L21" s="146" t="s">
        <v>642</v>
      </c>
      <c r="M21" s="100" t="s">
        <v>772</v>
      </c>
    </row>
    <row r="22" spans="2:13" ht="16.5" hidden="1" customHeight="1">
      <c r="B22" s="101"/>
      <c r="C22" s="174"/>
      <c r="D22" s="174"/>
      <c r="E22" s="239"/>
      <c r="F22" s="101"/>
      <c r="I22" s="100" t="s">
        <v>617</v>
      </c>
      <c r="J22" s="146" t="s">
        <v>771</v>
      </c>
      <c r="K22" s="171">
        <v>12</v>
      </c>
      <c r="L22" s="146" t="s">
        <v>50</v>
      </c>
      <c r="M22" s="100" t="s">
        <v>773</v>
      </c>
    </row>
    <row r="23" spans="2:13" ht="16.5" hidden="1" customHeight="1">
      <c r="B23" s="175"/>
      <c r="C23" s="176" t="str">
        <f>IF(ISBLANK(B23),"",VLOOKUP(B23,$J$3:$L$48,2,FALSE))</f>
        <v/>
      </c>
      <c r="D23" s="176" t="str">
        <f>IF(ISBLANK($B23),"",VLOOKUP($B23,$J$3:$L$48,3,FALSE))</f>
        <v/>
      </c>
      <c r="E23" s="240"/>
      <c r="F23" s="175"/>
      <c r="I23" s="100" t="s">
        <v>617</v>
      </c>
      <c r="J23" s="146" t="s">
        <v>623</v>
      </c>
      <c r="K23" s="171">
        <v>7.84</v>
      </c>
      <c r="L23" s="146" t="s">
        <v>50</v>
      </c>
      <c r="M23" s="100" t="s">
        <v>599</v>
      </c>
    </row>
    <row r="24" spans="2:13" ht="16.5" hidden="1" customHeight="1">
      <c r="I24" s="100" t="s">
        <v>617</v>
      </c>
      <c r="J24" s="146" t="s">
        <v>624</v>
      </c>
      <c r="K24" s="171">
        <v>7.9</v>
      </c>
      <c r="L24" s="146" t="s">
        <v>50</v>
      </c>
      <c r="M24" s="100" t="s">
        <v>599</v>
      </c>
    </row>
    <row r="25" spans="2:13" ht="16.5" hidden="1" customHeight="1">
      <c r="B25" s="329" t="s">
        <v>2</v>
      </c>
      <c r="C25" s="329"/>
      <c r="D25" s="329"/>
      <c r="E25" s="329"/>
      <c r="F25" s="329"/>
      <c r="I25" s="100" t="s">
        <v>617</v>
      </c>
      <c r="J25" s="146" t="s">
        <v>625</v>
      </c>
      <c r="K25" s="171">
        <v>18.53</v>
      </c>
      <c r="L25" s="146" t="s">
        <v>50</v>
      </c>
      <c r="M25" s="100" t="s">
        <v>599</v>
      </c>
    </row>
    <row r="26" spans="2:13" ht="16.5" hidden="1" customHeight="1">
      <c r="B26" s="172" t="s">
        <v>600</v>
      </c>
      <c r="C26" s="173" t="s">
        <v>601</v>
      </c>
      <c r="D26" s="173"/>
      <c r="E26" s="173" t="s">
        <v>787</v>
      </c>
      <c r="F26" s="173" t="s">
        <v>15</v>
      </c>
      <c r="I26" s="100" t="s">
        <v>617</v>
      </c>
      <c r="J26" s="146" t="s">
        <v>627</v>
      </c>
      <c r="K26" s="171">
        <v>27.5</v>
      </c>
      <c r="L26" s="146" t="s">
        <v>628</v>
      </c>
      <c r="M26" s="100" t="s">
        <v>599</v>
      </c>
    </row>
    <row r="27" spans="2:13" ht="16.5" hidden="1" customHeight="1">
      <c r="B27" s="101" t="s">
        <v>603</v>
      </c>
      <c r="C27" s="174">
        <f>IF(ISBLANK($B27),"",VLOOKUP($B27,$J$3:$L$48,2,FALSE))</f>
        <v>7.02</v>
      </c>
      <c r="D27" s="174" t="str">
        <f>IF(ISBLANK($B27),"",VLOOKUP($B27,$J$3:$L$48,3,FALSE))</f>
        <v>per acre</v>
      </c>
      <c r="E27" s="239"/>
      <c r="F27" s="101">
        <v>1</v>
      </c>
      <c r="I27" s="100" t="s">
        <v>617</v>
      </c>
      <c r="J27" s="146" t="s">
        <v>629</v>
      </c>
      <c r="K27" s="171">
        <v>8.44</v>
      </c>
      <c r="L27" s="146" t="s">
        <v>50</v>
      </c>
      <c r="M27" s="100" t="s">
        <v>599</v>
      </c>
    </row>
    <row r="28" spans="2:13" ht="16.5" hidden="1" customHeight="1">
      <c r="B28" s="101"/>
      <c r="C28" s="174" t="str">
        <f>IF(ISBLANK($B28),"",VLOOKUP($B28,$J$3:$L$48,2,FALSE))</f>
        <v/>
      </c>
      <c r="D28" s="174" t="str">
        <f>IF(ISBLANK($B28),"",VLOOKUP($B28,$J$3:$L$48,3,FALSE))</f>
        <v/>
      </c>
      <c r="E28" s="239"/>
      <c r="F28" s="101">
        <v>1</v>
      </c>
      <c r="I28" s="100" t="s">
        <v>617</v>
      </c>
      <c r="J28" s="146" t="s">
        <v>630</v>
      </c>
      <c r="K28" s="171">
        <v>7.71</v>
      </c>
      <c r="L28" s="146" t="s">
        <v>50</v>
      </c>
      <c r="M28" s="100" t="s">
        <v>599</v>
      </c>
    </row>
    <row r="29" spans="2:13" ht="16.5" hidden="1" customHeight="1">
      <c r="B29" s="101"/>
      <c r="C29" s="174"/>
      <c r="D29" s="174"/>
      <c r="E29" s="239"/>
      <c r="F29" s="101"/>
      <c r="I29" s="100" t="s">
        <v>617</v>
      </c>
      <c r="J29" s="146" t="s">
        <v>631</v>
      </c>
      <c r="K29" s="171">
        <v>7.84</v>
      </c>
      <c r="L29" s="146" t="s">
        <v>50</v>
      </c>
      <c r="M29" s="100" t="s">
        <v>599</v>
      </c>
    </row>
    <row r="30" spans="2:13" ht="16.5" hidden="1" customHeight="1">
      <c r="B30" s="175"/>
      <c r="C30" s="177" t="str">
        <f>IF(ISBLANK(B30),"",VLOOKUP(B30,$J$3:$L$48,2,FALSE))</f>
        <v/>
      </c>
      <c r="D30" s="177" t="str">
        <f>IF(ISBLANK($B30),"",VLOOKUP($B30,$J$3:$L$48,3,FALSE))</f>
        <v/>
      </c>
      <c r="E30" s="241"/>
      <c r="F30" s="175"/>
      <c r="I30" s="100" t="s">
        <v>617</v>
      </c>
      <c r="J30" s="146" t="s">
        <v>626</v>
      </c>
      <c r="K30" s="171">
        <v>6.75</v>
      </c>
      <c r="L30" s="146" t="s">
        <v>50</v>
      </c>
      <c r="M30" s="100" t="s">
        <v>599</v>
      </c>
    </row>
    <row r="31" spans="2:13" ht="16.5" hidden="1" customHeight="1">
      <c r="I31" s="100" t="s">
        <v>632</v>
      </c>
      <c r="J31" s="146" t="s">
        <v>633</v>
      </c>
      <c r="K31" s="171">
        <v>43.29</v>
      </c>
      <c r="L31" s="146" t="s">
        <v>50</v>
      </c>
      <c r="M31" s="100" t="s">
        <v>599</v>
      </c>
    </row>
    <row r="32" spans="2:13" ht="16.5" hidden="1" customHeight="1">
      <c r="B32" s="329" t="s">
        <v>3</v>
      </c>
      <c r="C32" s="329"/>
      <c r="D32" s="329"/>
      <c r="E32" s="329"/>
      <c r="F32" s="329"/>
      <c r="I32" s="100" t="s">
        <v>632</v>
      </c>
      <c r="J32" s="146" t="s">
        <v>634</v>
      </c>
      <c r="K32" s="171">
        <v>39.42</v>
      </c>
      <c r="L32" s="146" t="s">
        <v>50</v>
      </c>
      <c r="M32" s="100" t="s">
        <v>599</v>
      </c>
    </row>
    <row r="33" spans="2:13" ht="16.5" hidden="1" customHeight="1">
      <c r="B33" s="172" t="s">
        <v>600</v>
      </c>
      <c r="C33" s="173" t="s">
        <v>601</v>
      </c>
      <c r="D33" s="173"/>
      <c r="E33" s="173" t="s">
        <v>787</v>
      </c>
      <c r="F33" s="173" t="s">
        <v>15</v>
      </c>
      <c r="I33" s="100" t="s">
        <v>632</v>
      </c>
      <c r="J33" s="146" t="s">
        <v>635</v>
      </c>
      <c r="K33" s="171">
        <v>41.13</v>
      </c>
      <c r="L33" s="146" t="s">
        <v>50</v>
      </c>
      <c r="M33" s="100" t="s">
        <v>599</v>
      </c>
    </row>
    <row r="34" spans="2:13" ht="16.5" hidden="1" customHeight="1">
      <c r="B34" s="101" t="s">
        <v>603</v>
      </c>
      <c r="C34" s="174">
        <f>IF(ISBLANK($B34),"",VLOOKUP($B34,$J$3:$L$48,2,FALSE))</f>
        <v>7.02</v>
      </c>
      <c r="D34" s="174" t="str">
        <f>IF(ISBLANK($B34),"",VLOOKUP($B34,$J$3:$L$48,3,FALSE))</f>
        <v>per acre</v>
      </c>
      <c r="E34" s="239"/>
      <c r="F34" s="101">
        <v>2</v>
      </c>
      <c r="I34" s="100" t="s">
        <v>632</v>
      </c>
      <c r="J34" s="146" t="s">
        <v>636</v>
      </c>
      <c r="K34" s="171">
        <v>32.5</v>
      </c>
      <c r="L34" s="146" t="s">
        <v>50</v>
      </c>
      <c r="M34" s="100" t="s">
        <v>599</v>
      </c>
    </row>
    <row r="35" spans="2:13" ht="16.5" hidden="1" customHeight="1">
      <c r="B35" s="101"/>
      <c r="C35" s="174" t="str">
        <f>IF(ISBLANK($B35),"",VLOOKUP($B35,$J$3:$L$48,2,FALSE))</f>
        <v/>
      </c>
      <c r="D35" s="174" t="str">
        <f>IF(ISBLANK($B35),"",VLOOKUP($B35,$J$3:$L$48,3,FALSE))</f>
        <v/>
      </c>
      <c r="E35" s="239"/>
      <c r="F35" s="101"/>
      <c r="I35" s="100" t="s">
        <v>632</v>
      </c>
      <c r="J35" s="146" t="s">
        <v>637</v>
      </c>
      <c r="K35" s="171">
        <v>9.8000000000000007</v>
      </c>
      <c r="L35" s="146" t="s">
        <v>50</v>
      </c>
      <c r="M35" s="100" t="s">
        <v>599</v>
      </c>
    </row>
    <row r="36" spans="2:13" ht="16.5" hidden="1" customHeight="1">
      <c r="B36" s="101"/>
      <c r="C36" s="174"/>
      <c r="D36" s="174"/>
      <c r="E36" s="239"/>
      <c r="F36" s="101"/>
      <c r="I36" s="100" t="s">
        <v>632</v>
      </c>
      <c r="J36" s="146" t="s">
        <v>638</v>
      </c>
      <c r="K36" s="171">
        <v>0.16</v>
      </c>
      <c r="L36" s="146" t="s">
        <v>639</v>
      </c>
      <c r="M36" s="100" t="s">
        <v>599</v>
      </c>
    </row>
    <row r="37" spans="2:13" ht="16.5" hidden="1" customHeight="1">
      <c r="B37" s="175"/>
      <c r="C37" s="177" t="str">
        <f>IF(ISBLANK(B37),"",VLOOKUP(B37,$J$3:$L$48,2,FALSE))</f>
        <v/>
      </c>
      <c r="D37" s="177" t="str">
        <f>IF(ISBLANK($B37),"",VLOOKUP($B37,$J$3:$L$48,3,FALSE))</f>
        <v/>
      </c>
      <c r="E37" s="241"/>
      <c r="F37" s="175"/>
      <c r="I37" s="100" t="s">
        <v>632</v>
      </c>
      <c r="J37" s="146" t="s">
        <v>640</v>
      </c>
      <c r="K37" s="171">
        <v>0.28999999999999998</v>
      </c>
      <c r="L37" s="146" t="s">
        <v>639</v>
      </c>
      <c r="M37" s="100" t="s">
        <v>599</v>
      </c>
    </row>
    <row r="38" spans="2:13" ht="16.5" hidden="1" customHeight="1">
      <c r="I38" s="100" t="s">
        <v>632</v>
      </c>
      <c r="J38" s="146" t="s">
        <v>640</v>
      </c>
      <c r="K38" s="171">
        <v>4.07</v>
      </c>
      <c r="L38" s="146" t="s">
        <v>641</v>
      </c>
      <c r="M38" s="100" t="s">
        <v>599</v>
      </c>
    </row>
    <row r="39" spans="2:13" ht="16.5" hidden="1" customHeight="1">
      <c r="I39" s="100" t="s">
        <v>632</v>
      </c>
      <c r="J39" s="146" t="s">
        <v>643</v>
      </c>
      <c r="K39" s="171">
        <v>19</v>
      </c>
      <c r="L39" s="146" t="s">
        <v>50</v>
      </c>
      <c r="M39" s="100" t="s">
        <v>599</v>
      </c>
    </row>
    <row r="40" spans="2:13" ht="16.5" hidden="1" customHeight="1">
      <c r="I40" s="100" t="s">
        <v>632</v>
      </c>
      <c r="J40" s="146" t="s">
        <v>644</v>
      </c>
      <c r="K40" s="171">
        <v>9.25</v>
      </c>
      <c r="L40" s="146" t="s">
        <v>50</v>
      </c>
      <c r="M40" s="100" t="s">
        <v>599</v>
      </c>
    </row>
    <row r="41" spans="2:13" ht="16.5" hidden="1" customHeight="1">
      <c r="I41" s="100" t="s">
        <v>632</v>
      </c>
      <c r="J41" s="146" t="s">
        <v>645</v>
      </c>
      <c r="K41" s="171">
        <v>17.440000000000001</v>
      </c>
      <c r="L41" s="146" t="s">
        <v>646</v>
      </c>
      <c r="M41" s="100" t="s">
        <v>599</v>
      </c>
    </row>
    <row r="42" spans="2:13" ht="16.5" hidden="1" customHeight="1">
      <c r="I42" s="100" t="s">
        <v>632</v>
      </c>
      <c r="J42" s="146" t="s">
        <v>647</v>
      </c>
      <c r="K42" s="171">
        <v>29.86</v>
      </c>
      <c r="L42" s="146" t="s">
        <v>646</v>
      </c>
      <c r="M42" s="100" t="s">
        <v>599</v>
      </c>
    </row>
    <row r="43" spans="2:13" ht="16.5" hidden="1" customHeight="1">
      <c r="I43" s="100" t="s">
        <v>632</v>
      </c>
      <c r="J43" s="146" t="s">
        <v>611</v>
      </c>
      <c r="K43" s="171">
        <v>10</v>
      </c>
      <c r="L43" s="146" t="s">
        <v>646</v>
      </c>
      <c r="M43" s="100" t="s">
        <v>599</v>
      </c>
    </row>
    <row r="44" spans="2:13" ht="16.5" hidden="1" customHeight="1">
      <c r="I44" s="100" t="s">
        <v>632</v>
      </c>
      <c r="J44" s="146" t="s">
        <v>610</v>
      </c>
      <c r="K44" s="171">
        <v>6.5</v>
      </c>
      <c r="L44" s="146" t="s">
        <v>646</v>
      </c>
      <c r="M44" s="100" t="s">
        <v>599</v>
      </c>
    </row>
    <row r="45" spans="2:13" ht="16.5" hidden="1" customHeight="1">
      <c r="I45" s="100" t="s">
        <v>632</v>
      </c>
      <c r="J45" s="146" t="s">
        <v>648</v>
      </c>
      <c r="K45" s="171">
        <v>1.5</v>
      </c>
      <c r="L45" s="146" t="s">
        <v>646</v>
      </c>
      <c r="M45" s="100" t="s">
        <v>649</v>
      </c>
    </row>
    <row r="46" spans="2:13" ht="16.5" hidden="1" customHeight="1">
      <c r="I46" s="100" t="s">
        <v>632</v>
      </c>
      <c r="J46" s="146" t="s">
        <v>604</v>
      </c>
      <c r="K46" s="171">
        <v>0.9</v>
      </c>
      <c r="L46" s="146" t="s">
        <v>646</v>
      </c>
      <c r="M46" s="100" t="s">
        <v>650</v>
      </c>
    </row>
    <row r="47" spans="2:13" ht="16.5" hidden="1" customHeight="1">
      <c r="I47" s="100" t="s">
        <v>632</v>
      </c>
      <c r="J47" s="146" t="s">
        <v>619</v>
      </c>
      <c r="K47" s="171">
        <v>10</v>
      </c>
      <c r="L47" s="146" t="s">
        <v>628</v>
      </c>
      <c r="M47" s="100" t="s">
        <v>651</v>
      </c>
    </row>
    <row r="48" spans="2:13" ht="16.5" hidden="1" customHeight="1">
      <c r="J48" s="101" t="s">
        <v>386</v>
      </c>
      <c r="K48" s="178"/>
      <c r="L48" s="101" t="s">
        <v>50</v>
      </c>
    </row>
    <row r="53" ht="15" hidden="1" customHeight="1"/>
    <row r="54" ht="15" hidden="1" customHeight="1"/>
    <row r="55" ht="15" hidden="1" customHeight="1"/>
    <row r="56" ht="15" hidden="1" customHeight="1"/>
    <row r="57" ht="15" hidden="1" customHeight="1"/>
    <row r="59" ht="14.25" hidden="1" customHeight="1"/>
  </sheetData>
  <sheetProtection sheet="1" objects="1" scenarios="1"/>
  <protectedRanges>
    <protectedRange sqref="B6:B9 E6:F9 E34:F37 E13:F16 E20:F23 B20:B23 B13:B16 B34:B37 B27:B30 E27:F30" name="Grey edit cells"/>
  </protectedRanges>
  <mergeCells count="7">
    <mergeCell ref="B32:F32"/>
    <mergeCell ref="B18:F18"/>
    <mergeCell ref="B1:F1"/>
    <mergeCell ref="B2:F3"/>
    <mergeCell ref="B4:F4"/>
    <mergeCell ref="B11:F11"/>
    <mergeCell ref="B25:F25"/>
  </mergeCells>
  <phoneticPr fontId="45" type="noConversion"/>
  <dataValidations count="1">
    <dataValidation type="list" allowBlank="1" showInputMessage="1" showErrorMessage="1" sqref="B20:B23 B27:B30 B34:B37 B13:B16 B6:B9" xr:uid="{AC18F60D-E2CF-4558-BEDD-D584CEE1E5DE}">
      <formula1>$J$4:$J$48</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9D47-EF57-4DD8-97BA-DE4C2A0936DE}">
  <dimension ref="A1:WVP1233"/>
  <sheetViews>
    <sheetView tabSelected="1" workbookViewId="0">
      <selection activeCell="H32" sqref="H32"/>
    </sheetView>
  </sheetViews>
  <sheetFormatPr defaultColWidth="0" defaultRowHeight="16.5" zeroHeight="1"/>
  <cols>
    <col min="1" max="1" width="3.1640625" style="2" customWidth="1"/>
    <col min="2" max="2" width="50.5" style="2" customWidth="1"/>
    <col min="3" max="3" width="11.83203125" style="2" customWidth="1"/>
    <col min="4" max="4" width="10.5" style="2" customWidth="1"/>
    <col min="5" max="5" width="11" style="2" customWidth="1"/>
    <col min="6" max="6" width="12.6640625" style="2" customWidth="1"/>
    <col min="7" max="7" width="11.6640625" style="2" customWidth="1"/>
    <col min="8" max="8" width="11.83203125" style="2" customWidth="1"/>
    <col min="9" max="9" width="9" style="2" customWidth="1"/>
    <col min="10" max="13" width="8" style="2" hidden="1"/>
    <col min="14" max="14" width="38.6640625" style="2" hidden="1"/>
    <col min="15" max="257" width="8" style="2" hidden="1"/>
    <col min="258" max="258" width="28.1640625" style="2" hidden="1"/>
    <col min="259" max="259" width="8.1640625" style="2" hidden="1"/>
    <col min="260" max="260" width="9.1640625" style="2" hidden="1"/>
    <col min="261" max="261" width="9.6640625" style="2" hidden="1"/>
    <col min="262" max="262" width="11.1640625" style="2" hidden="1"/>
    <col min="263" max="263" width="10.33203125" style="2" hidden="1"/>
    <col min="264" max="264" width="10.5" style="2" hidden="1"/>
    <col min="265" max="513" width="8" style="2" hidden="1"/>
    <col min="514" max="514" width="28.1640625" style="2" hidden="1"/>
    <col min="515" max="515" width="8.1640625" style="2" hidden="1"/>
    <col min="516" max="516" width="9.1640625" style="2" hidden="1"/>
    <col min="517" max="517" width="9.6640625" style="2" hidden="1"/>
    <col min="518" max="518" width="11.1640625" style="2" hidden="1"/>
    <col min="519" max="519" width="10.33203125" style="2" hidden="1"/>
    <col min="520" max="520" width="10.5" style="2" hidden="1"/>
    <col min="521" max="769" width="8" style="2" hidden="1"/>
    <col min="770" max="770" width="28.1640625" style="2" hidden="1"/>
    <col min="771" max="771" width="8.1640625" style="2" hidden="1"/>
    <col min="772" max="772" width="9.1640625" style="2" hidden="1"/>
    <col min="773" max="773" width="9.6640625" style="2" hidden="1"/>
    <col min="774" max="774" width="11.1640625" style="2" hidden="1"/>
    <col min="775" max="775" width="10.33203125" style="2" hidden="1"/>
    <col min="776" max="776" width="10.5" style="2" hidden="1"/>
    <col min="777" max="1025" width="9" style="2" hidden="1"/>
    <col min="1026" max="1026" width="28.1640625" style="2" hidden="1"/>
    <col min="1027" max="1027" width="8.1640625" style="2" hidden="1"/>
    <col min="1028" max="1028" width="9.1640625" style="2" hidden="1"/>
    <col min="1029" max="1029" width="9.6640625" style="2" hidden="1"/>
    <col min="1030" max="1030" width="11.1640625" style="2" hidden="1"/>
    <col min="1031" max="1031" width="10.33203125" style="2" hidden="1"/>
    <col min="1032" max="1032" width="10.5" style="2" hidden="1"/>
    <col min="1033" max="1281" width="8" style="2" hidden="1"/>
    <col min="1282" max="1282" width="28.1640625" style="2" hidden="1"/>
    <col min="1283" max="1283" width="8.1640625" style="2" hidden="1"/>
    <col min="1284" max="1284" width="9.1640625" style="2" hidden="1"/>
    <col min="1285" max="1285" width="9.6640625" style="2" hidden="1"/>
    <col min="1286" max="1286" width="11.1640625" style="2" hidden="1"/>
    <col min="1287" max="1287" width="10.33203125" style="2" hidden="1"/>
    <col min="1288" max="1288" width="10.5" style="2" hidden="1"/>
    <col min="1289" max="1537" width="8" style="2" hidden="1"/>
    <col min="1538" max="1538" width="28.1640625" style="2" hidden="1"/>
    <col min="1539" max="1539" width="8.1640625" style="2" hidden="1"/>
    <col min="1540" max="1540" width="9.1640625" style="2" hidden="1"/>
    <col min="1541" max="1541" width="9.6640625" style="2" hidden="1"/>
    <col min="1542" max="1542" width="11.1640625" style="2" hidden="1"/>
    <col min="1543" max="1543" width="10.33203125" style="2" hidden="1"/>
    <col min="1544" max="1544" width="10.5" style="2" hidden="1"/>
    <col min="1545" max="1793" width="8" style="2" hidden="1"/>
    <col min="1794" max="1794" width="28.1640625" style="2" hidden="1"/>
    <col min="1795" max="1795" width="8.1640625" style="2" hidden="1"/>
    <col min="1796" max="1796" width="9.1640625" style="2" hidden="1"/>
    <col min="1797" max="1797" width="9.6640625" style="2" hidden="1"/>
    <col min="1798" max="1798" width="11.1640625" style="2" hidden="1"/>
    <col min="1799" max="1799" width="10.33203125" style="2" hidden="1"/>
    <col min="1800" max="1800" width="10.5" style="2" hidden="1"/>
    <col min="1801" max="2049" width="9" style="2" hidden="1"/>
    <col min="2050" max="2050" width="28.1640625" style="2" hidden="1"/>
    <col min="2051" max="2051" width="8.1640625" style="2" hidden="1"/>
    <col min="2052" max="2052" width="9.1640625" style="2" hidden="1"/>
    <col min="2053" max="2053" width="9.6640625" style="2" hidden="1"/>
    <col min="2054" max="2054" width="11.1640625" style="2" hidden="1"/>
    <col min="2055" max="2055" width="10.33203125" style="2" hidden="1"/>
    <col min="2056" max="2056" width="10.5" style="2" hidden="1"/>
    <col min="2057" max="2305" width="8" style="2" hidden="1"/>
    <col min="2306" max="2306" width="28.1640625" style="2" hidden="1"/>
    <col min="2307" max="2307" width="8.1640625" style="2" hidden="1"/>
    <col min="2308" max="2308" width="9.1640625" style="2" hidden="1"/>
    <col min="2309" max="2309" width="9.6640625" style="2" hidden="1"/>
    <col min="2310" max="2310" width="11.1640625" style="2" hidden="1"/>
    <col min="2311" max="2311" width="10.33203125" style="2" hidden="1"/>
    <col min="2312" max="2312" width="10.5" style="2" hidden="1"/>
    <col min="2313" max="2561" width="8" style="2" hidden="1"/>
    <col min="2562" max="2562" width="28.1640625" style="2" hidden="1"/>
    <col min="2563" max="2563" width="8.1640625" style="2" hidden="1"/>
    <col min="2564" max="2564" width="9.1640625" style="2" hidden="1"/>
    <col min="2565" max="2565" width="9.6640625" style="2" hidden="1"/>
    <col min="2566" max="2566" width="11.1640625" style="2" hidden="1"/>
    <col min="2567" max="2567" width="10.33203125" style="2" hidden="1"/>
    <col min="2568" max="2568" width="10.5" style="2" hidden="1"/>
    <col min="2569" max="2817" width="8" style="2" hidden="1"/>
    <col min="2818" max="2818" width="28.1640625" style="2" hidden="1"/>
    <col min="2819" max="2819" width="8.1640625" style="2" hidden="1"/>
    <col min="2820" max="2820" width="9.1640625" style="2" hidden="1"/>
    <col min="2821" max="2821" width="9.6640625" style="2" hidden="1"/>
    <col min="2822" max="2822" width="11.1640625" style="2" hidden="1"/>
    <col min="2823" max="2823" width="10.33203125" style="2" hidden="1"/>
    <col min="2824" max="2824" width="10.5" style="2" hidden="1"/>
    <col min="2825" max="3073" width="9" style="2" hidden="1"/>
    <col min="3074" max="3074" width="28.1640625" style="2" hidden="1"/>
    <col min="3075" max="3075" width="8.1640625" style="2" hidden="1"/>
    <col min="3076" max="3076" width="9.1640625" style="2" hidden="1"/>
    <col min="3077" max="3077" width="9.6640625" style="2" hidden="1"/>
    <col min="3078" max="3078" width="11.1640625" style="2" hidden="1"/>
    <col min="3079" max="3079" width="10.33203125" style="2" hidden="1"/>
    <col min="3080" max="3080" width="10.5" style="2" hidden="1"/>
    <col min="3081" max="3329" width="8" style="2" hidden="1"/>
    <col min="3330" max="3330" width="28.1640625" style="2" hidden="1"/>
    <col min="3331" max="3331" width="8.1640625" style="2" hidden="1"/>
    <col min="3332" max="3332" width="9.1640625" style="2" hidden="1"/>
    <col min="3333" max="3333" width="9.6640625" style="2" hidden="1"/>
    <col min="3334" max="3334" width="11.1640625" style="2" hidden="1"/>
    <col min="3335" max="3335" width="10.33203125" style="2" hidden="1"/>
    <col min="3336" max="3336" width="10.5" style="2" hidden="1"/>
    <col min="3337" max="3585" width="8" style="2" hidden="1"/>
    <col min="3586" max="3586" width="28.1640625" style="2" hidden="1"/>
    <col min="3587" max="3587" width="8.1640625" style="2" hidden="1"/>
    <col min="3588" max="3588" width="9.1640625" style="2" hidden="1"/>
    <col min="3589" max="3589" width="9.6640625" style="2" hidden="1"/>
    <col min="3590" max="3590" width="11.1640625" style="2" hidden="1"/>
    <col min="3591" max="3591" width="10.33203125" style="2" hidden="1"/>
    <col min="3592" max="3592" width="10.5" style="2" hidden="1"/>
    <col min="3593" max="3841" width="8" style="2" hidden="1"/>
    <col min="3842" max="3842" width="28.1640625" style="2" hidden="1"/>
    <col min="3843" max="3843" width="8.1640625" style="2" hidden="1"/>
    <col min="3844" max="3844" width="9.1640625" style="2" hidden="1"/>
    <col min="3845" max="3845" width="9.6640625" style="2" hidden="1"/>
    <col min="3846" max="3846" width="11.1640625" style="2" hidden="1"/>
    <col min="3847" max="3847" width="10.33203125" style="2" hidden="1"/>
    <col min="3848" max="3848" width="10.5" style="2" hidden="1"/>
    <col min="3849" max="4097" width="9" style="2" hidden="1"/>
    <col min="4098" max="4098" width="28.1640625" style="2" hidden="1"/>
    <col min="4099" max="4099" width="8.1640625" style="2" hidden="1"/>
    <col min="4100" max="4100" width="9.1640625" style="2" hidden="1"/>
    <col min="4101" max="4101" width="9.6640625" style="2" hidden="1"/>
    <col min="4102" max="4102" width="11.1640625" style="2" hidden="1"/>
    <col min="4103" max="4103" width="10.33203125" style="2" hidden="1"/>
    <col min="4104" max="4104" width="10.5" style="2" hidden="1"/>
    <col min="4105" max="4353" width="8" style="2" hidden="1"/>
    <col min="4354" max="4354" width="28.1640625" style="2" hidden="1"/>
    <col min="4355" max="4355" width="8.1640625" style="2" hidden="1"/>
    <col min="4356" max="4356" width="9.1640625" style="2" hidden="1"/>
    <col min="4357" max="4357" width="9.6640625" style="2" hidden="1"/>
    <col min="4358" max="4358" width="11.1640625" style="2" hidden="1"/>
    <col min="4359" max="4359" width="10.33203125" style="2" hidden="1"/>
    <col min="4360" max="4360" width="10.5" style="2" hidden="1"/>
    <col min="4361" max="4609" width="8" style="2" hidden="1"/>
    <col min="4610" max="4610" width="28.1640625" style="2" hidden="1"/>
    <col min="4611" max="4611" width="8.1640625" style="2" hidden="1"/>
    <col min="4612" max="4612" width="9.1640625" style="2" hidden="1"/>
    <col min="4613" max="4613" width="9.6640625" style="2" hidden="1"/>
    <col min="4614" max="4614" width="11.1640625" style="2" hidden="1"/>
    <col min="4615" max="4615" width="10.33203125" style="2" hidden="1"/>
    <col min="4616" max="4616" width="10.5" style="2" hidden="1"/>
    <col min="4617" max="4865" width="8" style="2" hidden="1"/>
    <col min="4866" max="4866" width="28.1640625" style="2" hidden="1"/>
    <col min="4867" max="4867" width="8.1640625" style="2" hidden="1"/>
    <col min="4868" max="4868" width="9.1640625" style="2" hidden="1"/>
    <col min="4869" max="4869" width="9.6640625" style="2" hidden="1"/>
    <col min="4870" max="4870" width="11.1640625" style="2" hidden="1"/>
    <col min="4871" max="4871" width="10.33203125" style="2" hidden="1"/>
    <col min="4872" max="4872" width="10.5" style="2" hidden="1"/>
    <col min="4873" max="5121" width="9" style="2" hidden="1"/>
    <col min="5122" max="5122" width="28.1640625" style="2" hidden="1"/>
    <col min="5123" max="5123" width="8.1640625" style="2" hidden="1"/>
    <col min="5124" max="5124" width="9.1640625" style="2" hidden="1"/>
    <col min="5125" max="5125" width="9.6640625" style="2" hidden="1"/>
    <col min="5126" max="5126" width="11.1640625" style="2" hidden="1"/>
    <col min="5127" max="5127" width="10.33203125" style="2" hidden="1"/>
    <col min="5128" max="5128" width="10.5" style="2" hidden="1"/>
    <col min="5129" max="5377" width="8" style="2" hidden="1"/>
    <col min="5378" max="5378" width="28.1640625" style="2" hidden="1"/>
    <col min="5379" max="5379" width="8.1640625" style="2" hidden="1"/>
    <col min="5380" max="5380" width="9.1640625" style="2" hidden="1"/>
    <col min="5381" max="5381" width="9.6640625" style="2" hidden="1"/>
    <col min="5382" max="5382" width="11.1640625" style="2" hidden="1"/>
    <col min="5383" max="5383" width="10.33203125" style="2" hidden="1"/>
    <col min="5384" max="5384" width="10.5" style="2" hidden="1"/>
    <col min="5385" max="5633" width="8" style="2" hidden="1"/>
    <col min="5634" max="5634" width="28.1640625" style="2" hidden="1"/>
    <col min="5635" max="5635" width="8.1640625" style="2" hidden="1"/>
    <col min="5636" max="5636" width="9.1640625" style="2" hidden="1"/>
    <col min="5637" max="5637" width="9.6640625" style="2" hidden="1"/>
    <col min="5638" max="5638" width="11.1640625" style="2" hidden="1"/>
    <col min="5639" max="5639" width="10.33203125" style="2" hidden="1"/>
    <col min="5640" max="5640" width="10.5" style="2" hidden="1"/>
    <col min="5641" max="5889" width="8" style="2" hidden="1"/>
    <col min="5890" max="5890" width="28.1640625" style="2" hidden="1"/>
    <col min="5891" max="5891" width="8.1640625" style="2" hidden="1"/>
    <col min="5892" max="5892" width="9.1640625" style="2" hidden="1"/>
    <col min="5893" max="5893" width="9.6640625" style="2" hidden="1"/>
    <col min="5894" max="5894" width="11.1640625" style="2" hidden="1"/>
    <col min="5895" max="5895" width="10.33203125" style="2" hidden="1"/>
    <col min="5896" max="5896" width="10.5" style="2" hidden="1"/>
    <col min="5897" max="6145" width="9" style="2" hidden="1"/>
    <col min="6146" max="6146" width="28.1640625" style="2" hidden="1"/>
    <col min="6147" max="6147" width="8.1640625" style="2" hidden="1"/>
    <col min="6148" max="6148" width="9.1640625" style="2" hidden="1"/>
    <col min="6149" max="6149" width="9.6640625" style="2" hidden="1"/>
    <col min="6150" max="6150" width="11.1640625" style="2" hidden="1"/>
    <col min="6151" max="6151" width="10.33203125" style="2" hidden="1"/>
    <col min="6152" max="6152" width="10.5" style="2" hidden="1"/>
    <col min="6153" max="6401" width="8" style="2" hidden="1"/>
    <col min="6402" max="6402" width="28.1640625" style="2" hidden="1"/>
    <col min="6403" max="6403" width="8.1640625" style="2" hidden="1"/>
    <col min="6404" max="6404" width="9.1640625" style="2" hidden="1"/>
    <col min="6405" max="6405" width="9.6640625" style="2" hidden="1"/>
    <col min="6406" max="6406" width="11.1640625" style="2" hidden="1"/>
    <col min="6407" max="6407" width="10.33203125" style="2" hidden="1"/>
    <col min="6408" max="6408" width="10.5" style="2" hidden="1"/>
    <col min="6409" max="6657" width="8" style="2" hidden="1"/>
    <col min="6658" max="6658" width="28.1640625" style="2" hidden="1"/>
    <col min="6659" max="6659" width="8.1640625" style="2" hidden="1"/>
    <col min="6660" max="6660" width="9.1640625" style="2" hidden="1"/>
    <col min="6661" max="6661" width="9.6640625" style="2" hidden="1"/>
    <col min="6662" max="6662" width="11.1640625" style="2" hidden="1"/>
    <col min="6663" max="6663" width="10.33203125" style="2" hidden="1"/>
    <col min="6664" max="6664" width="10.5" style="2" hidden="1"/>
    <col min="6665" max="6913" width="8" style="2" hidden="1"/>
    <col min="6914" max="6914" width="28.1640625" style="2" hidden="1"/>
    <col min="6915" max="6915" width="8.1640625" style="2" hidden="1"/>
    <col min="6916" max="6916" width="9.1640625" style="2" hidden="1"/>
    <col min="6917" max="6917" width="9.6640625" style="2" hidden="1"/>
    <col min="6918" max="6918" width="11.1640625" style="2" hidden="1"/>
    <col min="6919" max="6919" width="10.33203125" style="2" hidden="1"/>
    <col min="6920" max="6920" width="10.5" style="2" hidden="1"/>
    <col min="6921" max="7169" width="9" style="2" hidden="1"/>
    <col min="7170" max="7170" width="28.1640625" style="2" hidden="1"/>
    <col min="7171" max="7171" width="8.1640625" style="2" hidden="1"/>
    <col min="7172" max="7172" width="9.1640625" style="2" hidden="1"/>
    <col min="7173" max="7173" width="9.6640625" style="2" hidden="1"/>
    <col min="7174" max="7174" width="11.1640625" style="2" hidden="1"/>
    <col min="7175" max="7175" width="10.33203125" style="2" hidden="1"/>
    <col min="7176" max="7176" width="10.5" style="2" hidden="1"/>
    <col min="7177" max="7425" width="8" style="2" hidden="1"/>
    <col min="7426" max="7426" width="28.1640625" style="2" hidden="1"/>
    <col min="7427" max="7427" width="8.1640625" style="2" hidden="1"/>
    <col min="7428" max="7428" width="9.1640625" style="2" hidden="1"/>
    <col min="7429" max="7429" width="9.6640625" style="2" hidden="1"/>
    <col min="7430" max="7430" width="11.1640625" style="2" hidden="1"/>
    <col min="7431" max="7431" width="10.33203125" style="2" hidden="1"/>
    <col min="7432" max="7432" width="10.5" style="2" hidden="1"/>
    <col min="7433" max="7681" width="8" style="2" hidden="1"/>
    <col min="7682" max="7682" width="28.1640625" style="2" hidden="1"/>
    <col min="7683" max="7683" width="8.1640625" style="2" hidden="1"/>
    <col min="7684" max="7684" width="9.1640625" style="2" hidden="1"/>
    <col min="7685" max="7685" width="9.6640625" style="2" hidden="1"/>
    <col min="7686" max="7686" width="11.1640625" style="2" hidden="1"/>
    <col min="7687" max="7687" width="10.33203125" style="2" hidden="1"/>
    <col min="7688" max="7688" width="10.5" style="2" hidden="1"/>
    <col min="7689" max="7937" width="8" style="2" hidden="1"/>
    <col min="7938" max="7938" width="28.1640625" style="2" hidden="1"/>
    <col min="7939" max="7939" width="8.1640625" style="2" hidden="1"/>
    <col min="7940" max="7940" width="9.1640625" style="2" hidden="1"/>
    <col min="7941" max="7941" width="9.6640625" style="2" hidden="1"/>
    <col min="7942" max="7942" width="11.1640625" style="2" hidden="1"/>
    <col min="7943" max="7943" width="10.33203125" style="2" hidden="1"/>
    <col min="7944" max="7944" width="10.5" style="2" hidden="1"/>
    <col min="7945" max="8193" width="9" style="2" hidden="1"/>
    <col min="8194" max="8194" width="28.1640625" style="2" hidden="1"/>
    <col min="8195" max="8195" width="8.1640625" style="2" hidden="1"/>
    <col min="8196" max="8196" width="9.1640625" style="2" hidden="1"/>
    <col min="8197" max="8197" width="9.6640625" style="2" hidden="1"/>
    <col min="8198" max="8198" width="11.1640625" style="2" hidden="1"/>
    <col min="8199" max="8199" width="10.33203125" style="2" hidden="1"/>
    <col min="8200" max="8200" width="10.5" style="2" hidden="1"/>
    <col min="8201" max="8449" width="8" style="2" hidden="1"/>
    <col min="8450" max="8450" width="28.1640625" style="2" hidden="1"/>
    <col min="8451" max="8451" width="8.1640625" style="2" hidden="1"/>
    <col min="8452" max="8452" width="9.1640625" style="2" hidden="1"/>
    <col min="8453" max="8453" width="9.6640625" style="2" hidden="1"/>
    <col min="8454" max="8454" width="11.1640625" style="2" hidden="1"/>
    <col min="8455" max="8455" width="10.33203125" style="2" hidden="1"/>
    <col min="8456" max="8456" width="10.5" style="2" hidden="1"/>
    <col min="8457" max="8705" width="8" style="2" hidden="1"/>
    <col min="8706" max="8706" width="28.1640625" style="2" hidden="1"/>
    <col min="8707" max="8707" width="8.1640625" style="2" hidden="1"/>
    <col min="8708" max="8708" width="9.1640625" style="2" hidden="1"/>
    <col min="8709" max="8709" width="9.6640625" style="2" hidden="1"/>
    <col min="8710" max="8710" width="11.1640625" style="2" hidden="1"/>
    <col min="8711" max="8711" width="10.33203125" style="2" hidden="1"/>
    <col min="8712" max="8712" width="10.5" style="2" hidden="1"/>
    <col min="8713" max="8961" width="8" style="2" hidden="1"/>
    <col min="8962" max="8962" width="28.1640625" style="2" hidden="1"/>
    <col min="8963" max="8963" width="8.1640625" style="2" hidden="1"/>
    <col min="8964" max="8964" width="9.1640625" style="2" hidden="1"/>
    <col min="8965" max="8965" width="9.6640625" style="2" hidden="1"/>
    <col min="8966" max="8966" width="11.1640625" style="2" hidden="1"/>
    <col min="8967" max="8967" width="10.33203125" style="2" hidden="1"/>
    <col min="8968" max="8968" width="10.5" style="2" hidden="1"/>
    <col min="8969" max="9217" width="9" style="2" hidden="1"/>
    <col min="9218" max="9218" width="28.1640625" style="2" hidden="1"/>
    <col min="9219" max="9219" width="8.1640625" style="2" hidden="1"/>
    <col min="9220" max="9220" width="9.1640625" style="2" hidden="1"/>
    <col min="9221" max="9221" width="9.6640625" style="2" hidden="1"/>
    <col min="9222" max="9222" width="11.1640625" style="2" hidden="1"/>
    <col min="9223" max="9223" width="10.33203125" style="2" hidden="1"/>
    <col min="9224" max="9224" width="10.5" style="2" hidden="1"/>
    <col min="9225" max="9473" width="8" style="2" hidden="1"/>
    <col min="9474" max="9474" width="28.1640625" style="2" hidden="1"/>
    <col min="9475" max="9475" width="8.1640625" style="2" hidden="1"/>
    <col min="9476" max="9476" width="9.1640625" style="2" hidden="1"/>
    <col min="9477" max="9477" width="9.6640625" style="2" hidden="1"/>
    <col min="9478" max="9478" width="11.1640625" style="2" hidden="1"/>
    <col min="9479" max="9479" width="10.33203125" style="2" hidden="1"/>
    <col min="9480" max="9480" width="10.5" style="2" hidden="1"/>
    <col min="9481" max="9729" width="8" style="2" hidden="1"/>
    <col min="9730" max="9730" width="28.1640625" style="2" hidden="1"/>
    <col min="9731" max="9731" width="8.1640625" style="2" hidden="1"/>
    <col min="9732" max="9732" width="9.1640625" style="2" hidden="1"/>
    <col min="9733" max="9733" width="9.6640625" style="2" hidden="1"/>
    <col min="9734" max="9734" width="11.1640625" style="2" hidden="1"/>
    <col min="9735" max="9735" width="10.33203125" style="2" hidden="1"/>
    <col min="9736" max="9736" width="10.5" style="2" hidden="1"/>
    <col min="9737" max="9985" width="8" style="2" hidden="1"/>
    <col min="9986" max="9986" width="28.1640625" style="2" hidden="1"/>
    <col min="9987" max="9987" width="8.1640625" style="2" hidden="1"/>
    <col min="9988" max="9988" width="9.1640625" style="2" hidden="1"/>
    <col min="9989" max="9989" width="9.6640625" style="2" hidden="1"/>
    <col min="9990" max="9990" width="11.1640625" style="2" hidden="1"/>
    <col min="9991" max="9991" width="10.33203125" style="2" hidden="1"/>
    <col min="9992" max="9992" width="10.5" style="2" hidden="1"/>
    <col min="9993" max="10241" width="9" style="2" hidden="1"/>
    <col min="10242" max="10242" width="28.1640625" style="2" hidden="1"/>
    <col min="10243" max="10243" width="8.1640625" style="2" hidden="1"/>
    <col min="10244" max="10244" width="9.1640625" style="2" hidden="1"/>
    <col min="10245" max="10245" width="9.6640625" style="2" hidden="1"/>
    <col min="10246" max="10246" width="11.1640625" style="2" hidden="1"/>
    <col min="10247" max="10247" width="10.33203125" style="2" hidden="1"/>
    <col min="10248" max="10248" width="10.5" style="2" hidden="1"/>
    <col min="10249" max="10497" width="8" style="2" hidden="1"/>
    <col min="10498" max="10498" width="28.1640625" style="2" hidden="1"/>
    <col min="10499" max="10499" width="8.1640625" style="2" hidden="1"/>
    <col min="10500" max="10500" width="9.1640625" style="2" hidden="1"/>
    <col min="10501" max="10501" width="9.6640625" style="2" hidden="1"/>
    <col min="10502" max="10502" width="11.1640625" style="2" hidden="1"/>
    <col min="10503" max="10503" width="10.33203125" style="2" hidden="1"/>
    <col min="10504" max="10504" width="10.5" style="2" hidden="1"/>
    <col min="10505" max="10753" width="8" style="2" hidden="1"/>
    <col min="10754" max="10754" width="28.1640625" style="2" hidden="1"/>
    <col min="10755" max="10755" width="8.1640625" style="2" hidden="1"/>
    <col min="10756" max="10756" width="9.1640625" style="2" hidden="1"/>
    <col min="10757" max="10757" width="9.6640625" style="2" hidden="1"/>
    <col min="10758" max="10758" width="11.1640625" style="2" hidden="1"/>
    <col min="10759" max="10759" width="10.33203125" style="2" hidden="1"/>
    <col min="10760" max="10760" width="10.5" style="2" hidden="1"/>
    <col min="10761" max="11009" width="8" style="2" hidden="1"/>
    <col min="11010" max="11010" width="28.1640625" style="2" hidden="1"/>
    <col min="11011" max="11011" width="8.1640625" style="2" hidden="1"/>
    <col min="11012" max="11012" width="9.1640625" style="2" hidden="1"/>
    <col min="11013" max="11013" width="9.6640625" style="2" hidden="1"/>
    <col min="11014" max="11014" width="11.1640625" style="2" hidden="1"/>
    <col min="11015" max="11015" width="10.33203125" style="2" hidden="1"/>
    <col min="11016" max="11016" width="10.5" style="2" hidden="1"/>
    <col min="11017" max="11265" width="9" style="2" hidden="1"/>
    <col min="11266" max="11266" width="28.1640625" style="2" hidden="1"/>
    <col min="11267" max="11267" width="8.1640625" style="2" hidden="1"/>
    <col min="11268" max="11268" width="9.1640625" style="2" hidden="1"/>
    <col min="11269" max="11269" width="9.6640625" style="2" hidden="1"/>
    <col min="11270" max="11270" width="11.1640625" style="2" hidden="1"/>
    <col min="11271" max="11271" width="10.33203125" style="2" hidden="1"/>
    <col min="11272" max="11272" width="10.5" style="2" hidden="1"/>
    <col min="11273" max="11521" width="8" style="2" hidden="1"/>
    <col min="11522" max="11522" width="28.1640625" style="2" hidden="1"/>
    <col min="11523" max="11523" width="8.1640625" style="2" hidden="1"/>
    <col min="11524" max="11524" width="9.1640625" style="2" hidden="1"/>
    <col min="11525" max="11525" width="9.6640625" style="2" hidden="1"/>
    <col min="11526" max="11526" width="11.1640625" style="2" hidden="1"/>
    <col min="11527" max="11527" width="10.33203125" style="2" hidden="1"/>
    <col min="11528" max="11528" width="10.5" style="2" hidden="1"/>
    <col min="11529" max="11777" width="8" style="2" hidden="1"/>
    <col min="11778" max="11778" width="28.1640625" style="2" hidden="1"/>
    <col min="11779" max="11779" width="8.1640625" style="2" hidden="1"/>
    <col min="11780" max="11780" width="9.1640625" style="2" hidden="1"/>
    <col min="11781" max="11781" width="9.6640625" style="2" hidden="1"/>
    <col min="11782" max="11782" width="11.1640625" style="2" hidden="1"/>
    <col min="11783" max="11783" width="10.33203125" style="2" hidden="1"/>
    <col min="11784" max="11784" width="10.5" style="2" hidden="1"/>
    <col min="11785" max="12033" width="8" style="2" hidden="1"/>
    <col min="12034" max="12034" width="28.1640625" style="2" hidden="1"/>
    <col min="12035" max="12035" width="8.1640625" style="2" hidden="1"/>
    <col min="12036" max="12036" width="9.1640625" style="2" hidden="1"/>
    <col min="12037" max="12037" width="9.6640625" style="2" hidden="1"/>
    <col min="12038" max="12038" width="11.1640625" style="2" hidden="1"/>
    <col min="12039" max="12039" width="10.33203125" style="2" hidden="1"/>
    <col min="12040" max="12040" width="10.5" style="2" hidden="1"/>
    <col min="12041" max="12289" width="9" style="2" hidden="1"/>
    <col min="12290" max="12290" width="28.1640625" style="2" hidden="1"/>
    <col min="12291" max="12291" width="8.1640625" style="2" hidden="1"/>
    <col min="12292" max="12292" width="9.1640625" style="2" hidden="1"/>
    <col min="12293" max="12293" width="9.6640625" style="2" hidden="1"/>
    <col min="12294" max="12294" width="11.1640625" style="2" hidden="1"/>
    <col min="12295" max="12295" width="10.33203125" style="2" hidden="1"/>
    <col min="12296" max="12296" width="10.5" style="2" hidden="1"/>
    <col min="12297" max="12545" width="8" style="2" hidden="1"/>
    <col min="12546" max="12546" width="28.1640625" style="2" hidden="1"/>
    <col min="12547" max="12547" width="8.1640625" style="2" hidden="1"/>
    <col min="12548" max="12548" width="9.1640625" style="2" hidden="1"/>
    <col min="12549" max="12549" width="9.6640625" style="2" hidden="1"/>
    <col min="12550" max="12550" width="11.1640625" style="2" hidden="1"/>
    <col min="12551" max="12551" width="10.33203125" style="2" hidden="1"/>
    <col min="12552" max="12552" width="10.5" style="2" hidden="1"/>
    <col min="12553" max="12801" width="8" style="2" hidden="1"/>
    <col min="12802" max="12802" width="28.1640625" style="2" hidden="1"/>
    <col min="12803" max="12803" width="8.1640625" style="2" hidden="1"/>
    <col min="12804" max="12804" width="9.1640625" style="2" hidden="1"/>
    <col min="12805" max="12805" width="9.6640625" style="2" hidden="1"/>
    <col min="12806" max="12806" width="11.1640625" style="2" hidden="1"/>
    <col min="12807" max="12807" width="10.33203125" style="2" hidden="1"/>
    <col min="12808" max="12808" width="10.5" style="2" hidden="1"/>
    <col min="12809" max="13057" width="8" style="2" hidden="1"/>
    <col min="13058" max="13058" width="28.1640625" style="2" hidden="1"/>
    <col min="13059" max="13059" width="8.1640625" style="2" hidden="1"/>
    <col min="13060" max="13060" width="9.1640625" style="2" hidden="1"/>
    <col min="13061" max="13061" width="9.6640625" style="2" hidden="1"/>
    <col min="13062" max="13062" width="11.1640625" style="2" hidden="1"/>
    <col min="13063" max="13063" width="10.33203125" style="2" hidden="1"/>
    <col min="13064" max="13064" width="10.5" style="2" hidden="1"/>
    <col min="13065" max="13313" width="9" style="2" hidden="1"/>
    <col min="13314" max="13314" width="28.1640625" style="2" hidden="1"/>
    <col min="13315" max="13315" width="8.1640625" style="2" hidden="1"/>
    <col min="13316" max="13316" width="9.1640625" style="2" hidden="1"/>
    <col min="13317" max="13317" width="9.6640625" style="2" hidden="1"/>
    <col min="13318" max="13318" width="11.1640625" style="2" hidden="1"/>
    <col min="13319" max="13319" width="10.33203125" style="2" hidden="1"/>
    <col min="13320" max="13320" width="10.5" style="2" hidden="1"/>
    <col min="13321" max="13569" width="8" style="2" hidden="1"/>
    <col min="13570" max="13570" width="28.1640625" style="2" hidden="1"/>
    <col min="13571" max="13571" width="8.1640625" style="2" hidden="1"/>
    <col min="13572" max="13572" width="9.1640625" style="2" hidden="1"/>
    <col min="13573" max="13573" width="9.6640625" style="2" hidden="1"/>
    <col min="13574" max="13574" width="11.1640625" style="2" hidden="1"/>
    <col min="13575" max="13575" width="10.33203125" style="2" hidden="1"/>
    <col min="13576" max="13576" width="10.5" style="2" hidden="1"/>
    <col min="13577" max="13825" width="8" style="2" hidden="1"/>
    <col min="13826" max="13826" width="28.1640625" style="2" hidden="1"/>
    <col min="13827" max="13827" width="8.1640625" style="2" hidden="1"/>
    <col min="13828" max="13828" width="9.1640625" style="2" hidden="1"/>
    <col min="13829" max="13829" width="9.6640625" style="2" hidden="1"/>
    <col min="13830" max="13830" width="11.1640625" style="2" hidden="1"/>
    <col min="13831" max="13831" width="10.33203125" style="2" hidden="1"/>
    <col min="13832" max="13832" width="10.5" style="2" hidden="1"/>
    <col min="13833" max="14081" width="8" style="2" hidden="1"/>
    <col min="14082" max="14082" width="28.1640625" style="2" hidden="1"/>
    <col min="14083" max="14083" width="8.1640625" style="2" hidden="1"/>
    <col min="14084" max="14084" width="9.1640625" style="2" hidden="1"/>
    <col min="14085" max="14085" width="9.6640625" style="2" hidden="1"/>
    <col min="14086" max="14086" width="11.1640625" style="2" hidden="1"/>
    <col min="14087" max="14087" width="10.33203125" style="2" hidden="1"/>
    <col min="14088" max="14088" width="10.5" style="2" hidden="1"/>
    <col min="14089" max="14337" width="9" style="2" hidden="1"/>
    <col min="14338" max="14338" width="28.1640625" style="2" hidden="1"/>
    <col min="14339" max="14339" width="8.1640625" style="2" hidden="1"/>
    <col min="14340" max="14340" width="9.1640625" style="2" hidden="1"/>
    <col min="14341" max="14341" width="9.6640625" style="2" hidden="1"/>
    <col min="14342" max="14342" width="11.1640625" style="2" hidden="1"/>
    <col min="14343" max="14343" width="10.33203125" style="2" hidden="1"/>
    <col min="14344" max="14344" width="10.5" style="2" hidden="1"/>
    <col min="14345" max="14593" width="8" style="2" hidden="1"/>
    <col min="14594" max="14594" width="28.1640625" style="2" hidden="1"/>
    <col min="14595" max="14595" width="8.1640625" style="2" hidden="1"/>
    <col min="14596" max="14596" width="9.1640625" style="2" hidden="1"/>
    <col min="14597" max="14597" width="9.6640625" style="2" hidden="1"/>
    <col min="14598" max="14598" width="11.1640625" style="2" hidden="1"/>
    <col min="14599" max="14599" width="10.33203125" style="2" hidden="1"/>
    <col min="14600" max="14600" width="10.5" style="2" hidden="1"/>
    <col min="14601" max="14849" width="8" style="2" hidden="1"/>
    <col min="14850" max="14850" width="28.1640625" style="2" hidden="1"/>
    <col min="14851" max="14851" width="8.1640625" style="2" hidden="1"/>
    <col min="14852" max="14852" width="9.1640625" style="2" hidden="1"/>
    <col min="14853" max="14853" width="9.6640625" style="2" hidden="1"/>
    <col min="14854" max="14854" width="11.1640625" style="2" hidden="1"/>
    <col min="14855" max="14855" width="10.33203125" style="2" hidden="1"/>
    <col min="14856" max="14856" width="10.5" style="2" hidden="1"/>
    <col min="14857" max="15105" width="8" style="2" hidden="1"/>
    <col min="15106" max="15106" width="28.1640625" style="2" hidden="1"/>
    <col min="15107" max="15107" width="8.1640625" style="2" hidden="1"/>
    <col min="15108" max="15108" width="9.1640625" style="2" hidden="1"/>
    <col min="15109" max="15109" width="9.6640625" style="2" hidden="1"/>
    <col min="15110" max="15110" width="11.1640625" style="2" hidden="1"/>
    <col min="15111" max="15111" width="10.33203125" style="2" hidden="1"/>
    <col min="15112" max="15112" width="10.5" style="2" hidden="1"/>
    <col min="15113" max="15361" width="9" style="2" hidden="1"/>
    <col min="15362" max="15362" width="28.1640625" style="2" hidden="1"/>
    <col min="15363" max="15363" width="8.1640625" style="2" hidden="1"/>
    <col min="15364" max="15364" width="9.1640625" style="2" hidden="1"/>
    <col min="15365" max="15365" width="9.6640625" style="2" hidden="1"/>
    <col min="15366" max="15366" width="11.1640625" style="2" hidden="1"/>
    <col min="15367" max="15367" width="10.33203125" style="2" hidden="1"/>
    <col min="15368" max="15368" width="10.5" style="2" hidden="1"/>
    <col min="15369" max="15617" width="8" style="2" hidden="1"/>
    <col min="15618" max="15618" width="28.1640625" style="2" hidden="1"/>
    <col min="15619" max="15619" width="8.1640625" style="2" hidden="1"/>
    <col min="15620" max="15620" width="9.1640625" style="2" hidden="1"/>
    <col min="15621" max="15621" width="9.6640625" style="2" hidden="1"/>
    <col min="15622" max="15622" width="11.1640625" style="2" hidden="1"/>
    <col min="15623" max="15623" width="10.33203125" style="2" hidden="1"/>
    <col min="15624" max="15624" width="10.5" style="2" hidden="1"/>
    <col min="15625" max="15873" width="8" style="2" hidden="1"/>
    <col min="15874" max="15874" width="28.1640625" style="2" hidden="1"/>
    <col min="15875" max="15875" width="8.1640625" style="2" hidden="1"/>
    <col min="15876" max="15876" width="9.1640625" style="2" hidden="1"/>
    <col min="15877" max="15877" width="9.6640625" style="2" hidden="1"/>
    <col min="15878" max="15878" width="11.1640625" style="2" hidden="1"/>
    <col min="15879" max="15879" width="10.33203125" style="2" hidden="1"/>
    <col min="15880" max="15880" width="10.5" style="2" hidden="1"/>
    <col min="15881" max="16129" width="8" style="2" hidden="1"/>
    <col min="16130" max="16130" width="28.1640625" style="2" hidden="1"/>
    <col min="16131" max="16131" width="8.1640625" style="2" hidden="1"/>
    <col min="16132" max="16132" width="9.1640625" style="2" hidden="1"/>
    <col min="16133" max="16133" width="9.6640625" style="2" hidden="1"/>
    <col min="16134" max="16134" width="11.1640625" style="2" hidden="1"/>
    <col min="16135" max="16135" width="10.33203125" style="2" hidden="1"/>
    <col min="16136" max="16136" width="10.5" style="2" hidden="1"/>
    <col min="16137" max="16384" width="9" style="2" hidden="1"/>
  </cols>
  <sheetData>
    <row r="1" spans="2:8" ht="15.75" customHeight="1" thickBot="1">
      <c r="B1" s="2" t="s">
        <v>28</v>
      </c>
      <c r="F1" s="3" t="s">
        <v>29</v>
      </c>
    </row>
    <row r="2" spans="2:8" hidden="1">
      <c r="F2" s="3"/>
    </row>
    <row r="3" spans="2:8" ht="20.25" customHeight="1">
      <c r="B3" s="336" t="s">
        <v>876</v>
      </c>
      <c r="C3" s="337"/>
      <c r="D3" s="337"/>
      <c r="E3" s="337"/>
      <c r="F3" s="338"/>
      <c r="G3" s="18"/>
      <c r="H3" s="34"/>
    </row>
    <row r="4" spans="2:8" ht="6" customHeight="1">
      <c r="B4" s="4"/>
      <c r="C4" s="10"/>
      <c r="E4" s="10"/>
      <c r="F4" s="15"/>
      <c r="G4" s="18"/>
      <c r="H4" s="18"/>
    </row>
    <row r="5" spans="2:8">
      <c r="B5" s="77" t="s">
        <v>399</v>
      </c>
      <c r="C5" s="78" t="s">
        <v>4</v>
      </c>
      <c r="D5" s="78" t="s">
        <v>9</v>
      </c>
      <c r="E5" s="79" t="s">
        <v>30</v>
      </c>
      <c r="F5" s="36" t="s">
        <v>31</v>
      </c>
      <c r="G5" s="18"/>
      <c r="H5" s="18"/>
    </row>
    <row r="6" spans="2:8">
      <c r="B6" s="7" t="s">
        <v>32</v>
      </c>
      <c r="C6" s="8" t="s">
        <v>33</v>
      </c>
      <c r="D6" s="71">
        <f>'Input quantities'!C5</f>
        <v>140</v>
      </c>
      <c r="E6" s="10">
        <v>9</v>
      </c>
      <c r="F6" s="12">
        <f>D6*E6</f>
        <v>1260</v>
      </c>
      <c r="G6" s="99" t="s">
        <v>66</v>
      </c>
      <c r="H6" s="99" t="s">
        <v>66</v>
      </c>
    </row>
    <row r="7" spans="2:8">
      <c r="B7" s="7" t="s">
        <v>34</v>
      </c>
      <c r="C7" s="72"/>
      <c r="D7" s="72"/>
      <c r="E7" s="73"/>
      <c r="F7" s="12">
        <f>D7*E7</f>
        <v>0</v>
      </c>
      <c r="G7" s="35"/>
      <c r="H7" s="35"/>
    </row>
    <row r="8" spans="2:8">
      <c r="B8" s="13" t="s">
        <v>35</v>
      </c>
      <c r="C8" s="10"/>
      <c r="D8" s="86"/>
      <c r="E8" s="10"/>
      <c r="F8" s="16">
        <v>15</v>
      </c>
      <c r="G8" s="35"/>
      <c r="H8" s="35"/>
    </row>
    <row r="9" spans="2:8">
      <c r="B9" s="13" t="s">
        <v>36</v>
      </c>
      <c r="C9" s="10"/>
      <c r="D9" s="86"/>
      <c r="E9" s="10"/>
      <c r="F9" s="89">
        <v>0</v>
      </c>
      <c r="G9" s="35"/>
      <c r="H9" s="35"/>
    </row>
    <row r="10" spans="2:8">
      <c r="B10" s="83" t="s">
        <v>404</v>
      </c>
      <c r="C10" s="5"/>
      <c r="D10" s="19"/>
      <c r="E10" s="19"/>
      <c r="F10" s="84">
        <f>SUM(F6:F9)</f>
        <v>1275</v>
      </c>
      <c r="G10" s="10"/>
      <c r="H10" s="10"/>
    </row>
    <row r="11" spans="2:8">
      <c r="B11" s="9"/>
      <c r="C11" s="10"/>
      <c r="D11" s="11"/>
      <c r="E11" s="10"/>
      <c r="F11" s="12"/>
      <c r="G11" s="10"/>
      <c r="H11" s="10"/>
    </row>
    <row r="12" spans="2:8">
      <c r="B12" s="80" t="s">
        <v>400</v>
      </c>
      <c r="C12" s="90" t="s">
        <v>37</v>
      </c>
      <c r="D12" s="90" t="s">
        <v>30</v>
      </c>
      <c r="E12" s="10"/>
      <c r="F12" s="12"/>
      <c r="G12" s="37"/>
      <c r="H12" s="37"/>
    </row>
    <row r="13" spans="2:8">
      <c r="B13" s="13" t="s">
        <v>20</v>
      </c>
      <c r="C13" s="91">
        <v>33000</v>
      </c>
      <c r="D13" s="75">
        <f>'Input prices'!E15</f>
        <v>265</v>
      </c>
      <c r="F13" s="12">
        <f>D13*C13/'Input quantities'!C10</f>
        <v>109.3125</v>
      </c>
      <c r="G13" s="10"/>
      <c r="H13" s="10"/>
    </row>
    <row r="14" spans="2:8">
      <c r="B14" s="13" t="s">
        <v>859</v>
      </c>
      <c r="C14" s="74"/>
      <c r="D14" s="75"/>
      <c r="E14" s="98"/>
      <c r="F14" s="12">
        <f>SUM(E15:E19)</f>
        <v>225</v>
      </c>
      <c r="G14" s="10"/>
      <c r="H14" s="10"/>
    </row>
    <row r="15" spans="2:8">
      <c r="B15" s="14" t="s">
        <v>860</v>
      </c>
      <c r="C15" s="74"/>
      <c r="D15" s="75"/>
      <c r="E15" s="97">
        <f>C15*D15</f>
        <v>0</v>
      </c>
      <c r="F15" s="12"/>
      <c r="G15" s="10"/>
      <c r="H15" s="10"/>
    </row>
    <row r="16" spans="2:8">
      <c r="B16" s="14" t="s">
        <v>861</v>
      </c>
      <c r="C16" s="74">
        <v>3</v>
      </c>
      <c r="D16" s="75">
        <v>55</v>
      </c>
      <c r="E16" s="97">
        <f>C16*D16</f>
        <v>165</v>
      </c>
      <c r="F16" s="12"/>
      <c r="G16" s="10"/>
      <c r="H16" s="10"/>
    </row>
    <row r="17" spans="2:8">
      <c r="B17" s="14" t="s">
        <v>862</v>
      </c>
      <c r="C17" s="74">
        <v>1</v>
      </c>
      <c r="D17" s="75">
        <v>45</v>
      </c>
      <c r="E17" s="97">
        <f>C17*D17</f>
        <v>45</v>
      </c>
      <c r="F17" s="12"/>
      <c r="G17" s="10"/>
      <c r="H17" s="10"/>
    </row>
    <row r="18" spans="2:8">
      <c r="B18" s="14" t="s">
        <v>759</v>
      </c>
      <c r="C18" s="74"/>
      <c r="D18" s="75"/>
      <c r="E18" s="97">
        <f>C18*D18</f>
        <v>0</v>
      </c>
      <c r="F18" s="12"/>
      <c r="G18" s="10"/>
      <c r="H18" s="10"/>
    </row>
    <row r="19" spans="2:8">
      <c r="B19" s="14" t="s">
        <v>13</v>
      </c>
      <c r="C19" s="74">
        <v>0.5</v>
      </c>
      <c r="D19" s="75">
        <f>IF('Input prices'!$E14&gt;0,'Input prices'!$E14,'Input prices'!$D14)</f>
        <v>30</v>
      </c>
      <c r="E19" s="97">
        <f>C19*D19</f>
        <v>15</v>
      </c>
      <c r="F19" s="15"/>
      <c r="G19" s="10"/>
      <c r="H19" s="10"/>
    </row>
    <row r="20" spans="2:8">
      <c r="B20" s="13" t="s">
        <v>39</v>
      </c>
      <c r="C20" s="74"/>
      <c r="D20" s="75"/>
      <c r="E20" s="97"/>
      <c r="F20" s="12">
        <f>SUM(E21:E23)</f>
        <v>0</v>
      </c>
      <c r="G20" s="10"/>
      <c r="H20" s="10"/>
    </row>
    <row r="21" spans="2:8">
      <c r="B21" s="14" t="s">
        <v>863</v>
      </c>
      <c r="C21" s="74"/>
      <c r="D21" s="75">
        <v>0</v>
      </c>
      <c r="E21" s="97">
        <f>C21*D21</f>
        <v>0</v>
      </c>
      <c r="F21" s="12"/>
      <c r="G21" s="18"/>
      <c r="H21" s="18"/>
    </row>
    <row r="22" spans="2:8">
      <c r="B22" s="14" t="s">
        <v>864</v>
      </c>
      <c r="C22" s="74"/>
      <c r="D22" s="75">
        <v>25</v>
      </c>
      <c r="E22" s="97">
        <f>C22*D22</f>
        <v>0</v>
      </c>
      <c r="F22" s="12"/>
      <c r="G22" s="18"/>
      <c r="H22" s="18"/>
    </row>
    <row r="23" spans="2:8">
      <c r="B23" s="14" t="s">
        <v>865</v>
      </c>
      <c r="C23" s="74"/>
      <c r="D23" s="75">
        <v>0</v>
      </c>
      <c r="E23" s="97">
        <f t="shared" ref="E23:E24" si="0">C23*D23</f>
        <v>0</v>
      </c>
      <c r="F23" s="12"/>
      <c r="G23" s="18"/>
      <c r="H23" s="18"/>
    </row>
    <row r="24" spans="2:8" hidden="1">
      <c r="B24" s="14" t="s">
        <v>762</v>
      </c>
      <c r="C24" s="74" t="e">
        <f>'Input quantities'!#REF!</f>
        <v>#REF!</v>
      </c>
      <c r="D24" s="75" t="e">
        <f>'Input prices'!#REF!</f>
        <v>#REF!</v>
      </c>
      <c r="E24" s="97" t="e">
        <f t="shared" si="0"/>
        <v>#REF!</v>
      </c>
      <c r="F24" s="12"/>
      <c r="G24" s="10"/>
      <c r="H24" s="10"/>
    </row>
    <row r="25" spans="2:8">
      <c r="B25" s="13" t="s">
        <v>788</v>
      </c>
      <c r="C25" s="243">
        <f>IF('Input quantities'!C6&gt;'Input quantities'!C25,'Input quantities'!C6-'Input quantities'!C25,"-")</f>
        <v>2.5000000000000022E-2</v>
      </c>
      <c r="D25" s="75">
        <f>'Input prices'!D19</f>
        <v>0.05</v>
      </c>
      <c r="E25" s="97"/>
      <c r="F25" s="12">
        <f>IFERROR(C25*100*D25*D6,0)</f>
        <v>17.500000000000014</v>
      </c>
      <c r="G25" s="10"/>
      <c r="H25" s="10"/>
    </row>
    <row r="26" spans="2:8">
      <c r="B26" s="13" t="s">
        <v>40</v>
      </c>
      <c r="C26" s="74"/>
      <c r="D26" s="75"/>
      <c r="E26" s="10"/>
      <c r="F26" s="16">
        <v>8.5</v>
      </c>
      <c r="G26" s="10"/>
      <c r="H26" s="10"/>
    </row>
    <row r="27" spans="2:8">
      <c r="B27" s="13" t="s">
        <v>41</v>
      </c>
      <c r="C27" s="74"/>
      <c r="D27" s="75"/>
      <c r="E27" s="10"/>
      <c r="F27" s="16">
        <v>33</v>
      </c>
      <c r="G27" s="10"/>
      <c r="H27" s="10"/>
    </row>
    <row r="28" spans="2:8">
      <c r="B28" s="13" t="s">
        <v>42</v>
      </c>
      <c r="C28" s="74"/>
      <c r="D28" s="75"/>
      <c r="E28" s="10"/>
      <c r="F28" s="237">
        <v>0</v>
      </c>
      <c r="G28" s="10"/>
      <c r="H28" s="10"/>
    </row>
    <row r="29" spans="2:8">
      <c r="B29" s="13" t="s">
        <v>834</v>
      </c>
      <c r="C29" s="74">
        <f>D76</f>
        <v>0.9982114179004935</v>
      </c>
      <c r="D29" s="75">
        <f>'Input prices'!D20</f>
        <v>26</v>
      </c>
      <c r="E29" s="10"/>
      <c r="F29" s="237">
        <f>D29*C29</f>
        <v>25.953496865412831</v>
      </c>
      <c r="G29" s="10"/>
      <c r="H29" s="10"/>
    </row>
    <row r="30" spans="2:8">
      <c r="B30" s="13" t="s">
        <v>774</v>
      </c>
      <c r="C30" s="74">
        <f>E76</f>
        <v>7.0693245631585953</v>
      </c>
      <c r="D30" s="75">
        <f>'Input prices'!D21</f>
        <v>3.25</v>
      </c>
      <c r="E30" s="10"/>
      <c r="F30" s="237">
        <f>C30*D30</f>
        <v>22.975304830265436</v>
      </c>
      <c r="G30" s="10"/>
      <c r="H30" s="10"/>
    </row>
    <row r="31" spans="2:8">
      <c r="B31" s="13" t="s">
        <v>43</v>
      </c>
      <c r="C31" s="74"/>
      <c r="D31" s="75"/>
      <c r="E31" s="10"/>
      <c r="F31" s="237">
        <f>F76-F30-F29</f>
        <v>39.965550680883808</v>
      </c>
      <c r="G31" s="10"/>
      <c r="H31" s="10"/>
    </row>
    <row r="32" spans="2:8">
      <c r="B32" s="13" t="s">
        <v>395</v>
      </c>
      <c r="C32" s="74"/>
      <c r="D32" s="75"/>
      <c r="E32" s="10"/>
      <c r="F32" s="237">
        <f>F10*0.03</f>
        <v>38.25</v>
      </c>
      <c r="G32" s="10"/>
      <c r="H32" s="10"/>
    </row>
    <row r="33" spans="2:8">
      <c r="B33" s="13" t="s">
        <v>44</v>
      </c>
      <c r="C33" s="74"/>
      <c r="D33" s="75"/>
      <c r="E33" s="10"/>
      <c r="F33" s="16">
        <v>0</v>
      </c>
      <c r="G33" s="10"/>
      <c r="H33" s="10"/>
    </row>
    <row r="34" spans="2:8">
      <c r="B34" s="13" t="s">
        <v>16</v>
      </c>
      <c r="C34" s="85">
        <f>SUM(F13:F33)/2</f>
        <v>260.22842618828105</v>
      </c>
      <c r="D34" s="76">
        <f>'Input prices'!D22</f>
        <v>0.09</v>
      </c>
      <c r="E34" s="74"/>
      <c r="F34" s="17">
        <f>D34*C34</f>
        <v>23.420558356945293</v>
      </c>
      <c r="G34" s="10"/>
      <c r="H34" s="10"/>
    </row>
    <row r="35" spans="2:8">
      <c r="B35" s="82" t="s">
        <v>402</v>
      </c>
      <c r="C35" s="10"/>
      <c r="D35" s="11"/>
      <c r="E35" s="10"/>
      <c r="F35" s="81">
        <f>SUM(F13:F34)</f>
        <v>543.87741073350742</v>
      </c>
      <c r="G35" s="37"/>
      <c r="H35" s="37"/>
    </row>
    <row r="36" spans="2:8">
      <c r="B36" s="9"/>
      <c r="C36" s="10"/>
      <c r="D36" s="11"/>
      <c r="E36" s="10"/>
      <c r="F36" s="15"/>
      <c r="G36" s="10"/>
      <c r="H36" s="10"/>
    </row>
    <row r="37" spans="2:8">
      <c r="B37" s="80" t="s">
        <v>401</v>
      </c>
      <c r="C37" s="10"/>
      <c r="D37" s="11"/>
      <c r="E37" s="10"/>
      <c r="F37" s="12"/>
      <c r="G37" s="10"/>
      <c r="H37" s="10"/>
    </row>
    <row r="38" spans="2:8">
      <c r="B38" s="13" t="s">
        <v>26</v>
      </c>
      <c r="C38" s="18"/>
      <c r="D38" s="11"/>
      <c r="E38" s="10"/>
      <c r="F38" s="12">
        <f>'Input prices'!D25*'Organic Corn'!F10</f>
        <v>12.75</v>
      </c>
      <c r="G38" s="10"/>
      <c r="H38" s="10"/>
    </row>
    <row r="39" spans="2:8">
      <c r="B39" s="13" t="s">
        <v>412</v>
      </c>
      <c r="C39" s="10"/>
      <c r="D39" s="11"/>
      <c r="E39" s="10"/>
      <c r="F39" s="12">
        <f>G76</f>
        <v>112.50504397848755</v>
      </c>
      <c r="G39" s="10"/>
      <c r="H39" s="10"/>
    </row>
    <row r="40" spans="2:8">
      <c r="B40" s="13" t="s">
        <v>45</v>
      </c>
      <c r="C40" s="10"/>
      <c r="D40" s="11"/>
      <c r="E40" s="10"/>
      <c r="F40" s="17">
        <f>IF('Input prices'!D26&gt;0,'Input prices'!D26,'Input prices'!E26)</f>
        <v>185</v>
      </c>
      <c r="G40" s="10"/>
      <c r="H40" s="10"/>
    </row>
    <row r="41" spans="2:8">
      <c r="B41" s="82" t="s">
        <v>403</v>
      </c>
      <c r="C41" s="10"/>
      <c r="D41" s="11"/>
      <c r="E41" s="10"/>
      <c r="F41" s="81">
        <f>SUM(F38:F40)</f>
        <v>310.25504397848755</v>
      </c>
      <c r="G41" s="37"/>
      <c r="H41" s="37"/>
    </row>
    <row r="42" spans="2:8">
      <c r="B42" s="9"/>
      <c r="C42" s="10"/>
      <c r="D42" s="11"/>
      <c r="E42" s="10"/>
      <c r="F42" s="70"/>
      <c r="G42" s="10"/>
      <c r="H42" s="10"/>
    </row>
    <row r="43" spans="2:8" ht="15" customHeight="1">
      <c r="B43" s="82" t="s">
        <v>405</v>
      </c>
      <c r="C43" s="10"/>
      <c r="D43" s="11"/>
      <c r="E43" s="11"/>
      <c r="F43" s="81">
        <f>F35+F41</f>
        <v>854.13245471199502</v>
      </c>
      <c r="G43" s="37"/>
      <c r="H43" s="37"/>
    </row>
    <row r="44" spans="2:8">
      <c r="B44" s="94"/>
      <c r="C44" s="92"/>
      <c r="D44" s="93"/>
      <c r="E44" s="92"/>
      <c r="F44" s="95"/>
      <c r="G44" s="18"/>
      <c r="H44" s="10"/>
    </row>
    <row r="45" spans="2:8">
      <c r="B45" s="87" t="s">
        <v>396</v>
      </c>
      <c r="C45" s="10"/>
      <c r="D45" s="11"/>
      <c r="E45" s="10"/>
      <c r="F45" s="6">
        <f>F10-F35</f>
        <v>731.12258926649258</v>
      </c>
      <c r="G45" s="10"/>
      <c r="H45" s="10"/>
    </row>
    <row r="46" spans="2:8">
      <c r="B46" s="87" t="s">
        <v>397</v>
      </c>
      <c r="C46" s="10"/>
      <c r="D46" s="11"/>
      <c r="E46" s="10"/>
      <c r="F46" s="6">
        <f>F10-F43</f>
        <v>420.86754528800498</v>
      </c>
      <c r="G46" s="10"/>
      <c r="H46" s="10"/>
    </row>
    <row r="47" spans="2:8">
      <c r="B47" s="96" t="s">
        <v>398</v>
      </c>
      <c r="C47" s="5"/>
      <c r="D47" s="19"/>
      <c r="E47" s="5"/>
      <c r="F47" s="36">
        <f>F10-F43+F40+F32</f>
        <v>644.11754528800498</v>
      </c>
      <c r="G47" s="18"/>
      <c r="H47" s="18"/>
    </row>
    <row r="48" spans="2:8">
      <c r="B48" s="9"/>
      <c r="C48" s="10"/>
      <c r="D48" s="10" t="s">
        <v>46</v>
      </c>
      <c r="E48" s="10"/>
      <c r="F48" s="12">
        <f>F35/D6</f>
        <v>3.8848386480964816</v>
      </c>
      <c r="G48" s="10"/>
      <c r="H48" s="10"/>
    </row>
    <row r="49" spans="2:8">
      <c r="B49" s="9"/>
      <c r="C49" s="10"/>
      <c r="D49" s="10" t="s">
        <v>47</v>
      </c>
      <c r="E49" s="10"/>
      <c r="F49" s="12">
        <f>F41/D6</f>
        <v>2.2161074569891968</v>
      </c>
      <c r="G49" s="10"/>
      <c r="H49" s="10"/>
    </row>
    <row r="50" spans="2:8" ht="17" thickBot="1">
      <c r="B50" s="20"/>
      <c r="C50" s="21"/>
      <c r="D50" s="21" t="s">
        <v>48</v>
      </c>
      <c r="E50" s="21"/>
      <c r="F50" s="38">
        <f>F43/D6</f>
        <v>6.1009461050856784</v>
      </c>
      <c r="G50" s="10"/>
      <c r="H50" s="10"/>
    </row>
    <row r="51" spans="2:8">
      <c r="B51" s="18"/>
      <c r="C51" s="10"/>
      <c r="D51" s="11"/>
      <c r="E51" s="10"/>
      <c r="F51" s="18"/>
      <c r="G51" s="10"/>
      <c r="H51" s="10"/>
    </row>
    <row r="52" spans="2:8">
      <c r="B52" s="18"/>
      <c r="C52" s="10"/>
      <c r="D52" s="11"/>
      <c r="E52" s="10"/>
      <c r="F52" s="18"/>
      <c r="G52" s="10"/>
      <c r="H52" s="10"/>
    </row>
    <row r="53" spans="2:8">
      <c r="B53" s="18"/>
      <c r="C53" s="10"/>
      <c r="D53" s="10"/>
      <c r="E53" s="10"/>
      <c r="F53" s="10"/>
      <c r="G53" s="10"/>
      <c r="H53" s="10"/>
    </row>
    <row r="54" spans="2:8">
      <c r="G54" s="18"/>
      <c r="H54" s="18"/>
    </row>
    <row r="55" spans="2:8">
      <c r="B55" s="22" t="str">
        <f>"Detailed Report: "&amp;B3</f>
        <v>Detailed Report: Organic Corn Enterprise Budget</v>
      </c>
      <c r="C55" s="23"/>
      <c r="D55" s="24"/>
      <c r="E55" s="23"/>
      <c r="F55" s="25"/>
      <c r="G55" s="26"/>
    </row>
    <row r="56" spans="2:8">
      <c r="C56" s="27"/>
      <c r="D56" s="24"/>
      <c r="E56" s="25"/>
      <c r="F56" s="25"/>
      <c r="G56" s="25"/>
    </row>
    <row r="57" spans="2:8">
      <c r="B57" s="28" t="s">
        <v>49</v>
      </c>
      <c r="C57" s="29" t="s">
        <v>50</v>
      </c>
      <c r="D57" s="30"/>
      <c r="E57" s="28" t="s">
        <v>51</v>
      </c>
      <c r="F57" s="28"/>
      <c r="G57" s="31"/>
      <c r="H57" s="29" t="s">
        <v>52</v>
      </c>
    </row>
    <row r="58" spans="2:8">
      <c r="B58" s="267" t="s">
        <v>53</v>
      </c>
      <c r="C58" s="268">
        <f>D6</f>
        <v>140</v>
      </c>
      <c r="D58" s="269"/>
      <c r="E58" s="267" t="s">
        <v>384</v>
      </c>
      <c r="F58" s="59"/>
      <c r="G58" s="59"/>
      <c r="H58" s="269">
        <f>E6</f>
        <v>9</v>
      </c>
    </row>
    <row r="59" spans="2:8">
      <c r="B59" s="267" t="s">
        <v>54</v>
      </c>
      <c r="C59" s="270">
        <f>C13</f>
        <v>33000</v>
      </c>
      <c r="D59" s="269"/>
      <c r="E59" s="267" t="str">
        <f>"Seed, per "&amp;'Input quantities'!C10&amp;" seed bag"</f>
        <v>Seed, per 80000 seed bag</v>
      </c>
      <c r="F59" s="59"/>
      <c r="G59" s="59"/>
      <c r="H59" s="269">
        <f>D13</f>
        <v>265</v>
      </c>
    </row>
    <row r="60" spans="2:8">
      <c r="B60" s="267" t="s">
        <v>836</v>
      </c>
      <c r="C60" s="304">
        <v>0.6</v>
      </c>
      <c r="D60" s="269"/>
      <c r="E60" s="267" t="s">
        <v>837</v>
      </c>
      <c r="F60" s="267"/>
      <c r="G60" s="59"/>
      <c r="H60" s="269">
        <f>'Input prices'!D14</f>
        <v>30</v>
      </c>
    </row>
    <row r="61" spans="2:8">
      <c r="B61" s="267" t="s">
        <v>55</v>
      </c>
      <c r="C61" s="271">
        <f>D76</f>
        <v>0.9982114179004935</v>
      </c>
      <c r="D61" s="269"/>
      <c r="E61" s="267" t="s">
        <v>56</v>
      </c>
      <c r="F61" s="267"/>
      <c r="G61" s="59"/>
      <c r="H61" s="269">
        <f>'Input prices'!D20</f>
        <v>26</v>
      </c>
    </row>
    <row r="62" spans="2:8">
      <c r="B62" s="59" t="s">
        <v>838</v>
      </c>
      <c r="C62" s="305">
        <f>D34</f>
        <v>0.09</v>
      </c>
      <c r="D62" s="59"/>
      <c r="E62" s="267" t="s">
        <v>57</v>
      </c>
      <c r="F62" s="267"/>
      <c r="G62" s="59"/>
      <c r="H62" s="269">
        <f>'Input prices'!D21</f>
        <v>3.25</v>
      </c>
    </row>
    <row r="63" spans="2:8">
      <c r="E63" s="25"/>
      <c r="F63" s="25"/>
      <c r="H63" s="24"/>
    </row>
    <row r="64" spans="2:8">
      <c r="B64" s="25"/>
      <c r="C64" s="27"/>
      <c r="D64" s="27"/>
      <c r="E64" s="27"/>
      <c r="F64" s="27"/>
      <c r="G64" s="27"/>
      <c r="H64" s="25"/>
    </row>
    <row r="65" spans="2:8" ht="34.5">
      <c r="B65" s="22"/>
      <c r="C65" s="32" t="s">
        <v>60</v>
      </c>
      <c r="D65" s="32" t="s">
        <v>58</v>
      </c>
      <c r="E65" s="32" t="s">
        <v>59</v>
      </c>
      <c r="F65" s="33" t="s">
        <v>410</v>
      </c>
      <c r="G65" s="33" t="s">
        <v>411</v>
      </c>
      <c r="H65" s="33" t="s">
        <v>409</v>
      </c>
    </row>
    <row r="66" spans="2:8">
      <c r="B66" s="28" t="s">
        <v>61</v>
      </c>
      <c r="C66" s="29" t="s">
        <v>65</v>
      </c>
      <c r="D66" s="29" t="s">
        <v>62</v>
      </c>
      <c r="E66" s="29" t="s">
        <v>63</v>
      </c>
      <c r="F66" s="29" t="s">
        <v>64</v>
      </c>
      <c r="G66" s="29" t="s">
        <v>64</v>
      </c>
      <c r="H66" s="29" t="s">
        <v>64</v>
      </c>
    </row>
    <row r="67" spans="2:8">
      <c r="B67" s="59" t="str">
        <f>CONCATENATE(Equipment!B8,"; ",Equipment!C8)</f>
        <v>Chisel plow, 22 Ft Folding, per acre; 200 HP MFWD</v>
      </c>
      <c r="C67" s="272">
        <f>IFERROR(Equipment!D8,"-")</f>
        <v>1</v>
      </c>
      <c r="D67" s="271">
        <f>IFERROR(Equipment!F8,"-")</f>
        <v>8.8235294117647065E-2</v>
      </c>
      <c r="E67" s="271">
        <f>IFERROR(Equipment!E8,"-")</f>
        <v>0.77647058823529402</v>
      </c>
      <c r="F67" s="271">
        <f>IFERROR(Equipment!G8,"-")</f>
        <v>8.4272624866121184</v>
      </c>
      <c r="G67" s="271">
        <f>IFERROR(Equipment!H8,"-")</f>
        <v>12.73136686869473</v>
      </c>
      <c r="H67" s="273">
        <f>SUM(F67:G67)</f>
        <v>21.15862935530685</v>
      </c>
    </row>
    <row r="68" spans="2:8">
      <c r="B68" s="59" t="str">
        <f>CONCATENATE(Equipment!B9,"; ",Equipment!C9)</f>
        <v>Tandem disk, 21 Ft Folding, per acre; 200 HP MFWD</v>
      </c>
      <c r="C68" s="272">
        <f>IFERROR(Equipment!D9,"-")</f>
        <v>2</v>
      </c>
      <c r="D68" s="271">
        <f>IFERROR(Equipment!F9,"-")</f>
        <v>0.16369047619047616</v>
      </c>
      <c r="E68" s="271">
        <f>IFERROR(Equipment!E9,"-")</f>
        <v>1.44047619047619</v>
      </c>
      <c r="F68" s="271">
        <f>IFERROR(Equipment!G9,"-")</f>
        <v>15.849080958305125</v>
      </c>
      <c r="G68" s="271">
        <f>IFERROR(Equipment!H9,"-")</f>
        <v>24.41697555603243</v>
      </c>
      <c r="H68" s="273">
        <f t="shared" ref="H68:H72" si="1">SUM(F68:G68)</f>
        <v>40.266056514337556</v>
      </c>
    </row>
    <row r="69" spans="2:8">
      <c r="B69" s="59" t="str">
        <f>CONCATENATE(Equipment!B10,"; ",Equipment!C10)</f>
        <v>Field cultivator, 28 Ft Folding, per acre; 160 HP MFWD</v>
      </c>
      <c r="C69" s="272">
        <f>IFERROR(Equipment!D10,"-")</f>
        <v>2</v>
      </c>
      <c r="D69" s="271">
        <f>IFERROR(Equipment!F10,"-")</f>
        <v>9.9039615846338538E-2</v>
      </c>
      <c r="E69" s="271">
        <f>IFERROR(Equipment!E10,"-")</f>
        <v>0.69723889555822327</v>
      </c>
      <c r="F69" s="271">
        <f>IFERROR(Equipment!G10,"-")</f>
        <v>8.0829852889381666</v>
      </c>
      <c r="G69" s="271">
        <f>IFERROR(Equipment!H10,"-")</f>
        <v>10.432093520387751</v>
      </c>
      <c r="H69" s="273">
        <f t="shared" si="1"/>
        <v>18.515078809325917</v>
      </c>
    </row>
    <row r="70" spans="2:8">
      <c r="B70" s="59" t="str">
        <f>CONCATENATE(Equipment!B12,"; ",Equipment!C12)</f>
        <v>Row crop planter, 20 Ft Folding, per acre; 160 HP MFWD</v>
      </c>
      <c r="C70" s="272">
        <f>IFERROR(Equipment!D12,"-")</f>
        <v>1</v>
      </c>
      <c r="D70" s="271">
        <f>IFERROR(Equipment!F12,"-")</f>
        <v>0.10714285714285714</v>
      </c>
      <c r="E70" s="271">
        <f>IFERROR(Equipment!E12,"-")</f>
        <v>0.75428571428571412</v>
      </c>
      <c r="F70" s="271">
        <f>IFERROR(Equipment!G12,"-")</f>
        <v>9.9861755178410796</v>
      </c>
      <c r="G70" s="271">
        <f>IFERROR(Equipment!H12,"-")</f>
        <v>14.199056463772342</v>
      </c>
      <c r="H70" s="273">
        <f t="shared" si="1"/>
        <v>24.18523198161342</v>
      </c>
    </row>
    <row r="71" spans="2:8">
      <c r="B71" s="59" t="str">
        <f>CONCATENATE(Equipment!B13,"; ",Equipment!C13)</f>
        <v>Combine corn hd, 15 Ft, per acre; 275 HP Combine</v>
      </c>
      <c r="C71" s="272">
        <f>IFERROR(Equipment!D13,"-")</f>
        <v>1</v>
      </c>
      <c r="D71" s="271">
        <f>IFERROR(Equipment!F13,"-")</f>
        <v>0.17460317460317459</v>
      </c>
      <c r="E71" s="271">
        <f>IFERROR(Equipment!E13,"-")</f>
        <v>1.8246031746031743</v>
      </c>
      <c r="F71" s="271">
        <f>IFERROR(Equipment!G13,"-")</f>
        <v>25.231700551805574</v>
      </c>
      <c r="G71" s="271">
        <f>IFERROR(Equipment!H13,"-")</f>
        <v>35.851657280157099</v>
      </c>
      <c r="H71" s="273">
        <f t="shared" si="1"/>
        <v>61.083357831962672</v>
      </c>
    </row>
    <row r="72" spans="2:8">
      <c r="B72" s="59" t="str">
        <f>CONCATENATE(Equipment!B14,"; ",Equipment!C14)</f>
        <v>Grain cart, 1000 Bu, per hour; 200 HP MFWD</v>
      </c>
      <c r="C72" s="272">
        <f>IFERROR(Equipment!D14,"-")</f>
        <v>0.05</v>
      </c>
      <c r="D72" s="271">
        <f>IFERROR(Equipment!F14,"-")</f>
        <v>5.5500000000000008E-2</v>
      </c>
      <c r="E72" s="271">
        <f>IFERROR(Equipment!E14,"-")</f>
        <v>0.43999999999999995</v>
      </c>
      <c r="F72" s="271">
        <f>IFERROR(Equipment!G14,"-")</f>
        <v>5.5251596344634999</v>
      </c>
      <c r="G72" s="271">
        <f>IFERROR(Equipment!H14,"-")</f>
        <v>6.9239420292434888</v>
      </c>
      <c r="H72" s="273">
        <f t="shared" si="1"/>
        <v>12.449101663706989</v>
      </c>
    </row>
    <row r="73" spans="2:8">
      <c r="B73" s="59" t="str">
        <f>CONCATENATE(Equipment!B15,"; ",Equipment!C15)</f>
        <v>; 325 HP Tandem grain truck</v>
      </c>
      <c r="C73" s="272">
        <f>IFERROR(Equipment!D15,"-")</f>
        <v>0.11</v>
      </c>
      <c r="D73" s="271">
        <f>IFERROR(Equipment!F15,"-")</f>
        <v>0.11</v>
      </c>
      <c r="E73" s="271">
        <f>IFERROR(Equipment!E15,"-")</f>
        <v>0.53625</v>
      </c>
      <c r="F73" s="271">
        <f>IFERROR(Equipment!G15,"-")</f>
        <v>5.1051458333333333</v>
      </c>
      <c r="G73" s="271">
        <f>IFERROR(Equipment!H15,"-")</f>
        <v>1.5918307004015182</v>
      </c>
      <c r="H73" s="273">
        <f t="shared" ref="H73:H75" si="2">SUM(F73:G73)</f>
        <v>6.6969765337348512</v>
      </c>
    </row>
    <row r="74" spans="2:8">
      <c r="B74" s="59" t="str">
        <f>CONCATENATE(Equipment!B16,"; ",Equipment!C16)</f>
        <v>Grain auger, 13 In, per hour; 130 HP MFWD</v>
      </c>
      <c r="C74" s="272">
        <f>IFERROR(Equipment!D16,"-")</f>
        <v>0.05</v>
      </c>
      <c r="D74" s="271" t="str">
        <f>IFERROR(Equipment!F16,"-")</f>
        <v>-</v>
      </c>
      <c r="E74" s="271" t="str">
        <f>IFERROR(Equipment!E16,"-")</f>
        <v>-</v>
      </c>
      <c r="F74" s="271" t="str">
        <f>IFERROR(Equipment!G16,"-")</f>
        <v>-</v>
      </c>
      <c r="G74" s="271">
        <f>IFERROR(Equipment!H16,"-")</f>
        <v>2.0296807880304071</v>
      </c>
      <c r="H74" s="273">
        <f t="shared" si="2"/>
        <v>2.0296807880304071</v>
      </c>
    </row>
    <row r="75" spans="2:8">
      <c r="B75" s="220" t="str">
        <f>CONCATENATE(Equipment!B17,"; ",Equipment!C17)</f>
        <v>; 1 Ton 4x4 Pickup</v>
      </c>
      <c r="C75" s="274">
        <f>IFERROR(Equipment!D17,"-")</f>
        <v>0.2</v>
      </c>
      <c r="D75" s="275">
        <f>IFERROR(Equipment!F17,"-")</f>
        <v>0.2</v>
      </c>
      <c r="E75" s="275">
        <f>IFERROR(Equipment!E17,"-")</f>
        <v>0.60000000000000009</v>
      </c>
      <c r="F75" s="275">
        <f>IFERROR(Equipment!G17,"-")</f>
        <v>10.686842105263159</v>
      </c>
      <c r="G75" s="275">
        <f>IFERROR(Equipment!H17,"-")</f>
        <v>4.3284407717677809</v>
      </c>
      <c r="H75" s="276">
        <f t="shared" si="2"/>
        <v>15.015282877030939</v>
      </c>
    </row>
    <row r="76" spans="2:8">
      <c r="B76" s="277" t="s">
        <v>829</v>
      </c>
      <c r="C76" s="278"/>
      <c r="D76" s="279">
        <f>SUM(D67:D75)</f>
        <v>0.9982114179004935</v>
      </c>
      <c r="E76" s="279">
        <f>SUM(E67:E75)</f>
        <v>7.0693245631585953</v>
      </c>
      <c r="F76" s="279">
        <f>SUM(F67:F75)</f>
        <v>88.894352376562068</v>
      </c>
      <c r="G76" s="279">
        <f>SUM(G67:G75)</f>
        <v>112.50504397848755</v>
      </c>
      <c r="H76" s="279">
        <f>SUM(H67:H75)</f>
        <v>201.39939635504959</v>
      </c>
    </row>
    <row r="77" spans="2:8"/>
    <row r="78" spans="2:8">
      <c r="B78" s="59" t="s">
        <v>406</v>
      </c>
    </row>
    <row r="79" spans="2:8">
      <c r="B79" s="59" t="s">
        <v>407</v>
      </c>
    </row>
    <row r="80" spans="2:8">
      <c r="B80" s="59" t="s">
        <v>408</v>
      </c>
    </row>
    <row r="81" spans="1:9"/>
    <row r="82" spans="1:9"/>
    <row r="83" spans="1:9">
      <c r="B83" s="249" t="s">
        <v>816</v>
      </c>
    </row>
    <row r="84" spans="1:9">
      <c r="B84" s="339" t="s">
        <v>9</v>
      </c>
      <c r="C84" s="339"/>
      <c r="D84" s="339"/>
      <c r="E84" s="339"/>
      <c r="F84" s="339"/>
      <c r="G84" s="339"/>
      <c r="H84" s="339"/>
      <c r="I84" s="339"/>
    </row>
    <row r="85" spans="1:9">
      <c r="A85" s="340" t="s">
        <v>817</v>
      </c>
      <c r="B85" s="250"/>
      <c r="C85" s="251">
        <f>0.7*$D$6</f>
        <v>98</v>
      </c>
      <c r="D85" s="251">
        <f>0.8*$D$6</f>
        <v>112</v>
      </c>
      <c r="E85" s="251">
        <f>0.9*$D$6</f>
        <v>126</v>
      </c>
      <c r="F85" s="251">
        <f>1*$D$6</f>
        <v>140</v>
      </c>
      <c r="G85" s="251">
        <f>1.1*$D$6</f>
        <v>154</v>
      </c>
      <c r="H85" s="251">
        <f>1.2*$D$6</f>
        <v>168</v>
      </c>
      <c r="I85" s="251">
        <f>1.3*$D$6</f>
        <v>182</v>
      </c>
    </row>
    <row r="86" spans="1:9">
      <c r="A86" s="340"/>
      <c r="B86" s="252">
        <f>0.7*$E$6</f>
        <v>6.3</v>
      </c>
      <c r="C86" s="284">
        <f t="shared" ref="C86:I92" si="3">(C$85*$B86+SUM($F$7:$F$9)-((C$85*$B86+SUM($F$7:$F$9))/$F$10*$F$38)-($F$25*C$85/$D$6)-SUM($F$13:$F$23,$F$26:$F$31,$F$33:$F$34,$F$39))</f>
        <v>13.193545288004998</v>
      </c>
      <c r="D86" s="285">
        <f t="shared" si="3"/>
        <v>98.761545288004982</v>
      </c>
      <c r="E86" s="285">
        <f t="shared" si="3"/>
        <v>184.32954528800497</v>
      </c>
      <c r="F86" s="286">
        <f t="shared" si="3"/>
        <v>269.89754528800495</v>
      </c>
      <c r="G86" s="285">
        <f t="shared" si="3"/>
        <v>355.46554528800493</v>
      </c>
      <c r="H86" s="285">
        <f t="shared" si="3"/>
        <v>441.03354528800492</v>
      </c>
      <c r="I86" s="287">
        <f t="shared" si="3"/>
        <v>526.6015452880049</v>
      </c>
    </row>
    <row r="87" spans="1:9">
      <c r="A87" s="340"/>
      <c r="B87" s="252">
        <f>0.8*$E$6</f>
        <v>7.2</v>
      </c>
      <c r="C87" s="288">
        <f t="shared" si="3"/>
        <v>100.51154528800498</v>
      </c>
      <c r="D87" s="289">
        <f t="shared" si="3"/>
        <v>198.5535452880049</v>
      </c>
      <c r="E87" s="289">
        <f t="shared" si="3"/>
        <v>296.59554528800504</v>
      </c>
      <c r="F87" s="290">
        <f t="shared" si="3"/>
        <v>394.63754528800496</v>
      </c>
      <c r="G87" s="289">
        <f t="shared" si="3"/>
        <v>492.67954528800487</v>
      </c>
      <c r="H87" s="289">
        <f t="shared" si="3"/>
        <v>590.72154528800502</v>
      </c>
      <c r="I87" s="291">
        <f t="shared" si="3"/>
        <v>688.76354528800516</v>
      </c>
    </row>
    <row r="88" spans="1:9">
      <c r="A88" s="340"/>
      <c r="B88" s="252">
        <f>0.9*$E$6</f>
        <v>8.1</v>
      </c>
      <c r="C88" s="288">
        <f t="shared" si="3"/>
        <v>187.82954528800497</v>
      </c>
      <c r="D88" s="289">
        <f t="shared" si="3"/>
        <v>298.34554528800493</v>
      </c>
      <c r="E88" s="289">
        <f t="shared" si="3"/>
        <v>408.86154528800489</v>
      </c>
      <c r="F88" s="290">
        <f t="shared" si="3"/>
        <v>519.37754528800497</v>
      </c>
      <c r="G88" s="289">
        <f t="shared" si="3"/>
        <v>629.89354528800482</v>
      </c>
      <c r="H88" s="289">
        <f t="shared" si="3"/>
        <v>740.40954528800489</v>
      </c>
      <c r="I88" s="291">
        <f t="shared" si="3"/>
        <v>850.92554528800497</v>
      </c>
    </row>
    <row r="89" spans="1:9">
      <c r="A89" s="340"/>
      <c r="B89" s="252">
        <f>1*$E$6</f>
        <v>9</v>
      </c>
      <c r="C89" s="292">
        <f t="shared" si="3"/>
        <v>275.14754528800495</v>
      </c>
      <c r="D89" s="290">
        <f t="shared" si="3"/>
        <v>398.13754528800496</v>
      </c>
      <c r="E89" s="290">
        <f t="shared" si="3"/>
        <v>521.12754528800497</v>
      </c>
      <c r="F89" s="290">
        <f t="shared" si="3"/>
        <v>644.11754528800498</v>
      </c>
      <c r="G89" s="290">
        <f t="shared" si="3"/>
        <v>767.10754528800499</v>
      </c>
      <c r="H89" s="290">
        <f t="shared" si="3"/>
        <v>890.09754528800499</v>
      </c>
      <c r="I89" s="293">
        <f t="shared" si="3"/>
        <v>1013.087545288005</v>
      </c>
    </row>
    <row r="90" spans="1:9">
      <c r="A90" s="340"/>
      <c r="B90" s="252">
        <f>1.1*$E$6</f>
        <v>9.9</v>
      </c>
      <c r="C90" s="288">
        <f t="shared" si="3"/>
        <v>362.46554528800505</v>
      </c>
      <c r="D90" s="289">
        <f t="shared" si="3"/>
        <v>497.92954528800487</v>
      </c>
      <c r="E90" s="289">
        <f t="shared" si="3"/>
        <v>633.39354528800504</v>
      </c>
      <c r="F90" s="290">
        <f t="shared" si="3"/>
        <v>768.85754528800499</v>
      </c>
      <c r="G90" s="289">
        <f t="shared" si="3"/>
        <v>904.32154528800515</v>
      </c>
      <c r="H90" s="289">
        <f t="shared" si="3"/>
        <v>1039.7855452880051</v>
      </c>
      <c r="I90" s="291">
        <f t="shared" si="3"/>
        <v>1175.249545288005</v>
      </c>
    </row>
    <row r="91" spans="1:9">
      <c r="A91" s="340"/>
      <c r="B91" s="252">
        <f>1.2*$E$6</f>
        <v>10.799999999999999</v>
      </c>
      <c r="C91" s="288">
        <f t="shared" si="3"/>
        <v>449.78354528800492</v>
      </c>
      <c r="D91" s="289">
        <f t="shared" si="3"/>
        <v>597.72154528800479</v>
      </c>
      <c r="E91" s="289">
        <f t="shared" si="3"/>
        <v>745.65954528800489</v>
      </c>
      <c r="F91" s="290">
        <f t="shared" si="3"/>
        <v>893.59754528800477</v>
      </c>
      <c r="G91" s="289">
        <f t="shared" si="3"/>
        <v>1041.5355452880049</v>
      </c>
      <c r="H91" s="289">
        <f t="shared" si="3"/>
        <v>1189.4735452880047</v>
      </c>
      <c r="I91" s="291">
        <f t="shared" si="3"/>
        <v>1337.4115452880048</v>
      </c>
    </row>
    <row r="92" spans="1:9">
      <c r="A92" s="340"/>
      <c r="B92" s="253">
        <f>1.3*$E$6</f>
        <v>11.700000000000001</v>
      </c>
      <c r="C92" s="294">
        <f t="shared" si="3"/>
        <v>537.10154528800513</v>
      </c>
      <c r="D92" s="295">
        <f t="shared" si="3"/>
        <v>697.51354528800516</v>
      </c>
      <c r="E92" s="295">
        <f t="shared" si="3"/>
        <v>857.92554528800497</v>
      </c>
      <c r="F92" s="296">
        <f t="shared" si="3"/>
        <v>1018.3375452880052</v>
      </c>
      <c r="G92" s="295">
        <f t="shared" si="3"/>
        <v>1178.7495452880053</v>
      </c>
      <c r="H92" s="295">
        <f t="shared" si="3"/>
        <v>1339.1615452880051</v>
      </c>
      <c r="I92" s="297">
        <f t="shared" si="3"/>
        <v>1499.5735452880051</v>
      </c>
    </row>
    <row r="93" spans="1:9">
      <c r="E93" s="283" t="s">
        <v>818</v>
      </c>
      <c r="F93" s="75">
        <f>F47</f>
        <v>644.11754528800498</v>
      </c>
    </row>
    <row r="938" spans="2:3" hidden="1">
      <c r="B938" s="2" t="s">
        <v>67</v>
      </c>
    </row>
    <row r="939" spans="2:3" hidden="1">
      <c r="B939" s="2" t="s">
        <v>68</v>
      </c>
      <c r="C939" s="2">
        <v>5</v>
      </c>
    </row>
    <row r="940" spans="2:3" hidden="1">
      <c r="B940" s="2" t="s">
        <v>69</v>
      </c>
      <c r="C940" s="2">
        <v>1</v>
      </c>
    </row>
    <row r="941" spans="2:3" hidden="1">
      <c r="B941" s="2" t="s">
        <v>70</v>
      </c>
      <c r="C941" s="2">
        <v>1</v>
      </c>
    </row>
    <row r="942" spans="2:3" hidden="1">
      <c r="B942" s="2" t="s">
        <v>71</v>
      </c>
      <c r="C942" s="2">
        <v>2</v>
      </c>
    </row>
    <row r="943" spans="2:3" hidden="1">
      <c r="B943" s="2" t="s">
        <v>72</v>
      </c>
      <c r="C943" s="2">
        <v>1</v>
      </c>
    </row>
    <row r="944" spans="2:3" hidden="1">
      <c r="B944" s="2" t="s">
        <v>73</v>
      </c>
      <c r="C944" s="2">
        <v>0</v>
      </c>
    </row>
    <row r="945" spans="2:3" hidden="1">
      <c r="B945" s="2" t="s">
        <v>74</v>
      </c>
      <c r="C945" s="2">
        <v>0</v>
      </c>
    </row>
    <row r="946" spans="2:3" hidden="1">
      <c r="B946" s="2" t="s">
        <v>75</v>
      </c>
      <c r="C946" s="2">
        <v>0</v>
      </c>
    </row>
    <row r="947" spans="2:3" hidden="1">
      <c r="B947" s="2" t="s">
        <v>76</v>
      </c>
      <c r="C947" s="2">
        <v>0</v>
      </c>
    </row>
    <row r="948" spans="2:3" hidden="1">
      <c r="B948" s="2" t="s">
        <v>77</v>
      </c>
      <c r="C948" s="2">
        <v>0</v>
      </c>
    </row>
    <row r="949" spans="2:3" hidden="1">
      <c r="B949" s="2" t="s">
        <v>78</v>
      </c>
      <c r="C949" s="2">
        <v>0</v>
      </c>
    </row>
    <row r="950" spans="2:3" hidden="1">
      <c r="B950" s="2" t="s">
        <v>79</v>
      </c>
      <c r="C950" s="2" t="b">
        <v>1</v>
      </c>
    </row>
    <row r="951" spans="2:3" hidden="1">
      <c r="B951" s="2" t="s">
        <v>80</v>
      </c>
      <c r="C951" s="2">
        <v>0</v>
      </c>
    </row>
    <row r="952" spans="2:3" hidden="1">
      <c r="B952" s="2" t="s">
        <v>81</v>
      </c>
      <c r="C952" s="2" t="b">
        <v>1</v>
      </c>
    </row>
    <row r="953" spans="2:3" hidden="1">
      <c r="B953" s="2" t="s">
        <v>82</v>
      </c>
      <c r="C953" s="2">
        <v>0</v>
      </c>
    </row>
    <row r="954" spans="2:3" hidden="1">
      <c r="B954" s="2" t="s">
        <v>83</v>
      </c>
      <c r="C954" s="2">
        <v>0</v>
      </c>
    </row>
    <row r="955" spans="2:3" hidden="1">
      <c r="B955" s="2" t="s">
        <v>84</v>
      </c>
      <c r="C955" s="2" t="b">
        <v>1</v>
      </c>
    </row>
    <row r="956" spans="2:3" hidden="1">
      <c r="B956" s="2" t="s">
        <v>85</v>
      </c>
      <c r="C956" s="2">
        <v>0</v>
      </c>
    </row>
    <row r="957" spans="2:3" hidden="1">
      <c r="B957" s="2" t="s">
        <v>86</v>
      </c>
      <c r="C957" s="2">
        <v>0</v>
      </c>
    </row>
    <row r="958" spans="2:3" hidden="1">
      <c r="B958" s="2" t="s">
        <v>87</v>
      </c>
      <c r="C958" s="2">
        <v>0</v>
      </c>
    </row>
    <row r="959" spans="2:3" hidden="1">
      <c r="B959" s="2" t="s">
        <v>88</v>
      </c>
      <c r="C959" s="2">
        <v>0</v>
      </c>
    </row>
    <row r="960" spans="2:3" hidden="1">
      <c r="B960" s="2" t="s">
        <v>89</v>
      </c>
      <c r="C960" s="2" t="s">
        <v>385</v>
      </c>
    </row>
    <row r="961" spans="2:3" hidden="1">
      <c r="B961" s="2" t="s">
        <v>90</v>
      </c>
      <c r="C961" s="2">
        <v>100</v>
      </c>
    </row>
    <row r="962" spans="2:3" hidden="1">
      <c r="B962" s="2" t="s">
        <v>91</v>
      </c>
      <c r="C962" s="2">
        <v>25</v>
      </c>
    </row>
    <row r="963" spans="2:3" hidden="1">
      <c r="B963" s="2" t="s">
        <v>92</v>
      </c>
      <c r="C963" s="2">
        <v>9</v>
      </c>
    </row>
    <row r="964" spans="2:3" hidden="1">
      <c r="B964" s="2" t="s">
        <v>93</v>
      </c>
      <c r="C964" s="2">
        <v>0</v>
      </c>
    </row>
    <row r="965" spans="2:3" hidden="1">
      <c r="B965" s="2" t="s">
        <v>94</v>
      </c>
      <c r="C965" s="2">
        <v>0</v>
      </c>
    </row>
    <row r="966" spans="2:3" hidden="1">
      <c r="B966" s="2" t="s">
        <v>95</v>
      </c>
      <c r="C966" s="2">
        <v>0</v>
      </c>
    </row>
    <row r="967" spans="2:3" hidden="1">
      <c r="B967" s="2" t="s">
        <v>96</v>
      </c>
      <c r="C967" s="2">
        <v>0</v>
      </c>
    </row>
    <row r="968" spans="2:3" hidden="1">
      <c r="B968" s="2" t="s">
        <v>97</v>
      </c>
      <c r="C968" s="2">
        <v>0</v>
      </c>
    </row>
    <row r="969" spans="2:3" hidden="1">
      <c r="B969" s="2" t="s">
        <v>98</v>
      </c>
      <c r="C969" s="2">
        <v>60</v>
      </c>
    </row>
    <row r="970" spans="2:3" hidden="1">
      <c r="B970" s="2" t="s">
        <v>99</v>
      </c>
      <c r="C970" s="2">
        <v>0</v>
      </c>
    </row>
    <row r="971" spans="2:3" hidden="1">
      <c r="B971" s="2" t="s">
        <v>100</v>
      </c>
      <c r="C971" s="2">
        <v>0</v>
      </c>
    </row>
    <row r="972" spans="2:3" hidden="1">
      <c r="B972" s="2" t="s">
        <v>101</v>
      </c>
      <c r="C972" s="2">
        <v>0</v>
      </c>
    </row>
    <row r="973" spans="2:3" hidden="1">
      <c r="B973" s="2" t="s">
        <v>102</v>
      </c>
      <c r="C973" s="2">
        <v>0</v>
      </c>
    </row>
    <row r="974" spans="2:3" hidden="1">
      <c r="B974" s="2" t="s">
        <v>103</v>
      </c>
      <c r="C974" s="2">
        <v>0</v>
      </c>
    </row>
    <row r="975" spans="2:3" hidden="1">
      <c r="B975" s="2" t="s">
        <v>104</v>
      </c>
      <c r="C975" s="2">
        <v>200000</v>
      </c>
    </row>
    <row r="976" spans="2:3" hidden="1">
      <c r="B976" s="2" t="s">
        <v>105</v>
      </c>
      <c r="C976" s="2">
        <v>0</v>
      </c>
    </row>
    <row r="977" spans="2:3" hidden="1">
      <c r="B977" s="2" t="s">
        <v>106</v>
      </c>
      <c r="C977" s="2">
        <v>0</v>
      </c>
    </row>
    <row r="978" spans="2:3" hidden="1">
      <c r="B978" s="2" t="s">
        <v>107</v>
      </c>
      <c r="C978" s="2">
        <v>0</v>
      </c>
    </row>
    <row r="979" spans="2:3" hidden="1">
      <c r="B979" s="2" t="s">
        <v>108</v>
      </c>
      <c r="C979" s="2">
        <v>0</v>
      </c>
    </row>
    <row r="980" spans="2:3" hidden="1">
      <c r="B980" s="2" t="s">
        <v>109</v>
      </c>
      <c r="C980" s="2">
        <v>0</v>
      </c>
    </row>
    <row r="981" spans="2:3" hidden="1">
      <c r="B981" s="2" t="s">
        <v>110</v>
      </c>
      <c r="C981" s="2">
        <v>0</v>
      </c>
    </row>
    <row r="982" spans="2:3" hidden="1">
      <c r="B982" s="2" t="s">
        <v>111</v>
      </c>
      <c r="C982" s="2">
        <v>0</v>
      </c>
    </row>
    <row r="983" spans="2:3" hidden="1">
      <c r="B983" s="2" t="s">
        <v>112</v>
      </c>
      <c r="C983" s="2">
        <v>20</v>
      </c>
    </row>
    <row r="984" spans="2:3" hidden="1">
      <c r="B984" s="2" t="s">
        <v>113</v>
      </c>
      <c r="C984" s="2">
        <v>35</v>
      </c>
    </row>
    <row r="985" spans="2:3" hidden="1">
      <c r="B985" s="2" t="s">
        <v>114</v>
      </c>
      <c r="C985" s="2">
        <v>0</v>
      </c>
    </row>
    <row r="986" spans="2:3" hidden="1">
      <c r="B986" s="2" t="s">
        <v>115</v>
      </c>
      <c r="C986" s="2">
        <v>0</v>
      </c>
    </row>
    <row r="987" spans="2:3" hidden="1">
      <c r="B987" s="2" t="s">
        <v>116</v>
      </c>
      <c r="C987" s="2">
        <v>0</v>
      </c>
    </row>
    <row r="988" spans="2:3" hidden="1">
      <c r="B988" s="2" t="s">
        <v>117</v>
      </c>
      <c r="C988" s="2">
        <v>0</v>
      </c>
    </row>
    <row r="989" spans="2:3" hidden="1">
      <c r="B989" s="2" t="s">
        <v>118</v>
      </c>
      <c r="C989" s="2">
        <v>0</v>
      </c>
    </row>
    <row r="990" spans="2:3" hidden="1">
      <c r="B990" s="2" t="s">
        <v>119</v>
      </c>
      <c r="C990" s="2">
        <v>0</v>
      </c>
    </row>
    <row r="991" spans="2:3" hidden="1">
      <c r="B991" s="2" t="s">
        <v>120</v>
      </c>
      <c r="C991" s="2">
        <v>0.49</v>
      </c>
    </row>
    <row r="992" spans="2:3" hidden="1">
      <c r="B992" s="2" t="s">
        <v>121</v>
      </c>
      <c r="C992" s="2">
        <v>0.4</v>
      </c>
    </row>
    <row r="993" spans="2:3" hidden="1">
      <c r="B993" s="2" t="s">
        <v>122</v>
      </c>
      <c r="C993" s="2">
        <v>0</v>
      </c>
    </row>
    <row r="994" spans="2:3" hidden="1">
      <c r="B994" s="2" t="s">
        <v>123</v>
      </c>
      <c r="C994" s="2">
        <v>0</v>
      </c>
    </row>
    <row r="995" spans="2:3" hidden="1">
      <c r="B995" s="2" t="s">
        <v>124</v>
      </c>
      <c r="C995" s="2">
        <v>0</v>
      </c>
    </row>
    <row r="996" spans="2:3" hidden="1">
      <c r="B996" s="2" t="s">
        <v>125</v>
      </c>
      <c r="C996" s="2">
        <v>0</v>
      </c>
    </row>
    <row r="997" spans="2:3" hidden="1">
      <c r="B997" s="2" t="s">
        <v>126</v>
      </c>
      <c r="C997" s="2">
        <v>0</v>
      </c>
    </row>
    <row r="998" spans="2:3" hidden="1">
      <c r="B998" s="2" t="s">
        <v>127</v>
      </c>
      <c r="C998" s="2">
        <v>0</v>
      </c>
    </row>
    <row r="999" spans="2:3" hidden="1">
      <c r="B999" s="2" t="s">
        <v>128</v>
      </c>
      <c r="C999" s="2">
        <v>1</v>
      </c>
    </row>
    <row r="1000" spans="2:3" hidden="1">
      <c r="B1000" s="2" t="s">
        <v>129</v>
      </c>
      <c r="C1000" s="2">
        <v>0</v>
      </c>
    </row>
    <row r="1001" spans="2:3" hidden="1">
      <c r="B1001" s="2" t="s">
        <v>130</v>
      </c>
      <c r="C1001" s="2">
        <v>0</v>
      </c>
    </row>
    <row r="1002" spans="2:3" hidden="1">
      <c r="B1002" s="2" t="s">
        <v>131</v>
      </c>
      <c r="C1002" s="2">
        <v>1</v>
      </c>
    </row>
    <row r="1003" spans="2:3" hidden="1">
      <c r="B1003" s="2" t="s">
        <v>132</v>
      </c>
      <c r="C1003" s="2">
        <v>0</v>
      </c>
    </row>
    <row r="1004" spans="2:3" hidden="1">
      <c r="B1004" s="2" t="s">
        <v>133</v>
      </c>
      <c r="C1004" s="2">
        <v>0</v>
      </c>
    </row>
    <row r="1005" spans="2:3" hidden="1">
      <c r="B1005" s="2" t="s">
        <v>134</v>
      </c>
      <c r="C1005" s="2">
        <v>0</v>
      </c>
    </row>
    <row r="1006" spans="2:3" hidden="1">
      <c r="B1006" s="2" t="s">
        <v>135</v>
      </c>
      <c r="C1006" s="2">
        <v>0</v>
      </c>
    </row>
    <row r="1007" spans="2:3" hidden="1">
      <c r="B1007" s="2" t="s">
        <v>136</v>
      </c>
      <c r="C1007" s="2">
        <v>8.75</v>
      </c>
    </row>
    <row r="1008" spans="2:3" hidden="1">
      <c r="B1008" s="2" t="s">
        <v>137</v>
      </c>
      <c r="C1008" s="2">
        <v>0</v>
      </c>
    </row>
    <row r="1009" spans="2:3" hidden="1">
      <c r="B1009" s="2" t="s">
        <v>138</v>
      </c>
      <c r="C1009" s="2">
        <v>0</v>
      </c>
    </row>
    <row r="1010" spans="2:3" hidden="1">
      <c r="B1010" s="2" t="s">
        <v>139</v>
      </c>
      <c r="C1010" s="2">
        <v>0</v>
      </c>
    </row>
    <row r="1011" spans="2:3" hidden="1">
      <c r="B1011" s="2" t="s">
        <v>140</v>
      </c>
      <c r="C1011" s="2">
        <v>0</v>
      </c>
    </row>
    <row r="1012" spans="2:3" hidden="1">
      <c r="B1012" s="2" t="s">
        <v>141</v>
      </c>
      <c r="C1012" s="2">
        <v>0</v>
      </c>
    </row>
    <row r="1013" spans="2:3" hidden="1">
      <c r="B1013" s="2" t="s">
        <v>142</v>
      </c>
      <c r="C1013" s="2">
        <v>0</v>
      </c>
    </row>
    <row r="1014" spans="2:3" hidden="1">
      <c r="B1014" s="2" t="s">
        <v>143</v>
      </c>
      <c r="C1014" s="2">
        <v>0</v>
      </c>
    </row>
    <row r="1015" spans="2:3" hidden="1">
      <c r="B1015" s="2" t="s">
        <v>144</v>
      </c>
      <c r="C1015" s="2">
        <v>0</v>
      </c>
    </row>
    <row r="1016" spans="2:3" hidden="1">
      <c r="B1016" s="2" t="s">
        <v>145</v>
      </c>
      <c r="C1016" s="2">
        <v>0</v>
      </c>
    </row>
    <row r="1017" spans="2:3" hidden="1">
      <c r="B1017" s="2" t="s">
        <v>146</v>
      </c>
      <c r="C1017" s="2">
        <v>0</v>
      </c>
    </row>
    <row r="1018" spans="2:3" hidden="1">
      <c r="B1018" s="2" t="s">
        <v>147</v>
      </c>
      <c r="C1018" s="2">
        <v>0</v>
      </c>
    </row>
    <row r="1019" spans="2:3" hidden="1">
      <c r="B1019" s="2" t="s">
        <v>148</v>
      </c>
      <c r="C1019" s="2">
        <v>0</v>
      </c>
    </row>
    <row r="1020" spans="2:3" hidden="1">
      <c r="B1020" s="2" t="s">
        <v>149</v>
      </c>
      <c r="C1020" s="2">
        <v>0</v>
      </c>
    </row>
    <row r="1021" spans="2:3" hidden="1">
      <c r="B1021" s="2" t="s">
        <v>150</v>
      </c>
      <c r="C1021" s="2">
        <v>0</v>
      </c>
    </row>
    <row r="1022" spans="2:3" hidden="1">
      <c r="B1022" s="2" t="s">
        <v>151</v>
      </c>
      <c r="C1022" s="2">
        <v>0.5</v>
      </c>
    </row>
    <row r="1023" spans="2:3" hidden="1">
      <c r="B1023" s="2" t="s">
        <v>152</v>
      </c>
      <c r="C1023" s="2">
        <v>13.5</v>
      </c>
    </row>
    <row r="1024" spans="2:3" hidden="1">
      <c r="B1024" s="2" t="s">
        <v>153</v>
      </c>
      <c r="C1024" s="2">
        <v>18</v>
      </c>
    </row>
    <row r="1025" spans="2:3" hidden="1">
      <c r="B1025" s="2" t="s">
        <v>154</v>
      </c>
      <c r="C1025" s="2">
        <v>0</v>
      </c>
    </row>
    <row r="1026" spans="2:3" hidden="1">
      <c r="B1026" s="2" t="s">
        <v>155</v>
      </c>
      <c r="C1026" s="2">
        <v>0</v>
      </c>
    </row>
    <row r="1027" spans="2:3" hidden="1">
      <c r="B1027" s="2" t="s">
        <v>156</v>
      </c>
      <c r="C1027" s="2">
        <v>0</v>
      </c>
    </row>
    <row r="1028" spans="2:3" hidden="1">
      <c r="B1028" s="2" t="s">
        <v>157</v>
      </c>
      <c r="C1028" s="2">
        <v>3600</v>
      </c>
    </row>
    <row r="1029" spans="2:3" hidden="1">
      <c r="B1029" s="2" t="s">
        <v>158</v>
      </c>
      <c r="C1029" s="2">
        <v>0</v>
      </c>
    </row>
    <row r="1030" spans="2:3" hidden="1">
      <c r="B1030" s="2" t="s">
        <v>159</v>
      </c>
      <c r="C1030" s="2">
        <v>0</v>
      </c>
    </row>
    <row r="1031" spans="2:3" hidden="1">
      <c r="B1031" s="2" t="s">
        <v>160</v>
      </c>
      <c r="C1031" s="2">
        <v>0</v>
      </c>
    </row>
    <row r="1032" spans="2:3" hidden="1">
      <c r="B1032" s="2" t="s">
        <v>161</v>
      </c>
      <c r="C1032" s="2">
        <v>0</v>
      </c>
    </row>
    <row r="1033" spans="2:3" hidden="1">
      <c r="B1033" s="2" t="s">
        <v>162</v>
      </c>
      <c r="C1033" s="2">
        <v>6</v>
      </c>
    </row>
    <row r="1034" spans="2:3" hidden="1">
      <c r="B1034" s="2" t="s">
        <v>163</v>
      </c>
      <c r="C1034" s="2">
        <v>3.65</v>
      </c>
    </row>
    <row r="1035" spans="2:3" hidden="1">
      <c r="B1035" s="2" t="s">
        <v>164</v>
      </c>
      <c r="C1035" s="2">
        <v>3.38</v>
      </c>
    </row>
    <row r="1036" spans="2:3" hidden="1">
      <c r="B1036" s="2" t="s">
        <v>165</v>
      </c>
      <c r="C1036" s="2">
        <v>0</v>
      </c>
    </row>
    <row r="1037" spans="2:3" hidden="1">
      <c r="B1037" s="2" t="s">
        <v>166</v>
      </c>
      <c r="C1037" s="2">
        <v>0</v>
      </c>
    </row>
    <row r="1038" spans="2:3" hidden="1">
      <c r="B1038" s="2" t="s">
        <v>167</v>
      </c>
      <c r="C1038" s="2">
        <v>0</v>
      </c>
    </row>
    <row r="1039" spans="2:3" hidden="1">
      <c r="B1039" s="2" t="s">
        <v>168</v>
      </c>
      <c r="C1039" s="2">
        <v>0</v>
      </c>
    </row>
    <row r="1040" spans="2:3" hidden="1">
      <c r="B1040" s="2" t="s">
        <v>169</v>
      </c>
      <c r="C1040" s="2">
        <v>0</v>
      </c>
    </row>
    <row r="1041" spans="2:3" hidden="1">
      <c r="B1041" s="2" t="s">
        <v>170</v>
      </c>
      <c r="C1041" s="2">
        <v>0</v>
      </c>
    </row>
    <row r="1042" spans="2:3" hidden="1">
      <c r="B1042" s="2" t="s">
        <v>171</v>
      </c>
      <c r="C1042" s="2">
        <v>0</v>
      </c>
    </row>
    <row r="1043" spans="2:3" hidden="1">
      <c r="B1043" s="2" t="s">
        <v>172</v>
      </c>
      <c r="C1043" s="2">
        <v>0</v>
      </c>
    </row>
    <row r="1044" spans="2:3" hidden="1">
      <c r="B1044" s="2" t="s">
        <v>173</v>
      </c>
      <c r="C1044" s="2">
        <v>0</v>
      </c>
    </row>
    <row r="1045" spans="2:3" hidden="1">
      <c r="B1045" s="2" t="s">
        <v>174</v>
      </c>
      <c r="C1045" s="2">
        <v>5</v>
      </c>
    </row>
    <row r="1046" spans="2:3" hidden="1">
      <c r="B1046" s="2" t="s">
        <v>175</v>
      </c>
      <c r="C1046" s="2">
        <v>0</v>
      </c>
    </row>
    <row r="1047" spans="2:3" hidden="1">
      <c r="B1047" s="2" t="s">
        <v>176</v>
      </c>
      <c r="C1047" s="2">
        <v>0</v>
      </c>
    </row>
    <row r="1048" spans="2:3" hidden="1">
      <c r="B1048" s="2" t="s">
        <v>177</v>
      </c>
      <c r="C1048" s="2">
        <v>0</v>
      </c>
    </row>
    <row r="1049" spans="2:3" hidden="1">
      <c r="B1049" s="2" t="s">
        <v>178</v>
      </c>
      <c r="C1049" s="2">
        <v>6800</v>
      </c>
    </row>
    <row r="1050" spans="2:3" hidden="1">
      <c r="B1050" s="2" t="s">
        <v>179</v>
      </c>
      <c r="C1050" s="2">
        <v>0</v>
      </c>
    </row>
    <row r="1051" spans="2:3" hidden="1">
      <c r="B1051" s="2" t="s">
        <v>180</v>
      </c>
      <c r="C1051" s="2">
        <v>0</v>
      </c>
    </row>
    <row r="1052" spans="2:3" hidden="1">
      <c r="B1052" s="2" t="s">
        <v>181</v>
      </c>
      <c r="C1052" s="2">
        <v>8500</v>
      </c>
    </row>
    <row r="1053" spans="2:3" hidden="1">
      <c r="B1053" s="2" t="s">
        <v>182</v>
      </c>
      <c r="C1053" s="2">
        <v>0</v>
      </c>
    </row>
    <row r="1054" spans="2:3" hidden="1">
      <c r="B1054" s="2" t="s">
        <v>183</v>
      </c>
      <c r="C1054" s="2">
        <v>15000</v>
      </c>
    </row>
    <row r="1055" spans="2:3" hidden="1">
      <c r="B1055" s="2" t="s">
        <v>184</v>
      </c>
      <c r="C1055" s="2">
        <v>3</v>
      </c>
    </row>
    <row r="1056" spans="2:3" hidden="1">
      <c r="B1056" s="2" t="s">
        <v>185</v>
      </c>
      <c r="C1056" s="2">
        <v>0</v>
      </c>
    </row>
    <row r="1057" spans="2:3" hidden="1">
      <c r="B1057" s="2" t="s">
        <v>186</v>
      </c>
      <c r="C1057" s="2">
        <v>0</v>
      </c>
    </row>
    <row r="1058" spans="2:3" hidden="1">
      <c r="B1058" s="2" t="s">
        <v>187</v>
      </c>
      <c r="C1058" s="2">
        <v>0</v>
      </c>
    </row>
    <row r="1059" spans="2:3" hidden="1">
      <c r="B1059" s="2" t="s">
        <v>188</v>
      </c>
      <c r="C1059" s="2">
        <v>0</v>
      </c>
    </row>
    <row r="1060" spans="2:3" hidden="1">
      <c r="B1060" s="2" t="s">
        <v>189</v>
      </c>
      <c r="C1060" s="2">
        <v>0</v>
      </c>
    </row>
    <row r="1061" spans="2:3" hidden="1">
      <c r="B1061" s="2" t="s">
        <v>190</v>
      </c>
      <c r="C1061" s="2">
        <v>0</v>
      </c>
    </row>
    <row r="1062" spans="2:3" hidden="1">
      <c r="B1062" s="2" t="s">
        <v>191</v>
      </c>
      <c r="C1062" s="2">
        <v>0</v>
      </c>
    </row>
    <row r="1063" spans="2:3" hidden="1">
      <c r="B1063" s="2" t="s">
        <v>192</v>
      </c>
      <c r="C1063" s="2">
        <v>0</v>
      </c>
    </row>
    <row r="1064" spans="2:3" hidden="1">
      <c r="B1064" s="2" t="s">
        <v>193</v>
      </c>
      <c r="C1064" s="2">
        <v>0</v>
      </c>
    </row>
    <row r="1065" spans="2:3" hidden="1">
      <c r="B1065" s="2" t="s">
        <v>194</v>
      </c>
      <c r="C1065" s="2">
        <v>0</v>
      </c>
    </row>
    <row r="1066" spans="2:3" hidden="1">
      <c r="B1066" s="2" t="s">
        <v>195</v>
      </c>
      <c r="C1066" s="2">
        <v>0</v>
      </c>
    </row>
    <row r="1067" spans="2:3" hidden="1">
      <c r="B1067" s="2" t="s">
        <v>196</v>
      </c>
      <c r="C1067" s="2">
        <v>0</v>
      </c>
    </row>
    <row r="1068" spans="2:3" hidden="1">
      <c r="B1068" s="2" t="s">
        <v>197</v>
      </c>
      <c r="C1068" s="2">
        <v>0</v>
      </c>
    </row>
    <row r="1069" spans="2:3" hidden="1">
      <c r="B1069" s="2" t="s">
        <v>198</v>
      </c>
      <c r="C1069" s="2">
        <v>0</v>
      </c>
    </row>
    <row r="1070" spans="2:3" hidden="1">
      <c r="B1070" s="2" t="s">
        <v>199</v>
      </c>
      <c r="C1070" s="2">
        <v>0</v>
      </c>
    </row>
    <row r="1071" spans="2:3" hidden="1">
      <c r="B1071" s="2" t="s">
        <v>200</v>
      </c>
      <c r="C1071" s="2">
        <v>0</v>
      </c>
    </row>
    <row r="1072" spans="2:3" hidden="1">
      <c r="B1072" s="2" t="s">
        <v>201</v>
      </c>
      <c r="C1072" s="2">
        <v>0</v>
      </c>
    </row>
    <row r="1073" spans="2:3" hidden="1">
      <c r="B1073" s="2" t="s">
        <v>202</v>
      </c>
      <c r="C1073" s="2">
        <v>0</v>
      </c>
    </row>
    <row r="1074" spans="2:3" hidden="1">
      <c r="B1074" s="2" t="s">
        <v>203</v>
      </c>
      <c r="C1074" s="2">
        <v>0</v>
      </c>
    </row>
    <row r="1075" spans="2:3" hidden="1">
      <c r="B1075" s="2" t="s">
        <v>204</v>
      </c>
      <c r="C1075" s="2">
        <v>0</v>
      </c>
    </row>
    <row r="1076" spans="2:3" hidden="1">
      <c r="B1076" s="2" t="s">
        <v>205</v>
      </c>
      <c r="C1076" s="2">
        <v>0</v>
      </c>
    </row>
    <row r="1077" spans="2:3" hidden="1">
      <c r="B1077" s="2" t="s">
        <v>206</v>
      </c>
      <c r="C1077" s="2">
        <v>0</v>
      </c>
    </row>
    <row r="1078" spans="2:3" hidden="1">
      <c r="B1078" s="2" t="s">
        <v>207</v>
      </c>
      <c r="C1078" s="2">
        <v>0</v>
      </c>
    </row>
    <row r="1079" spans="2:3" hidden="1">
      <c r="B1079" s="2" t="s">
        <v>208</v>
      </c>
      <c r="C1079" s="2">
        <v>0</v>
      </c>
    </row>
    <row r="1080" spans="2:3" hidden="1">
      <c r="B1080" s="2" t="s">
        <v>209</v>
      </c>
      <c r="C1080" s="2">
        <v>0</v>
      </c>
    </row>
    <row r="1081" spans="2:3" hidden="1">
      <c r="B1081" s="2" t="s">
        <v>210</v>
      </c>
      <c r="C1081" s="2">
        <v>0</v>
      </c>
    </row>
    <row r="1082" spans="2:3" hidden="1">
      <c r="B1082" s="2" t="s">
        <v>211</v>
      </c>
      <c r="C1082" s="2">
        <v>0</v>
      </c>
    </row>
    <row r="1083" spans="2:3" hidden="1">
      <c r="B1083" s="2" t="s">
        <v>212</v>
      </c>
      <c r="C1083" s="2">
        <v>0</v>
      </c>
    </row>
    <row r="1084" spans="2:3" hidden="1">
      <c r="B1084" s="2" t="s">
        <v>213</v>
      </c>
      <c r="C1084" s="2">
        <v>0</v>
      </c>
    </row>
    <row r="1085" spans="2:3" hidden="1">
      <c r="B1085" s="2" t="s">
        <v>214</v>
      </c>
      <c r="C1085" s="2">
        <v>0</v>
      </c>
    </row>
    <row r="1086" spans="2:3" hidden="1">
      <c r="B1086" s="2" t="s">
        <v>215</v>
      </c>
      <c r="C1086" s="2">
        <v>0</v>
      </c>
    </row>
    <row r="1087" spans="2:3" hidden="1">
      <c r="B1087" s="2" t="s">
        <v>216</v>
      </c>
      <c r="C1087" s="2">
        <v>0</v>
      </c>
    </row>
    <row r="1088" spans="2:3" hidden="1">
      <c r="B1088" s="2" t="s">
        <v>217</v>
      </c>
      <c r="C1088" s="2" t="s">
        <v>218</v>
      </c>
    </row>
    <row r="1089" spans="2:3" hidden="1">
      <c r="B1089" s="2" t="s">
        <v>219</v>
      </c>
      <c r="C1089" s="2" t="s">
        <v>220</v>
      </c>
    </row>
    <row r="1090" spans="2:3" hidden="1">
      <c r="B1090" s="2" t="s">
        <v>221</v>
      </c>
      <c r="C1090" s="2" t="s">
        <v>222</v>
      </c>
    </row>
    <row r="1091" spans="2:3" hidden="1">
      <c r="B1091" s="2" t="s">
        <v>223</v>
      </c>
      <c r="C1091" s="2" t="s">
        <v>224</v>
      </c>
    </row>
    <row r="1092" spans="2:3" hidden="1">
      <c r="B1092" s="2" t="s">
        <v>225</v>
      </c>
      <c r="C1092" s="2" t="s">
        <v>226</v>
      </c>
    </row>
    <row r="1093" spans="2:3" hidden="1">
      <c r="B1093" s="2" t="s">
        <v>227</v>
      </c>
      <c r="C1093" s="2" t="s">
        <v>228</v>
      </c>
    </row>
    <row r="1094" spans="2:3" hidden="1">
      <c r="B1094" s="2" t="s">
        <v>229</v>
      </c>
      <c r="C1094" s="2" t="s">
        <v>230</v>
      </c>
    </row>
    <row r="1095" spans="2:3" hidden="1">
      <c r="B1095" s="2" t="s">
        <v>231</v>
      </c>
      <c r="C1095" s="2" t="s">
        <v>232</v>
      </c>
    </row>
    <row r="1096" spans="2:3" hidden="1">
      <c r="B1096" s="2" t="s">
        <v>233</v>
      </c>
      <c r="C1096" s="2" t="s">
        <v>234</v>
      </c>
    </row>
    <row r="1097" spans="2:3" hidden="1">
      <c r="B1097" s="2" t="s">
        <v>235</v>
      </c>
      <c r="C1097" s="2" t="s">
        <v>236</v>
      </c>
    </row>
    <row r="1098" spans="2:3" hidden="1">
      <c r="B1098" s="2" t="s">
        <v>237</v>
      </c>
      <c r="C1098" s="2" t="s">
        <v>238</v>
      </c>
    </row>
    <row r="1099" spans="2:3" hidden="1">
      <c r="B1099" s="2" t="s">
        <v>239</v>
      </c>
      <c r="C1099" s="2" t="s">
        <v>240</v>
      </c>
    </row>
    <row r="1100" spans="2:3" hidden="1">
      <c r="B1100" s="2" t="s">
        <v>241</v>
      </c>
      <c r="C1100" s="2" t="s">
        <v>238</v>
      </c>
    </row>
    <row r="1101" spans="2:3" hidden="1">
      <c r="B1101" s="2" t="s">
        <v>242</v>
      </c>
      <c r="C1101" s="2" t="s">
        <v>230</v>
      </c>
    </row>
    <row r="1102" spans="2:3" hidden="1">
      <c r="B1102" s="2" t="s">
        <v>243</v>
      </c>
      <c r="C1102" s="2" t="s">
        <v>218</v>
      </c>
    </row>
    <row r="1103" spans="2:3" hidden="1">
      <c r="B1103" s="2" t="s">
        <v>244</v>
      </c>
      <c r="C1103" s="2" t="s">
        <v>238</v>
      </c>
    </row>
    <row r="1104" spans="2:3" hidden="1">
      <c r="B1104" s="2" t="s">
        <v>245</v>
      </c>
      <c r="C1104" s="2" t="s">
        <v>238</v>
      </c>
    </row>
    <row r="1105" spans="2:3" hidden="1">
      <c r="B1105" s="2" t="s">
        <v>246</v>
      </c>
      <c r="C1105" s="2" t="s">
        <v>226</v>
      </c>
    </row>
    <row r="1106" spans="2:3" hidden="1">
      <c r="B1106" s="2" t="s">
        <v>247</v>
      </c>
      <c r="C1106" s="2" t="s">
        <v>248</v>
      </c>
    </row>
    <row r="1107" spans="2:3" hidden="1">
      <c r="B1107" s="2" t="s">
        <v>249</v>
      </c>
      <c r="C1107" s="2" t="s">
        <v>222</v>
      </c>
    </row>
    <row r="1108" spans="2:3" hidden="1">
      <c r="B1108" s="2" t="s">
        <v>250</v>
      </c>
      <c r="C1108" s="2" t="s">
        <v>248</v>
      </c>
    </row>
    <row r="1109" spans="2:3" hidden="1">
      <c r="B1109" s="2" t="s">
        <v>251</v>
      </c>
      <c r="C1109" s="2" t="s">
        <v>252</v>
      </c>
    </row>
    <row r="1110" spans="2:3" hidden="1">
      <c r="B1110" s="2" t="s">
        <v>253</v>
      </c>
      <c r="C1110" s="2" t="s">
        <v>254</v>
      </c>
    </row>
    <row r="1111" spans="2:3" hidden="1">
      <c r="B1111" s="2" t="s">
        <v>255</v>
      </c>
      <c r="C1111" s="2" t="s">
        <v>256</v>
      </c>
    </row>
    <row r="1112" spans="2:3" hidden="1">
      <c r="B1112" s="2" t="s">
        <v>257</v>
      </c>
      <c r="C1112" s="2" t="s">
        <v>218</v>
      </c>
    </row>
    <row r="1113" spans="2:3" hidden="1">
      <c r="B1113" s="2" t="s">
        <v>258</v>
      </c>
      <c r="C1113" s="2" t="s">
        <v>226</v>
      </c>
    </row>
    <row r="1114" spans="2:3" hidden="1">
      <c r="B1114" s="2" t="s">
        <v>259</v>
      </c>
      <c r="C1114" s="2" t="s">
        <v>260</v>
      </c>
    </row>
    <row r="1115" spans="2:3" hidden="1">
      <c r="B1115" s="2" t="s">
        <v>261</v>
      </c>
      <c r="C1115" s="2" t="s">
        <v>262</v>
      </c>
    </row>
    <row r="1116" spans="2:3" hidden="1">
      <c r="B1116" s="2" t="s">
        <v>263</v>
      </c>
      <c r="C1116" s="2">
        <v>0</v>
      </c>
    </row>
    <row r="1117" spans="2:3" hidden="1">
      <c r="B1117" s="2" t="s">
        <v>264</v>
      </c>
      <c r="C1117" s="2">
        <v>0</v>
      </c>
    </row>
    <row r="1118" spans="2:3" hidden="1">
      <c r="B1118" s="2" t="s">
        <v>265</v>
      </c>
      <c r="C1118" s="2">
        <v>0</v>
      </c>
    </row>
    <row r="1119" spans="2:3" hidden="1">
      <c r="B1119" s="2" t="s">
        <v>266</v>
      </c>
      <c r="C1119" s="2">
        <v>0</v>
      </c>
    </row>
    <row r="1120" spans="2:3" hidden="1">
      <c r="B1120" s="2" t="s">
        <v>268</v>
      </c>
      <c r="C1120" s="2">
        <v>0</v>
      </c>
    </row>
    <row r="1121" spans="2:3" hidden="1">
      <c r="B1121" s="2" t="s">
        <v>269</v>
      </c>
      <c r="C1121" s="2">
        <v>0</v>
      </c>
    </row>
    <row r="1122" spans="2:3" hidden="1">
      <c r="B1122" s="2" t="s">
        <v>270</v>
      </c>
      <c r="C1122" s="2">
        <v>0</v>
      </c>
    </row>
    <row r="1123" spans="2:3" hidden="1">
      <c r="B1123" s="2" t="s">
        <v>271</v>
      </c>
      <c r="C1123" s="2">
        <v>0</v>
      </c>
    </row>
    <row r="1124" spans="2:3" hidden="1">
      <c r="B1124" s="2" t="s">
        <v>272</v>
      </c>
      <c r="C1124" s="2">
        <v>0</v>
      </c>
    </row>
    <row r="1125" spans="2:3" hidden="1">
      <c r="B1125" s="2" t="s">
        <v>273</v>
      </c>
      <c r="C1125" s="2">
        <v>0</v>
      </c>
    </row>
    <row r="1126" spans="2:3" hidden="1">
      <c r="B1126" s="2" t="s">
        <v>274</v>
      </c>
      <c r="C1126" s="2">
        <v>0</v>
      </c>
    </row>
    <row r="1127" spans="2:3" hidden="1">
      <c r="B1127" s="2" t="s">
        <v>275</v>
      </c>
      <c r="C1127" s="2" t="s">
        <v>276</v>
      </c>
    </row>
    <row r="1128" spans="2:3" hidden="1">
      <c r="B1128" s="2" t="s">
        <v>277</v>
      </c>
      <c r="C1128" s="2">
        <v>0</v>
      </c>
    </row>
    <row r="1129" spans="2:3" hidden="1">
      <c r="B1129" s="2" t="s">
        <v>278</v>
      </c>
      <c r="C1129" s="2">
        <v>0</v>
      </c>
    </row>
    <row r="1130" spans="2:3" hidden="1">
      <c r="B1130" s="2" t="s">
        <v>279</v>
      </c>
      <c r="C1130" s="2">
        <v>0</v>
      </c>
    </row>
    <row r="1131" spans="2:3" hidden="1">
      <c r="B1131" s="2" t="s">
        <v>280</v>
      </c>
      <c r="C1131" s="2">
        <v>0</v>
      </c>
    </row>
    <row r="1132" spans="2:3" hidden="1">
      <c r="B1132" s="2" t="s">
        <v>281</v>
      </c>
      <c r="C1132" s="2">
        <v>0</v>
      </c>
    </row>
    <row r="1133" spans="2:3" hidden="1">
      <c r="B1133" s="2" t="s">
        <v>282</v>
      </c>
      <c r="C1133" s="2">
        <v>0</v>
      </c>
    </row>
    <row r="1134" spans="2:3" hidden="1">
      <c r="B1134" s="2" t="s">
        <v>283</v>
      </c>
      <c r="C1134" s="2">
        <v>0</v>
      </c>
    </row>
    <row r="1135" spans="2:3" hidden="1">
      <c r="B1135" s="2" t="s">
        <v>284</v>
      </c>
      <c r="C1135" s="2" t="s">
        <v>285</v>
      </c>
    </row>
    <row r="1136" spans="2:3" hidden="1">
      <c r="B1136" s="2" t="s">
        <v>286</v>
      </c>
      <c r="C1136" s="2">
        <v>0</v>
      </c>
    </row>
    <row r="1137" spans="2:3" hidden="1">
      <c r="B1137" s="2" t="s">
        <v>287</v>
      </c>
      <c r="C1137" s="2">
        <v>0</v>
      </c>
    </row>
    <row r="1138" spans="2:3" hidden="1">
      <c r="B1138" s="2" t="s">
        <v>288</v>
      </c>
      <c r="C1138" s="2">
        <v>0</v>
      </c>
    </row>
    <row r="1139" spans="2:3" hidden="1">
      <c r="B1139" s="2" t="s">
        <v>289</v>
      </c>
      <c r="C1139" s="2">
        <v>0</v>
      </c>
    </row>
    <row r="1140" spans="2:3" hidden="1">
      <c r="B1140" s="2" t="s">
        <v>290</v>
      </c>
      <c r="C1140" s="2">
        <v>0</v>
      </c>
    </row>
    <row r="1141" spans="2:3" hidden="1">
      <c r="B1141" s="2" t="s">
        <v>291</v>
      </c>
      <c r="C1141" s="2">
        <v>0</v>
      </c>
    </row>
    <row r="1142" spans="2:3" hidden="1">
      <c r="B1142" s="2" t="s">
        <v>292</v>
      </c>
      <c r="C1142" s="2">
        <v>0</v>
      </c>
    </row>
    <row r="1143" spans="2:3" hidden="1">
      <c r="B1143" s="2" t="s">
        <v>293</v>
      </c>
      <c r="C1143" s="2">
        <v>0</v>
      </c>
    </row>
    <row r="1144" spans="2:3" hidden="1">
      <c r="B1144" s="2" t="s">
        <v>294</v>
      </c>
      <c r="C1144" s="2">
        <v>0</v>
      </c>
    </row>
    <row r="1145" spans="2:3" hidden="1">
      <c r="B1145" s="2" t="s">
        <v>295</v>
      </c>
      <c r="C1145" s="2">
        <v>0</v>
      </c>
    </row>
    <row r="1146" spans="2:3" hidden="1">
      <c r="B1146" s="2" t="s">
        <v>296</v>
      </c>
      <c r="C1146" s="2">
        <v>0</v>
      </c>
    </row>
    <row r="1147" spans="2:3" hidden="1">
      <c r="B1147" s="2" t="s">
        <v>297</v>
      </c>
      <c r="C1147" s="2">
        <v>0</v>
      </c>
    </row>
    <row r="1148" spans="2:3" hidden="1">
      <c r="B1148" s="2" t="s">
        <v>298</v>
      </c>
      <c r="C1148" s="2">
        <v>0</v>
      </c>
    </row>
    <row r="1149" spans="2:3" hidden="1">
      <c r="B1149" s="2" t="s">
        <v>299</v>
      </c>
      <c r="C1149" s="2">
        <v>0</v>
      </c>
    </row>
    <row r="1150" spans="2:3" hidden="1">
      <c r="B1150" s="2" t="s">
        <v>300</v>
      </c>
      <c r="C1150" s="2">
        <v>0</v>
      </c>
    </row>
    <row r="1151" spans="2:3" hidden="1">
      <c r="B1151" s="2" t="s">
        <v>301</v>
      </c>
      <c r="C1151" s="2">
        <v>0</v>
      </c>
    </row>
    <row r="1152" spans="2:3" hidden="1">
      <c r="B1152" s="2" t="s">
        <v>302</v>
      </c>
      <c r="C1152" s="2">
        <v>0</v>
      </c>
    </row>
    <row r="1153" spans="2:3" hidden="1">
      <c r="B1153" s="2" t="s">
        <v>303</v>
      </c>
      <c r="C1153" s="2" t="s">
        <v>267</v>
      </c>
    </row>
    <row r="1154" spans="2:3" hidden="1">
      <c r="B1154" s="2" t="s">
        <v>304</v>
      </c>
      <c r="C1154" s="2">
        <v>0</v>
      </c>
    </row>
    <row r="1155" spans="2:3" hidden="1">
      <c r="B1155" s="2" t="s">
        <v>305</v>
      </c>
      <c r="C1155" s="2">
        <v>0</v>
      </c>
    </row>
    <row r="1156" spans="2:3" hidden="1">
      <c r="B1156" s="2" t="s">
        <v>306</v>
      </c>
      <c r="C1156" s="2">
        <v>0</v>
      </c>
    </row>
    <row r="1157" spans="2:3" hidden="1">
      <c r="B1157" s="2" t="s">
        <v>307</v>
      </c>
      <c r="C1157" s="2">
        <v>0</v>
      </c>
    </row>
    <row r="1158" spans="2:3" hidden="1">
      <c r="B1158" s="2" t="s">
        <v>308</v>
      </c>
      <c r="C1158" s="2">
        <v>0</v>
      </c>
    </row>
    <row r="1159" spans="2:3" hidden="1">
      <c r="B1159" s="2" t="s">
        <v>309</v>
      </c>
      <c r="C1159" s="2">
        <v>0</v>
      </c>
    </row>
    <row r="1160" spans="2:3" hidden="1">
      <c r="B1160" s="2" t="s">
        <v>310</v>
      </c>
      <c r="C1160" s="2">
        <v>0</v>
      </c>
    </row>
    <row r="1161" spans="2:3" hidden="1">
      <c r="B1161" s="2" t="s">
        <v>311</v>
      </c>
      <c r="C1161" s="2">
        <v>0</v>
      </c>
    </row>
    <row r="1162" spans="2:3" hidden="1">
      <c r="B1162" s="2" t="s">
        <v>312</v>
      </c>
      <c r="C1162" s="2">
        <v>0</v>
      </c>
    </row>
    <row r="1163" spans="2:3" hidden="1">
      <c r="B1163" s="2" t="s">
        <v>313</v>
      </c>
      <c r="C1163" s="2">
        <v>0</v>
      </c>
    </row>
    <row r="1164" spans="2:3" hidden="1">
      <c r="B1164" s="2" t="s">
        <v>314</v>
      </c>
      <c r="C1164" s="2">
        <v>0</v>
      </c>
    </row>
    <row r="1165" spans="2:3" hidden="1">
      <c r="B1165" s="2" t="s">
        <v>315</v>
      </c>
      <c r="C1165" s="2">
        <v>1</v>
      </c>
    </row>
    <row r="1166" spans="2:3" hidden="1">
      <c r="B1166" s="2" t="s">
        <v>316</v>
      </c>
      <c r="C1166" s="2">
        <v>0</v>
      </c>
    </row>
    <row r="1167" spans="2:3" hidden="1">
      <c r="B1167" s="2" t="s">
        <v>317</v>
      </c>
      <c r="C1167" s="2">
        <v>0</v>
      </c>
    </row>
    <row r="1168" spans="2:3" hidden="1">
      <c r="B1168" s="2" t="s">
        <v>318</v>
      </c>
      <c r="C1168" s="2">
        <v>0</v>
      </c>
    </row>
    <row r="1169" spans="2:3" hidden="1">
      <c r="B1169" s="2" t="s">
        <v>319</v>
      </c>
      <c r="C1169" s="2">
        <v>0</v>
      </c>
    </row>
    <row r="1170" spans="2:3" hidden="1">
      <c r="B1170" s="2" t="s">
        <v>320</v>
      </c>
      <c r="C1170" s="2">
        <v>0</v>
      </c>
    </row>
    <row r="1171" spans="2:3" hidden="1">
      <c r="B1171" s="2" t="s">
        <v>321</v>
      </c>
      <c r="C1171" s="2">
        <v>0</v>
      </c>
    </row>
    <row r="1172" spans="2:3" hidden="1">
      <c r="B1172" s="2" t="s">
        <v>322</v>
      </c>
      <c r="C1172" s="2">
        <v>0</v>
      </c>
    </row>
    <row r="1173" spans="2:3" hidden="1">
      <c r="B1173" s="2" t="s">
        <v>323</v>
      </c>
      <c r="C1173" s="2">
        <v>1</v>
      </c>
    </row>
    <row r="1174" spans="2:3" hidden="1">
      <c r="B1174" s="2" t="s">
        <v>324</v>
      </c>
      <c r="C1174" s="2">
        <v>0</v>
      </c>
    </row>
    <row r="1175" spans="2:3" hidden="1">
      <c r="B1175" s="2" t="s">
        <v>325</v>
      </c>
      <c r="C1175" s="2">
        <v>0</v>
      </c>
    </row>
    <row r="1176" spans="2:3" hidden="1">
      <c r="B1176" s="2" t="s">
        <v>326</v>
      </c>
      <c r="C1176" s="2">
        <v>0</v>
      </c>
    </row>
    <row r="1177" spans="2:3" hidden="1">
      <c r="B1177" s="2" t="s">
        <v>327</v>
      </c>
      <c r="C1177" s="2">
        <v>0</v>
      </c>
    </row>
    <row r="1178" spans="2:3" hidden="1">
      <c r="B1178" s="2" t="s">
        <v>328</v>
      </c>
      <c r="C1178" s="2">
        <v>0</v>
      </c>
    </row>
    <row r="1179" spans="2:3" hidden="1">
      <c r="B1179" s="2" t="s">
        <v>329</v>
      </c>
      <c r="C1179" s="2">
        <v>0</v>
      </c>
    </row>
    <row r="1180" spans="2:3" hidden="1">
      <c r="B1180" s="2" t="s">
        <v>330</v>
      </c>
      <c r="C1180" s="2">
        <v>0</v>
      </c>
    </row>
    <row r="1181" spans="2:3" hidden="1">
      <c r="B1181" s="2" t="s">
        <v>331</v>
      </c>
      <c r="C1181" s="2">
        <v>0</v>
      </c>
    </row>
    <row r="1182" spans="2:3" hidden="1">
      <c r="B1182" s="2" t="s">
        <v>332</v>
      </c>
      <c r="C1182" s="2">
        <v>0</v>
      </c>
    </row>
    <row r="1183" spans="2:3" hidden="1">
      <c r="B1183" s="2" t="s">
        <v>333</v>
      </c>
      <c r="C1183" s="2">
        <v>0</v>
      </c>
    </row>
    <row r="1184" spans="2:3" hidden="1">
      <c r="B1184" s="2" t="s">
        <v>334</v>
      </c>
      <c r="C1184" s="2">
        <v>0</v>
      </c>
    </row>
    <row r="1185" spans="2:3" hidden="1">
      <c r="B1185" s="2" t="s">
        <v>335</v>
      </c>
      <c r="C1185" s="2">
        <v>0</v>
      </c>
    </row>
    <row r="1186" spans="2:3" hidden="1">
      <c r="B1186" s="2" t="s">
        <v>336</v>
      </c>
      <c r="C1186" s="2">
        <v>0</v>
      </c>
    </row>
    <row r="1187" spans="2:3" hidden="1">
      <c r="B1187" s="2" t="s">
        <v>337</v>
      </c>
      <c r="C1187" s="2">
        <v>0</v>
      </c>
    </row>
    <row r="1188" spans="2:3" hidden="1">
      <c r="B1188" s="2" t="s">
        <v>338</v>
      </c>
      <c r="C1188" s="2">
        <v>0</v>
      </c>
    </row>
    <row r="1189" spans="2:3" hidden="1">
      <c r="B1189" s="2" t="s">
        <v>339</v>
      </c>
      <c r="C1189" s="2">
        <v>0</v>
      </c>
    </row>
    <row r="1190" spans="2:3" hidden="1">
      <c r="B1190" s="2" t="s">
        <v>340</v>
      </c>
      <c r="C1190" s="2">
        <v>0</v>
      </c>
    </row>
    <row r="1191" spans="2:3" hidden="1">
      <c r="B1191" s="2" t="s">
        <v>341</v>
      </c>
      <c r="C1191" s="2">
        <v>0</v>
      </c>
    </row>
    <row r="1192" spans="2:3" hidden="1">
      <c r="B1192" s="2" t="s">
        <v>342</v>
      </c>
      <c r="C1192" s="2">
        <v>1</v>
      </c>
    </row>
    <row r="1193" spans="2:3" hidden="1">
      <c r="B1193" s="2" t="s">
        <v>343</v>
      </c>
      <c r="C1193" s="2">
        <v>0</v>
      </c>
    </row>
    <row r="1194" spans="2:3" hidden="1">
      <c r="B1194" s="2" t="s">
        <v>344</v>
      </c>
      <c r="C1194" s="2">
        <v>0</v>
      </c>
    </row>
    <row r="1195" spans="2:3" hidden="1">
      <c r="B1195" s="2" t="s">
        <v>345</v>
      </c>
      <c r="C1195" s="2">
        <v>0</v>
      </c>
    </row>
    <row r="1196" spans="2:3" hidden="1">
      <c r="B1196" s="2" t="s">
        <v>346</v>
      </c>
      <c r="C1196" s="2">
        <v>0</v>
      </c>
    </row>
    <row r="1197" spans="2:3" hidden="1">
      <c r="B1197" s="2" t="s">
        <v>347</v>
      </c>
      <c r="C1197" s="2">
        <v>0</v>
      </c>
    </row>
    <row r="1198" spans="2:3" hidden="1">
      <c r="B1198" s="2" t="s">
        <v>348</v>
      </c>
      <c r="C1198" s="2">
        <v>0</v>
      </c>
    </row>
    <row r="1199" spans="2:3" hidden="1">
      <c r="B1199" s="2" t="s">
        <v>349</v>
      </c>
      <c r="C1199" s="2">
        <v>0</v>
      </c>
    </row>
    <row r="1200" spans="2:3" hidden="1">
      <c r="B1200" s="2" t="s">
        <v>350</v>
      </c>
      <c r="C1200" s="2">
        <v>0</v>
      </c>
    </row>
    <row r="1201" spans="2:3" hidden="1">
      <c r="B1201" s="2" t="s">
        <v>351</v>
      </c>
      <c r="C1201" s="2">
        <v>0</v>
      </c>
    </row>
    <row r="1202" spans="2:3" hidden="1">
      <c r="B1202" s="2" t="s">
        <v>352</v>
      </c>
      <c r="C1202" s="2">
        <v>0</v>
      </c>
    </row>
    <row r="1203" spans="2:3" hidden="1">
      <c r="B1203" s="2" t="s">
        <v>353</v>
      </c>
      <c r="C1203" s="2">
        <v>0</v>
      </c>
    </row>
    <row r="1204" spans="2:3" hidden="1">
      <c r="B1204" s="2" t="s">
        <v>354</v>
      </c>
      <c r="C1204" s="2">
        <v>0</v>
      </c>
    </row>
    <row r="1205" spans="2:3" hidden="1">
      <c r="B1205" s="2" t="s">
        <v>355</v>
      </c>
      <c r="C1205" s="2">
        <v>0</v>
      </c>
    </row>
    <row r="1206" spans="2:3" hidden="1">
      <c r="B1206" s="2" t="s">
        <v>356</v>
      </c>
      <c r="C1206" s="2">
        <v>0</v>
      </c>
    </row>
    <row r="1207" spans="2:3" hidden="1">
      <c r="B1207" s="2" t="s">
        <v>357</v>
      </c>
      <c r="C1207" s="2">
        <v>0</v>
      </c>
    </row>
    <row r="1208" spans="2:3" hidden="1">
      <c r="B1208" s="2" t="s">
        <v>358</v>
      </c>
      <c r="C1208" s="2">
        <v>0</v>
      </c>
    </row>
    <row r="1209" spans="2:3" hidden="1">
      <c r="B1209" s="2" t="s">
        <v>359</v>
      </c>
      <c r="C1209" s="2">
        <v>0</v>
      </c>
    </row>
    <row r="1210" spans="2:3" hidden="1">
      <c r="B1210" s="2" t="s">
        <v>360</v>
      </c>
      <c r="C1210" s="2">
        <v>0</v>
      </c>
    </row>
    <row r="1211" spans="2:3" hidden="1">
      <c r="B1211" s="2" t="s">
        <v>361</v>
      </c>
      <c r="C1211" s="2">
        <v>0</v>
      </c>
    </row>
    <row r="1212" spans="2:3" hidden="1">
      <c r="B1212" s="2" t="s">
        <v>362</v>
      </c>
      <c r="C1212" s="2">
        <v>0</v>
      </c>
    </row>
    <row r="1213" spans="2:3" hidden="1">
      <c r="B1213" s="2" t="s">
        <v>363</v>
      </c>
      <c r="C1213" s="2">
        <v>0</v>
      </c>
    </row>
    <row r="1214" spans="2:3" hidden="1">
      <c r="B1214" s="2" t="s">
        <v>364</v>
      </c>
      <c r="C1214" s="2">
        <v>0</v>
      </c>
    </row>
    <row r="1215" spans="2:3" hidden="1">
      <c r="B1215" s="2" t="s">
        <v>365</v>
      </c>
      <c r="C1215" s="2">
        <v>0</v>
      </c>
    </row>
    <row r="1216" spans="2:3" hidden="1">
      <c r="B1216" s="2" t="s">
        <v>366</v>
      </c>
      <c r="C1216" s="2">
        <v>0</v>
      </c>
    </row>
    <row r="1217" spans="2:3" hidden="1">
      <c r="B1217" s="2" t="s">
        <v>367</v>
      </c>
      <c r="C1217" s="2">
        <v>0</v>
      </c>
    </row>
    <row r="1218" spans="2:3" hidden="1">
      <c r="B1218" s="2" t="s">
        <v>368</v>
      </c>
      <c r="C1218" s="2">
        <v>0</v>
      </c>
    </row>
    <row r="1219" spans="2:3" hidden="1">
      <c r="B1219" s="2" t="s">
        <v>369</v>
      </c>
      <c r="C1219" s="2">
        <v>0</v>
      </c>
    </row>
    <row r="1220" spans="2:3" hidden="1">
      <c r="B1220" s="2" t="s">
        <v>370</v>
      </c>
      <c r="C1220" s="2">
        <v>0</v>
      </c>
    </row>
    <row r="1221" spans="2:3" hidden="1">
      <c r="B1221" s="2" t="s">
        <v>371</v>
      </c>
      <c r="C1221" s="2">
        <v>0</v>
      </c>
    </row>
    <row r="1222" spans="2:3" hidden="1">
      <c r="B1222" s="2" t="s">
        <v>372</v>
      </c>
      <c r="C1222" s="2">
        <v>0</v>
      </c>
    </row>
    <row r="1223" spans="2:3" hidden="1">
      <c r="B1223" s="2" t="s">
        <v>373</v>
      </c>
      <c r="C1223" s="2">
        <v>0</v>
      </c>
    </row>
    <row r="1224" spans="2:3" hidden="1">
      <c r="B1224" s="2" t="s">
        <v>374</v>
      </c>
      <c r="C1224" s="2">
        <v>0</v>
      </c>
    </row>
    <row r="1225" spans="2:3" hidden="1">
      <c r="B1225" s="2" t="s">
        <v>375</v>
      </c>
      <c r="C1225" s="2">
        <v>0</v>
      </c>
    </row>
    <row r="1226" spans="2:3" hidden="1">
      <c r="B1226" s="2" t="s">
        <v>376</v>
      </c>
      <c r="C1226" s="2">
        <v>0</v>
      </c>
    </row>
    <row r="1227" spans="2:3" hidden="1">
      <c r="B1227" s="2" t="s">
        <v>377</v>
      </c>
      <c r="C1227" s="2">
        <v>0</v>
      </c>
    </row>
    <row r="1228" spans="2:3" hidden="1">
      <c r="B1228" s="2" t="s">
        <v>378</v>
      </c>
      <c r="C1228" s="2">
        <v>0</v>
      </c>
    </row>
    <row r="1229" spans="2:3" hidden="1">
      <c r="B1229" s="2" t="s">
        <v>379</v>
      </c>
      <c r="C1229" s="2">
        <v>0</v>
      </c>
    </row>
    <row r="1230" spans="2:3" hidden="1">
      <c r="B1230" s="2" t="s">
        <v>380</v>
      </c>
      <c r="C1230" s="2">
        <v>0</v>
      </c>
    </row>
    <row r="1231" spans="2:3" hidden="1">
      <c r="B1231" s="2" t="s">
        <v>381</v>
      </c>
      <c r="C1231" s="2">
        <v>0</v>
      </c>
    </row>
    <row r="1232" spans="2:3" hidden="1">
      <c r="B1232" s="2" t="s">
        <v>382</v>
      </c>
      <c r="C1232" s="2">
        <v>0</v>
      </c>
    </row>
    <row r="1233" spans="2:3" hidden="1">
      <c r="B1233" s="2" t="s">
        <v>383</v>
      </c>
      <c r="C1233" s="2">
        <v>0</v>
      </c>
    </row>
  </sheetData>
  <protectedRanges>
    <protectedRange sqref="F1 C7:E7 F8:F9 F26:F27 F33" name="Grey cells"/>
  </protectedRanges>
  <mergeCells count="3">
    <mergeCell ref="B3:F3"/>
    <mergeCell ref="B84:I84"/>
    <mergeCell ref="A85:A92"/>
  </mergeCells>
  <conditionalFormatting sqref="B76:C76">
    <cfRule type="expression" dxfId="3" priority="1" stopIfTrue="1">
      <formula>MID($B76,1,4)="Rent"</formula>
    </cfRule>
  </conditionalFormatting>
  <conditionalFormatting sqref="C12:D34">
    <cfRule type="expression" dxfId="2" priority="2">
      <formula>$F$1="yes"</formula>
    </cfRule>
  </conditionalFormatting>
  <dataValidations disablePrompts="1" count="1">
    <dataValidation type="list" allowBlank="1" showInputMessage="1" showErrorMessage="1" sqref="F1:F2" xr:uid="{B6C98B7F-9098-465C-AB09-D30430C94AE4}">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92D8-B485-418F-B068-EB1771EFF4FE}">
  <dimension ref="A1:WVP1243"/>
  <sheetViews>
    <sheetView workbookViewId="0">
      <selection activeCell="G16" sqref="G16"/>
    </sheetView>
  </sheetViews>
  <sheetFormatPr defaultColWidth="0" defaultRowHeight="16.5" zeroHeight="1"/>
  <cols>
    <col min="1" max="1" width="3.1640625" style="2" customWidth="1"/>
    <col min="2" max="2" width="43" style="2" customWidth="1"/>
    <col min="3" max="3" width="11.83203125" style="2" customWidth="1"/>
    <col min="4" max="4" width="10.5" style="2" customWidth="1"/>
    <col min="5" max="5" width="11" style="2" customWidth="1"/>
    <col min="6" max="6" width="12.6640625" style="2" customWidth="1"/>
    <col min="7" max="7" width="11.6640625" style="2" customWidth="1"/>
    <col min="8" max="8" width="11.83203125" style="2" customWidth="1"/>
    <col min="9" max="9" width="9" style="2" customWidth="1"/>
    <col min="10" max="13" width="8" style="2" hidden="1"/>
    <col min="14" max="14" width="38.6640625" style="2" hidden="1"/>
    <col min="15" max="257" width="8" style="2" hidden="1"/>
    <col min="258" max="258" width="28.1640625" style="2" hidden="1"/>
    <col min="259" max="259" width="8.1640625" style="2" hidden="1"/>
    <col min="260" max="260" width="9.1640625" style="2" hidden="1"/>
    <col min="261" max="261" width="9.6640625" style="2" hidden="1"/>
    <col min="262" max="262" width="11.1640625" style="2" hidden="1"/>
    <col min="263" max="263" width="10.33203125" style="2" hidden="1"/>
    <col min="264" max="264" width="10.5" style="2" hidden="1"/>
    <col min="265" max="513" width="8" style="2" hidden="1"/>
    <col min="514" max="514" width="28.1640625" style="2" hidden="1"/>
    <col min="515" max="515" width="8.1640625" style="2" hidden="1"/>
    <col min="516" max="516" width="9.1640625" style="2" hidden="1"/>
    <col min="517" max="517" width="9.6640625" style="2" hidden="1"/>
    <col min="518" max="518" width="11.1640625" style="2" hidden="1"/>
    <col min="519" max="519" width="10.33203125" style="2" hidden="1"/>
    <col min="520" max="520" width="10.5" style="2" hidden="1"/>
    <col min="521" max="769" width="8" style="2" hidden="1"/>
    <col min="770" max="770" width="28.1640625" style="2" hidden="1"/>
    <col min="771" max="771" width="8.1640625" style="2" hidden="1"/>
    <col min="772" max="772" width="9.1640625" style="2" hidden="1"/>
    <col min="773" max="773" width="9.6640625" style="2" hidden="1"/>
    <col min="774" max="774" width="11.1640625" style="2" hidden="1"/>
    <col min="775" max="775" width="10.33203125" style="2" hidden="1"/>
    <col min="776" max="776" width="10.5" style="2" hidden="1"/>
    <col min="777" max="1025" width="9" style="2" hidden="1"/>
    <col min="1026" max="1026" width="28.1640625" style="2" hidden="1"/>
    <col min="1027" max="1027" width="8.1640625" style="2" hidden="1"/>
    <col min="1028" max="1028" width="9.1640625" style="2" hidden="1"/>
    <col min="1029" max="1029" width="9.6640625" style="2" hidden="1"/>
    <col min="1030" max="1030" width="11.1640625" style="2" hidden="1"/>
    <col min="1031" max="1031" width="10.33203125" style="2" hidden="1"/>
    <col min="1032" max="1032" width="10.5" style="2" hidden="1"/>
    <col min="1033" max="1281" width="8" style="2" hidden="1"/>
    <col min="1282" max="1282" width="28.1640625" style="2" hidden="1"/>
    <col min="1283" max="1283" width="8.1640625" style="2" hidden="1"/>
    <col min="1284" max="1284" width="9.1640625" style="2" hidden="1"/>
    <col min="1285" max="1285" width="9.6640625" style="2" hidden="1"/>
    <col min="1286" max="1286" width="11.1640625" style="2" hidden="1"/>
    <col min="1287" max="1287" width="10.33203125" style="2" hidden="1"/>
    <col min="1288" max="1288" width="10.5" style="2" hidden="1"/>
    <col min="1289" max="1537" width="8" style="2" hidden="1"/>
    <col min="1538" max="1538" width="28.1640625" style="2" hidden="1"/>
    <col min="1539" max="1539" width="8.1640625" style="2" hidden="1"/>
    <col min="1540" max="1540" width="9.1640625" style="2" hidden="1"/>
    <col min="1541" max="1541" width="9.6640625" style="2" hidden="1"/>
    <col min="1542" max="1542" width="11.1640625" style="2" hidden="1"/>
    <col min="1543" max="1543" width="10.33203125" style="2" hidden="1"/>
    <col min="1544" max="1544" width="10.5" style="2" hidden="1"/>
    <col min="1545" max="1793" width="8" style="2" hidden="1"/>
    <col min="1794" max="1794" width="28.1640625" style="2" hidden="1"/>
    <col min="1795" max="1795" width="8.1640625" style="2" hidden="1"/>
    <col min="1796" max="1796" width="9.1640625" style="2" hidden="1"/>
    <col min="1797" max="1797" width="9.6640625" style="2" hidden="1"/>
    <col min="1798" max="1798" width="11.1640625" style="2" hidden="1"/>
    <col min="1799" max="1799" width="10.33203125" style="2" hidden="1"/>
    <col min="1800" max="1800" width="10.5" style="2" hidden="1"/>
    <col min="1801" max="2049" width="9" style="2" hidden="1"/>
    <col min="2050" max="2050" width="28.1640625" style="2" hidden="1"/>
    <col min="2051" max="2051" width="8.1640625" style="2" hidden="1"/>
    <col min="2052" max="2052" width="9.1640625" style="2" hidden="1"/>
    <col min="2053" max="2053" width="9.6640625" style="2" hidden="1"/>
    <col min="2054" max="2054" width="11.1640625" style="2" hidden="1"/>
    <col min="2055" max="2055" width="10.33203125" style="2" hidden="1"/>
    <col min="2056" max="2056" width="10.5" style="2" hidden="1"/>
    <col min="2057" max="2305" width="8" style="2" hidden="1"/>
    <col min="2306" max="2306" width="28.1640625" style="2" hidden="1"/>
    <col min="2307" max="2307" width="8.1640625" style="2" hidden="1"/>
    <col min="2308" max="2308" width="9.1640625" style="2" hidden="1"/>
    <col min="2309" max="2309" width="9.6640625" style="2" hidden="1"/>
    <col min="2310" max="2310" width="11.1640625" style="2" hidden="1"/>
    <col min="2311" max="2311" width="10.33203125" style="2" hidden="1"/>
    <col min="2312" max="2312" width="10.5" style="2" hidden="1"/>
    <col min="2313" max="2561" width="8" style="2" hidden="1"/>
    <col min="2562" max="2562" width="28.1640625" style="2" hidden="1"/>
    <col min="2563" max="2563" width="8.1640625" style="2" hidden="1"/>
    <col min="2564" max="2564" width="9.1640625" style="2" hidden="1"/>
    <col min="2565" max="2565" width="9.6640625" style="2" hidden="1"/>
    <col min="2566" max="2566" width="11.1640625" style="2" hidden="1"/>
    <col min="2567" max="2567" width="10.33203125" style="2" hidden="1"/>
    <col min="2568" max="2568" width="10.5" style="2" hidden="1"/>
    <col min="2569" max="2817" width="8" style="2" hidden="1"/>
    <col min="2818" max="2818" width="28.1640625" style="2" hidden="1"/>
    <col min="2819" max="2819" width="8.1640625" style="2" hidden="1"/>
    <col min="2820" max="2820" width="9.1640625" style="2" hidden="1"/>
    <col min="2821" max="2821" width="9.6640625" style="2" hidden="1"/>
    <col min="2822" max="2822" width="11.1640625" style="2" hidden="1"/>
    <col min="2823" max="2823" width="10.33203125" style="2" hidden="1"/>
    <col min="2824" max="2824" width="10.5" style="2" hidden="1"/>
    <col min="2825" max="3073" width="9" style="2" hidden="1"/>
    <col min="3074" max="3074" width="28.1640625" style="2" hidden="1"/>
    <col min="3075" max="3075" width="8.1640625" style="2" hidden="1"/>
    <col min="3076" max="3076" width="9.1640625" style="2" hidden="1"/>
    <col min="3077" max="3077" width="9.6640625" style="2" hidden="1"/>
    <col min="3078" max="3078" width="11.1640625" style="2" hidden="1"/>
    <col min="3079" max="3079" width="10.33203125" style="2" hidden="1"/>
    <col min="3080" max="3080" width="10.5" style="2" hidden="1"/>
    <col min="3081" max="3329" width="8" style="2" hidden="1"/>
    <col min="3330" max="3330" width="28.1640625" style="2" hidden="1"/>
    <col min="3331" max="3331" width="8.1640625" style="2" hidden="1"/>
    <col min="3332" max="3332" width="9.1640625" style="2" hidden="1"/>
    <col min="3333" max="3333" width="9.6640625" style="2" hidden="1"/>
    <col min="3334" max="3334" width="11.1640625" style="2" hidden="1"/>
    <col min="3335" max="3335" width="10.33203125" style="2" hidden="1"/>
    <col min="3336" max="3336" width="10.5" style="2" hidden="1"/>
    <col min="3337" max="3585" width="8" style="2" hidden="1"/>
    <col min="3586" max="3586" width="28.1640625" style="2" hidden="1"/>
    <col min="3587" max="3587" width="8.1640625" style="2" hidden="1"/>
    <col min="3588" max="3588" width="9.1640625" style="2" hidden="1"/>
    <col min="3589" max="3589" width="9.6640625" style="2" hidden="1"/>
    <col min="3590" max="3590" width="11.1640625" style="2" hidden="1"/>
    <col min="3591" max="3591" width="10.33203125" style="2" hidden="1"/>
    <col min="3592" max="3592" width="10.5" style="2" hidden="1"/>
    <col min="3593" max="3841" width="8" style="2" hidden="1"/>
    <col min="3842" max="3842" width="28.1640625" style="2" hidden="1"/>
    <col min="3843" max="3843" width="8.1640625" style="2" hidden="1"/>
    <col min="3844" max="3844" width="9.1640625" style="2" hidden="1"/>
    <col min="3845" max="3845" width="9.6640625" style="2" hidden="1"/>
    <col min="3846" max="3846" width="11.1640625" style="2" hidden="1"/>
    <col min="3847" max="3847" width="10.33203125" style="2" hidden="1"/>
    <col min="3848" max="3848" width="10.5" style="2" hidden="1"/>
    <col min="3849" max="4097" width="9" style="2" hidden="1"/>
    <col min="4098" max="4098" width="28.1640625" style="2" hidden="1"/>
    <col min="4099" max="4099" width="8.1640625" style="2" hidden="1"/>
    <col min="4100" max="4100" width="9.1640625" style="2" hidden="1"/>
    <col min="4101" max="4101" width="9.6640625" style="2" hidden="1"/>
    <col min="4102" max="4102" width="11.1640625" style="2" hidden="1"/>
    <col min="4103" max="4103" width="10.33203125" style="2" hidden="1"/>
    <col min="4104" max="4104" width="10.5" style="2" hidden="1"/>
    <col min="4105" max="4353" width="8" style="2" hidden="1"/>
    <col min="4354" max="4354" width="28.1640625" style="2" hidden="1"/>
    <col min="4355" max="4355" width="8.1640625" style="2" hidden="1"/>
    <col min="4356" max="4356" width="9.1640625" style="2" hidden="1"/>
    <col min="4357" max="4357" width="9.6640625" style="2" hidden="1"/>
    <col min="4358" max="4358" width="11.1640625" style="2" hidden="1"/>
    <col min="4359" max="4359" width="10.33203125" style="2" hidden="1"/>
    <col min="4360" max="4360" width="10.5" style="2" hidden="1"/>
    <col min="4361" max="4609" width="8" style="2" hidden="1"/>
    <col min="4610" max="4610" width="28.1640625" style="2" hidden="1"/>
    <col min="4611" max="4611" width="8.1640625" style="2" hidden="1"/>
    <col min="4612" max="4612" width="9.1640625" style="2" hidden="1"/>
    <col min="4613" max="4613" width="9.6640625" style="2" hidden="1"/>
    <col min="4614" max="4614" width="11.1640625" style="2" hidden="1"/>
    <col min="4615" max="4615" width="10.33203125" style="2" hidden="1"/>
    <col min="4616" max="4616" width="10.5" style="2" hidden="1"/>
    <col min="4617" max="4865" width="8" style="2" hidden="1"/>
    <col min="4866" max="4866" width="28.1640625" style="2" hidden="1"/>
    <col min="4867" max="4867" width="8.1640625" style="2" hidden="1"/>
    <col min="4868" max="4868" width="9.1640625" style="2" hidden="1"/>
    <col min="4869" max="4869" width="9.6640625" style="2" hidden="1"/>
    <col min="4870" max="4870" width="11.1640625" style="2" hidden="1"/>
    <col min="4871" max="4871" width="10.33203125" style="2" hidden="1"/>
    <col min="4872" max="4872" width="10.5" style="2" hidden="1"/>
    <col min="4873" max="5121" width="9" style="2" hidden="1"/>
    <col min="5122" max="5122" width="28.1640625" style="2" hidden="1"/>
    <col min="5123" max="5123" width="8.1640625" style="2" hidden="1"/>
    <col min="5124" max="5124" width="9.1640625" style="2" hidden="1"/>
    <col min="5125" max="5125" width="9.6640625" style="2" hidden="1"/>
    <col min="5126" max="5126" width="11.1640625" style="2" hidden="1"/>
    <col min="5127" max="5127" width="10.33203125" style="2" hidden="1"/>
    <col min="5128" max="5128" width="10.5" style="2" hidden="1"/>
    <col min="5129" max="5377" width="8" style="2" hidden="1"/>
    <col min="5378" max="5378" width="28.1640625" style="2" hidden="1"/>
    <col min="5379" max="5379" width="8.1640625" style="2" hidden="1"/>
    <col min="5380" max="5380" width="9.1640625" style="2" hidden="1"/>
    <col min="5381" max="5381" width="9.6640625" style="2" hidden="1"/>
    <col min="5382" max="5382" width="11.1640625" style="2" hidden="1"/>
    <col min="5383" max="5383" width="10.33203125" style="2" hidden="1"/>
    <col min="5384" max="5384" width="10.5" style="2" hidden="1"/>
    <col min="5385" max="5633" width="8" style="2" hidden="1"/>
    <col min="5634" max="5634" width="28.1640625" style="2" hidden="1"/>
    <col min="5635" max="5635" width="8.1640625" style="2" hidden="1"/>
    <col min="5636" max="5636" width="9.1640625" style="2" hidden="1"/>
    <col min="5637" max="5637" width="9.6640625" style="2" hidden="1"/>
    <col min="5638" max="5638" width="11.1640625" style="2" hidden="1"/>
    <col min="5639" max="5639" width="10.33203125" style="2" hidden="1"/>
    <col min="5640" max="5640" width="10.5" style="2" hidden="1"/>
    <col min="5641" max="5889" width="8" style="2" hidden="1"/>
    <col min="5890" max="5890" width="28.1640625" style="2" hidden="1"/>
    <col min="5891" max="5891" width="8.1640625" style="2" hidden="1"/>
    <col min="5892" max="5892" width="9.1640625" style="2" hidden="1"/>
    <col min="5893" max="5893" width="9.6640625" style="2" hidden="1"/>
    <col min="5894" max="5894" width="11.1640625" style="2" hidden="1"/>
    <col min="5895" max="5895" width="10.33203125" style="2" hidden="1"/>
    <col min="5896" max="5896" width="10.5" style="2" hidden="1"/>
    <col min="5897" max="6145" width="9" style="2" hidden="1"/>
    <col min="6146" max="6146" width="28.1640625" style="2" hidden="1"/>
    <col min="6147" max="6147" width="8.1640625" style="2" hidden="1"/>
    <col min="6148" max="6148" width="9.1640625" style="2" hidden="1"/>
    <col min="6149" max="6149" width="9.6640625" style="2" hidden="1"/>
    <col min="6150" max="6150" width="11.1640625" style="2" hidden="1"/>
    <col min="6151" max="6151" width="10.33203125" style="2" hidden="1"/>
    <col min="6152" max="6152" width="10.5" style="2" hidden="1"/>
    <col min="6153" max="6401" width="8" style="2" hidden="1"/>
    <col min="6402" max="6402" width="28.1640625" style="2" hidden="1"/>
    <col min="6403" max="6403" width="8.1640625" style="2" hidden="1"/>
    <col min="6404" max="6404" width="9.1640625" style="2" hidden="1"/>
    <col min="6405" max="6405" width="9.6640625" style="2" hidden="1"/>
    <col min="6406" max="6406" width="11.1640625" style="2" hidden="1"/>
    <col min="6407" max="6407" width="10.33203125" style="2" hidden="1"/>
    <col min="6408" max="6408" width="10.5" style="2" hidden="1"/>
    <col min="6409" max="6657" width="8" style="2" hidden="1"/>
    <col min="6658" max="6658" width="28.1640625" style="2" hidden="1"/>
    <col min="6659" max="6659" width="8.1640625" style="2" hidden="1"/>
    <col min="6660" max="6660" width="9.1640625" style="2" hidden="1"/>
    <col min="6661" max="6661" width="9.6640625" style="2" hidden="1"/>
    <col min="6662" max="6662" width="11.1640625" style="2" hidden="1"/>
    <col min="6663" max="6663" width="10.33203125" style="2" hidden="1"/>
    <col min="6664" max="6664" width="10.5" style="2" hidden="1"/>
    <col min="6665" max="6913" width="8" style="2" hidden="1"/>
    <col min="6914" max="6914" width="28.1640625" style="2" hidden="1"/>
    <col min="6915" max="6915" width="8.1640625" style="2" hidden="1"/>
    <col min="6916" max="6916" width="9.1640625" style="2" hidden="1"/>
    <col min="6917" max="6917" width="9.6640625" style="2" hidden="1"/>
    <col min="6918" max="6918" width="11.1640625" style="2" hidden="1"/>
    <col min="6919" max="6919" width="10.33203125" style="2" hidden="1"/>
    <col min="6920" max="6920" width="10.5" style="2" hidden="1"/>
    <col min="6921" max="7169" width="9" style="2" hidden="1"/>
    <col min="7170" max="7170" width="28.1640625" style="2" hidden="1"/>
    <col min="7171" max="7171" width="8.1640625" style="2" hidden="1"/>
    <col min="7172" max="7172" width="9.1640625" style="2" hidden="1"/>
    <col min="7173" max="7173" width="9.6640625" style="2" hidden="1"/>
    <col min="7174" max="7174" width="11.1640625" style="2" hidden="1"/>
    <col min="7175" max="7175" width="10.33203125" style="2" hidden="1"/>
    <col min="7176" max="7176" width="10.5" style="2" hidden="1"/>
    <col min="7177" max="7425" width="8" style="2" hidden="1"/>
    <col min="7426" max="7426" width="28.1640625" style="2" hidden="1"/>
    <col min="7427" max="7427" width="8.1640625" style="2" hidden="1"/>
    <col min="7428" max="7428" width="9.1640625" style="2" hidden="1"/>
    <col min="7429" max="7429" width="9.6640625" style="2" hidden="1"/>
    <col min="7430" max="7430" width="11.1640625" style="2" hidden="1"/>
    <col min="7431" max="7431" width="10.33203125" style="2" hidden="1"/>
    <col min="7432" max="7432" width="10.5" style="2" hidden="1"/>
    <col min="7433" max="7681" width="8" style="2" hidden="1"/>
    <col min="7682" max="7682" width="28.1640625" style="2" hidden="1"/>
    <col min="7683" max="7683" width="8.1640625" style="2" hidden="1"/>
    <col min="7684" max="7684" width="9.1640625" style="2" hidden="1"/>
    <col min="7685" max="7685" width="9.6640625" style="2" hidden="1"/>
    <col min="7686" max="7686" width="11.1640625" style="2" hidden="1"/>
    <col min="7687" max="7687" width="10.33203125" style="2" hidden="1"/>
    <col min="7688" max="7688" width="10.5" style="2" hidden="1"/>
    <col min="7689" max="7937" width="8" style="2" hidden="1"/>
    <col min="7938" max="7938" width="28.1640625" style="2" hidden="1"/>
    <col min="7939" max="7939" width="8.1640625" style="2" hidden="1"/>
    <col min="7940" max="7940" width="9.1640625" style="2" hidden="1"/>
    <col min="7941" max="7941" width="9.6640625" style="2" hidden="1"/>
    <col min="7942" max="7942" width="11.1640625" style="2" hidden="1"/>
    <col min="7943" max="7943" width="10.33203125" style="2" hidden="1"/>
    <col min="7944" max="7944" width="10.5" style="2" hidden="1"/>
    <col min="7945" max="8193" width="9" style="2" hidden="1"/>
    <col min="8194" max="8194" width="28.1640625" style="2" hidden="1"/>
    <col min="8195" max="8195" width="8.1640625" style="2" hidden="1"/>
    <col min="8196" max="8196" width="9.1640625" style="2" hidden="1"/>
    <col min="8197" max="8197" width="9.6640625" style="2" hidden="1"/>
    <col min="8198" max="8198" width="11.1640625" style="2" hidden="1"/>
    <col min="8199" max="8199" width="10.33203125" style="2" hidden="1"/>
    <col min="8200" max="8200" width="10.5" style="2" hidden="1"/>
    <col min="8201" max="8449" width="8" style="2" hidden="1"/>
    <col min="8450" max="8450" width="28.1640625" style="2" hidden="1"/>
    <col min="8451" max="8451" width="8.1640625" style="2" hidden="1"/>
    <col min="8452" max="8452" width="9.1640625" style="2" hidden="1"/>
    <col min="8453" max="8453" width="9.6640625" style="2" hidden="1"/>
    <col min="8454" max="8454" width="11.1640625" style="2" hidden="1"/>
    <col min="8455" max="8455" width="10.33203125" style="2" hidden="1"/>
    <col min="8456" max="8456" width="10.5" style="2" hidden="1"/>
    <col min="8457" max="8705" width="8" style="2" hidden="1"/>
    <col min="8706" max="8706" width="28.1640625" style="2" hidden="1"/>
    <col min="8707" max="8707" width="8.1640625" style="2" hidden="1"/>
    <col min="8708" max="8708" width="9.1640625" style="2" hidden="1"/>
    <col min="8709" max="8709" width="9.6640625" style="2" hidden="1"/>
    <col min="8710" max="8710" width="11.1640625" style="2" hidden="1"/>
    <col min="8711" max="8711" width="10.33203125" style="2" hidden="1"/>
    <col min="8712" max="8712" width="10.5" style="2" hidden="1"/>
    <col min="8713" max="8961" width="8" style="2" hidden="1"/>
    <col min="8962" max="8962" width="28.1640625" style="2" hidden="1"/>
    <col min="8963" max="8963" width="8.1640625" style="2" hidden="1"/>
    <col min="8964" max="8964" width="9.1640625" style="2" hidden="1"/>
    <col min="8965" max="8965" width="9.6640625" style="2" hidden="1"/>
    <col min="8966" max="8966" width="11.1640625" style="2" hidden="1"/>
    <col min="8967" max="8967" width="10.33203125" style="2" hidden="1"/>
    <col min="8968" max="8968" width="10.5" style="2" hidden="1"/>
    <col min="8969" max="9217" width="9" style="2" hidden="1"/>
    <col min="9218" max="9218" width="28.1640625" style="2" hidden="1"/>
    <col min="9219" max="9219" width="8.1640625" style="2" hidden="1"/>
    <col min="9220" max="9220" width="9.1640625" style="2" hidden="1"/>
    <col min="9221" max="9221" width="9.6640625" style="2" hidden="1"/>
    <col min="9222" max="9222" width="11.1640625" style="2" hidden="1"/>
    <col min="9223" max="9223" width="10.33203125" style="2" hidden="1"/>
    <col min="9224" max="9224" width="10.5" style="2" hidden="1"/>
    <col min="9225" max="9473" width="8" style="2" hidden="1"/>
    <col min="9474" max="9474" width="28.1640625" style="2" hidden="1"/>
    <col min="9475" max="9475" width="8.1640625" style="2" hidden="1"/>
    <col min="9476" max="9476" width="9.1640625" style="2" hidden="1"/>
    <col min="9477" max="9477" width="9.6640625" style="2" hidden="1"/>
    <col min="9478" max="9478" width="11.1640625" style="2" hidden="1"/>
    <col min="9479" max="9479" width="10.33203125" style="2" hidden="1"/>
    <col min="9480" max="9480" width="10.5" style="2" hidden="1"/>
    <col min="9481" max="9729" width="8" style="2" hidden="1"/>
    <col min="9730" max="9730" width="28.1640625" style="2" hidden="1"/>
    <col min="9731" max="9731" width="8.1640625" style="2" hidden="1"/>
    <col min="9732" max="9732" width="9.1640625" style="2" hidden="1"/>
    <col min="9733" max="9733" width="9.6640625" style="2" hidden="1"/>
    <col min="9734" max="9734" width="11.1640625" style="2" hidden="1"/>
    <col min="9735" max="9735" width="10.33203125" style="2" hidden="1"/>
    <col min="9736" max="9736" width="10.5" style="2" hidden="1"/>
    <col min="9737" max="9985" width="8" style="2" hidden="1"/>
    <col min="9986" max="9986" width="28.1640625" style="2" hidden="1"/>
    <col min="9987" max="9987" width="8.1640625" style="2" hidden="1"/>
    <col min="9988" max="9988" width="9.1640625" style="2" hidden="1"/>
    <col min="9989" max="9989" width="9.6640625" style="2" hidden="1"/>
    <col min="9990" max="9990" width="11.1640625" style="2" hidden="1"/>
    <col min="9991" max="9991" width="10.33203125" style="2" hidden="1"/>
    <col min="9992" max="9992" width="10.5" style="2" hidden="1"/>
    <col min="9993" max="10241" width="9" style="2" hidden="1"/>
    <col min="10242" max="10242" width="28.1640625" style="2" hidden="1"/>
    <col min="10243" max="10243" width="8.1640625" style="2" hidden="1"/>
    <col min="10244" max="10244" width="9.1640625" style="2" hidden="1"/>
    <col min="10245" max="10245" width="9.6640625" style="2" hidden="1"/>
    <col min="10246" max="10246" width="11.1640625" style="2" hidden="1"/>
    <col min="10247" max="10247" width="10.33203125" style="2" hidden="1"/>
    <col min="10248" max="10248" width="10.5" style="2" hidden="1"/>
    <col min="10249" max="10497" width="8" style="2" hidden="1"/>
    <col min="10498" max="10498" width="28.1640625" style="2" hidden="1"/>
    <col min="10499" max="10499" width="8.1640625" style="2" hidden="1"/>
    <col min="10500" max="10500" width="9.1640625" style="2" hidden="1"/>
    <col min="10501" max="10501" width="9.6640625" style="2" hidden="1"/>
    <col min="10502" max="10502" width="11.1640625" style="2" hidden="1"/>
    <col min="10503" max="10503" width="10.33203125" style="2" hidden="1"/>
    <col min="10504" max="10504" width="10.5" style="2" hidden="1"/>
    <col min="10505" max="10753" width="8" style="2" hidden="1"/>
    <col min="10754" max="10754" width="28.1640625" style="2" hidden="1"/>
    <col min="10755" max="10755" width="8.1640625" style="2" hidden="1"/>
    <col min="10756" max="10756" width="9.1640625" style="2" hidden="1"/>
    <col min="10757" max="10757" width="9.6640625" style="2" hidden="1"/>
    <col min="10758" max="10758" width="11.1640625" style="2" hidden="1"/>
    <col min="10759" max="10759" width="10.33203125" style="2" hidden="1"/>
    <col min="10760" max="10760" width="10.5" style="2" hidden="1"/>
    <col min="10761" max="11009" width="8" style="2" hidden="1"/>
    <col min="11010" max="11010" width="28.1640625" style="2" hidden="1"/>
    <col min="11011" max="11011" width="8.1640625" style="2" hidden="1"/>
    <col min="11012" max="11012" width="9.1640625" style="2" hidden="1"/>
    <col min="11013" max="11013" width="9.6640625" style="2" hidden="1"/>
    <col min="11014" max="11014" width="11.1640625" style="2" hidden="1"/>
    <col min="11015" max="11015" width="10.33203125" style="2" hidden="1"/>
    <col min="11016" max="11016" width="10.5" style="2" hidden="1"/>
    <col min="11017" max="11265" width="9" style="2" hidden="1"/>
    <col min="11266" max="11266" width="28.1640625" style="2" hidden="1"/>
    <col min="11267" max="11267" width="8.1640625" style="2" hidden="1"/>
    <col min="11268" max="11268" width="9.1640625" style="2" hidden="1"/>
    <col min="11269" max="11269" width="9.6640625" style="2" hidden="1"/>
    <col min="11270" max="11270" width="11.1640625" style="2" hidden="1"/>
    <col min="11271" max="11271" width="10.33203125" style="2" hidden="1"/>
    <col min="11272" max="11272" width="10.5" style="2" hidden="1"/>
    <col min="11273" max="11521" width="8" style="2" hidden="1"/>
    <col min="11522" max="11522" width="28.1640625" style="2" hidden="1"/>
    <col min="11523" max="11523" width="8.1640625" style="2" hidden="1"/>
    <col min="11524" max="11524" width="9.1640625" style="2" hidden="1"/>
    <col min="11525" max="11525" width="9.6640625" style="2" hidden="1"/>
    <col min="11526" max="11526" width="11.1640625" style="2" hidden="1"/>
    <col min="11527" max="11527" width="10.33203125" style="2" hidden="1"/>
    <col min="11528" max="11528" width="10.5" style="2" hidden="1"/>
    <col min="11529" max="11777" width="8" style="2" hidden="1"/>
    <col min="11778" max="11778" width="28.1640625" style="2" hidden="1"/>
    <col min="11779" max="11779" width="8.1640625" style="2" hidden="1"/>
    <col min="11780" max="11780" width="9.1640625" style="2" hidden="1"/>
    <col min="11781" max="11781" width="9.6640625" style="2" hidden="1"/>
    <col min="11782" max="11782" width="11.1640625" style="2" hidden="1"/>
    <col min="11783" max="11783" width="10.33203125" style="2" hidden="1"/>
    <col min="11784" max="11784" width="10.5" style="2" hidden="1"/>
    <col min="11785" max="12033" width="8" style="2" hidden="1"/>
    <col min="12034" max="12034" width="28.1640625" style="2" hidden="1"/>
    <col min="12035" max="12035" width="8.1640625" style="2" hidden="1"/>
    <col min="12036" max="12036" width="9.1640625" style="2" hidden="1"/>
    <col min="12037" max="12037" width="9.6640625" style="2" hidden="1"/>
    <col min="12038" max="12038" width="11.1640625" style="2" hidden="1"/>
    <col min="12039" max="12039" width="10.33203125" style="2" hidden="1"/>
    <col min="12040" max="12040" width="10.5" style="2" hidden="1"/>
    <col min="12041" max="12289" width="9" style="2" hidden="1"/>
    <col min="12290" max="12290" width="28.1640625" style="2" hidden="1"/>
    <col min="12291" max="12291" width="8.1640625" style="2" hidden="1"/>
    <col min="12292" max="12292" width="9.1640625" style="2" hidden="1"/>
    <col min="12293" max="12293" width="9.6640625" style="2" hidden="1"/>
    <col min="12294" max="12294" width="11.1640625" style="2" hidden="1"/>
    <col min="12295" max="12295" width="10.33203125" style="2" hidden="1"/>
    <col min="12296" max="12296" width="10.5" style="2" hidden="1"/>
    <col min="12297" max="12545" width="8" style="2" hidden="1"/>
    <col min="12546" max="12546" width="28.1640625" style="2" hidden="1"/>
    <col min="12547" max="12547" width="8.1640625" style="2" hidden="1"/>
    <col min="12548" max="12548" width="9.1640625" style="2" hidden="1"/>
    <col min="12549" max="12549" width="9.6640625" style="2" hidden="1"/>
    <col min="12550" max="12550" width="11.1640625" style="2" hidden="1"/>
    <col min="12551" max="12551" width="10.33203125" style="2" hidden="1"/>
    <col min="12552" max="12552" width="10.5" style="2" hidden="1"/>
    <col min="12553" max="12801" width="8" style="2" hidden="1"/>
    <col min="12802" max="12802" width="28.1640625" style="2" hidden="1"/>
    <col min="12803" max="12803" width="8.1640625" style="2" hidden="1"/>
    <col min="12804" max="12804" width="9.1640625" style="2" hidden="1"/>
    <col min="12805" max="12805" width="9.6640625" style="2" hidden="1"/>
    <col min="12806" max="12806" width="11.1640625" style="2" hidden="1"/>
    <col min="12807" max="12807" width="10.33203125" style="2" hidden="1"/>
    <col min="12808" max="12808" width="10.5" style="2" hidden="1"/>
    <col min="12809" max="13057" width="8" style="2" hidden="1"/>
    <col min="13058" max="13058" width="28.1640625" style="2" hidden="1"/>
    <col min="13059" max="13059" width="8.1640625" style="2" hidden="1"/>
    <col min="13060" max="13060" width="9.1640625" style="2" hidden="1"/>
    <col min="13061" max="13061" width="9.6640625" style="2" hidden="1"/>
    <col min="13062" max="13062" width="11.1640625" style="2" hidden="1"/>
    <col min="13063" max="13063" width="10.33203125" style="2" hidden="1"/>
    <col min="13064" max="13064" width="10.5" style="2" hidden="1"/>
    <col min="13065" max="13313" width="9" style="2" hidden="1"/>
    <col min="13314" max="13314" width="28.1640625" style="2" hidden="1"/>
    <col min="13315" max="13315" width="8.1640625" style="2" hidden="1"/>
    <col min="13316" max="13316" width="9.1640625" style="2" hidden="1"/>
    <col min="13317" max="13317" width="9.6640625" style="2" hidden="1"/>
    <col min="13318" max="13318" width="11.1640625" style="2" hidden="1"/>
    <col min="13319" max="13319" width="10.33203125" style="2" hidden="1"/>
    <col min="13320" max="13320" width="10.5" style="2" hidden="1"/>
    <col min="13321" max="13569" width="8" style="2" hidden="1"/>
    <col min="13570" max="13570" width="28.1640625" style="2" hidden="1"/>
    <col min="13571" max="13571" width="8.1640625" style="2" hidden="1"/>
    <col min="13572" max="13572" width="9.1640625" style="2" hidden="1"/>
    <col min="13573" max="13573" width="9.6640625" style="2" hidden="1"/>
    <col min="13574" max="13574" width="11.1640625" style="2" hidden="1"/>
    <col min="13575" max="13575" width="10.33203125" style="2" hidden="1"/>
    <col min="13576" max="13576" width="10.5" style="2" hidden="1"/>
    <col min="13577" max="13825" width="8" style="2" hidden="1"/>
    <col min="13826" max="13826" width="28.1640625" style="2" hidden="1"/>
    <col min="13827" max="13827" width="8.1640625" style="2" hidden="1"/>
    <col min="13828" max="13828" width="9.1640625" style="2" hidden="1"/>
    <col min="13829" max="13829" width="9.6640625" style="2" hidden="1"/>
    <col min="13830" max="13830" width="11.1640625" style="2" hidden="1"/>
    <col min="13831" max="13831" width="10.33203125" style="2" hidden="1"/>
    <col min="13832" max="13832" width="10.5" style="2" hidden="1"/>
    <col min="13833" max="14081" width="8" style="2" hidden="1"/>
    <col min="14082" max="14082" width="28.1640625" style="2" hidden="1"/>
    <col min="14083" max="14083" width="8.1640625" style="2" hidden="1"/>
    <col min="14084" max="14084" width="9.1640625" style="2" hidden="1"/>
    <col min="14085" max="14085" width="9.6640625" style="2" hidden="1"/>
    <col min="14086" max="14086" width="11.1640625" style="2" hidden="1"/>
    <col min="14087" max="14087" width="10.33203125" style="2" hidden="1"/>
    <col min="14088" max="14088" width="10.5" style="2" hidden="1"/>
    <col min="14089" max="14337" width="9" style="2" hidden="1"/>
    <col min="14338" max="14338" width="28.1640625" style="2" hidden="1"/>
    <col min="14339" max="14339" width="8.1640625" style="2" hidden="1"/>
    <col min="14340" max="14340" width="9.1640625" style="2" hidden="1"/>
    <col min="14341" max="14341" width="9.6640625" style="2" hidden="1"/>
    <col min="14342" max="14342" width="11.1640625" style="2" hidden="1"/>
    <col min="14343" max="14343" width="10.33203125" style="2" hidden="1"/>
    <col min="14344" max="14344" width="10.5" style="2" hidden="1"/>
    <col min="14345" max="14593" width="8" style="2" hidden="1"/>
    <col min="14594" max="14594" width="28.1640625" style="2" hidden="1"/>
    <col min="14595" max="14595" width="8.1640625" style="2" hidden="1"/>
    <col min="14596" max="14596" width="9.1640625" style="2" hidden="1"/>
    <col min="14597" max="14597" width="9.6640625" style="2" hidden="1"/>
    <col min="14598" max="14598" width="11.1640625" style="2" hidden="1"/>
    <col min="14599" max="14599" width="10.33203125" style="2" hidden="1"/>
    <col min="14600" max="14600" width="10.5" style="2" hidden="1"/>
    <col min="14601" max="14849" width="8" style="2" hidden="1"/>
    <col min="14850" max="14850" width="28.1640625" style="2" hidden="1"/>
    <col min="14851" max="14851" width="8.1640625" style="2" hidden="1"/>
    <col min="14852" max="14852" width="9.1640625" style="2" hidden="1"/>
    <col min="14853" max="14853" width="9.6640625" style="2" hidden="1"/>
    <col min="14854" max="14854" width="11.1640625" style="2" hidden="1"/>
    <col min="14855" max="14855" width="10.33203125" style="2" hidden="1"/>
    <col min="14856" max="14856" width="10.5" style="2" hidden="1"/>
    <col min="14857" max="15105" width="8" style="2" hidden="1"/>
    <col min="15106" max="15106" width="28.1640625" style="2" hidden="1"/>
    <col min="15107" max="15107" width="8.1640625" style="2" hidden="1"/>
    <col min="15108" max="15108" width="9.1640625" style="2" hidden="1"/>
    <col min="15109" max="15109" width="9.6640625" style="2" hidden="1"/>
    <col min="15110" max="15110" width="11.1640625" style="2" hidden="1"/>
    <col min="15111" max="15111" width="10.33203125" style="2" hidden="1"/>
    <col min="15112" max="15112" width="10.5" style="2" hidden="1"/>
    <col min="15113" max="15361" width="9" style="2" hidden="1"/>
    <col min="15362" max="15362" width="28.1640625" style="2" hidden="1"/>
    <col min="15363" max="15363" width="8.1640625" style="2" hidden="1"/>
    <col min="15364" max="15364" width="9.1640625" style="2" hidden="1"/>
    <col min="15365" max="15365" width="9.6640625" style="2" hidden="1"/>
    <col min="15366" max="15366" width="11.1640625" style="2" hidden="1"/>
    <col min="15367" max="15367" width="10.33203125" style="2" hidden="1"/>
    <col min="15368" max="15368" width="10.5" style="2" hidden="1"/>
    <col min="15369" max="15617" width="8" style="2" hidden="1"/>
    <col min="15618" max="15618" width="28.1640625" style="2" hidden="1"/>
    <col min="15619" max="15619" width="8.1640625" style="2" hidden="1"/>
    <col min="15620" max="15620" width="9.1640625" style="2" hidden="1"/>
    <col min="15621" max="15621" width="9.6640625" style="2" hidden="1"/>
    <col min="15622" max="15622" width="11.1640625" style="2" hidden="1"/>
    <col min="15623" max="15623" width="10.33203125" style="2" hidden="1"/>
    <col min="15624" max="15624" width="10.5" style="2" hidden="1"/>
    <col min="15625" max="15873" width="8" style="2" hidden="1"/>
    <col min="15874" max="15874" width="28.1640625" style="2" hidden="1"/>
    <col min="15875" max="15875" width="8.1640625" style="2" hidden="1"/>
    <col min="15876" max="15876" width="9.1640625" style="2" hidden="1"/>
    <col min="15877" max="15877" width="9.6640625" style="2" hidden="1"/>
    <col min="15878" max="15878" width="11.1640625" style="2" hidden="1"/>
    <col min="15879" max="15879" width="10.33203125" style="2" hidden="1"/>
    <col min="15880" max="15880" width="10.5" style="2" hidden="1"/>
    <col min="15881" max="16129" width="8" style="2" hidden="1"/>
    <col min="16130" max="16130" width="28.1640625" style="2" hidden="1"/>
    <col min="16131" max="16131" width="8.1640625" style="2" hidden="1"/>
    <col min="16132" max="16132" width="9.1640625" style="2" hidden="1"/>
    <col min="16133" max="16133" width="9.6640625" style="2" hidden="1"/>
    <col min="16134" max="16134" width="11.1640625" style="2" hidden="1"/>
    <col min="16135" max="16135" width="10.33203125" style="2" hidden="1"/>
    <col min="16136" max="16136" width="10.5" style="2" hidden="1"/>
    <col min="16137" max="16384" width="9" style="2" hidden="1"/>
  </cols>
  <sheetData>
    <row r="1" spans="2:8">
      <c r="B1" s="2" t="s">
        <v>28</v>
      </c>
      <c r="F1" s="3" t="s">
        <v>29</v>
      </c>
    </row>
    <row r="2" spans="2:8" ht="4.5" customHeight="1" thickBot="1"/>
    <row r="3" spans="2:8" ht="20.25" customHeight="1">
      <c r="B3" s="341" t="s">
        <v>873</v>
      </c>
      <c r="C3" s="342"/>
      <c r="D3" s="342"/>
      <c r="E3" s="342"/>
      <c r="F3" s="343"/>
      <c r="G3" s="18"/>
      <c r="H3" s="34"/>
    </row>
    <row r="4" spans="2:8" ht="6" customHeight="1">
      <c r="B4" s="4"/>
      <c r="C4" s="10"/>
      <c r="E4" s="10"/>
      <c r="F4" s="15"/>
      <c r="G4" s="18"/>
      <c r="H4" s="18"/>
    </row>
    <row r="5" spans="2:8">
      <c r="B5" s="77" t="s">
        <v>399</v>
      </c>
      <c r="C5" s="78" t="s">
        <v>4</v>
      </c>
      <c r="D5" s="78" t="s">
        <v>9</v>
      </c>
      <c r="E5" s="79" t="s">
        <v>30</v>
      </c>
      <c r="F5" s="36" t="s">
        <v>31</v>
      </c>
      <c r="G5" s="18"/>
      <c r="H5" s="18"/>
    </row>
    <row r="6" spans="2:8">
      <c r="B6" s="7" t="s">
        <v>32</v>
      </c>
      <c r="C6" s="8" t="s">
        <v>33</v>
      </c>
      <c r="D6" s="71">
        <f>'Input quantities'!D5</f>
        <v>45</v>
      </c>
      <c r="E6" s="10">
        <v>22</v>
      </c>
      <c r="F6" s="12">
        <f>D6*E6</f>
        <v>990</v>
      </c>
      <c r="G6" s="99" t="s">
        <v>66</v>
      </c>
      <c r="H6" s="99"/>
    </row>
    <row r="7" spans="2:8">
      <c r="B7" s="7" t="s">
        <v>34</v>
      </c>
      <c r="C7" s="72"/>
      <c r="D7" s="72">
        <v>0</v>
      </c>
      <c r="E7" s="73">
        <v>0</v>
      </c>
      <c r="F7" s="12">
        <f>D7*E7</f>
        <v>0</v>
      </c>
      <c r="G7" s="35"/>
      <c r="H7" s="35"/>
    </row>
    <row r="8" spans="2:8">
      <c r="B8" s="13" t="s">
        <v>35</v>
      </c>
      <c r="C8" s="10"/>
      <c r="D8" s="86"/>
      <c r="E8" s="10"/>
      <c r="F8" s="16">
        <v>15</v>
      </c>
      <c r="G8" s="35"/>
      <c r="H8" s="35"/>
    </row>
    <row r="9" spans="2:8">
      <c r="B9" s="13" t="s">
        <v>36</v>
      </c>
      <c r="C9" s="10"/>
      <c r="D9" s="86"/>
      <c r="E9" s="10"/>
      <c r="F9" s="89">
        <v>0</v>
      </c>
      <c r="G9" s="35"/>
      <c r="H9" s="35"/>
    </row>
    <row r="10" spans="2:8">
      <c r="B10" s="83" t="s">
        <v>404</v>
      </c>
      <c r="C10" s="5"/>
      <c r="D10" s="19"/>
      <c r="E10" s="19"/>
      <c r="F10" s="84">
        <f>SUM(F6:F9)</f>
        <v>1005</v>
      </c>
      <c r="G10" s="10"/>
      <c r="H10" s="10"/>
    </row>
    <row r="11" spans="2:8">
      <c r="B11" s="9"/>
      <c r="C11" s="10"/>
      <c r="D11" s="11"/>
      <c r="E11" s="10"/>
      <c r="F11" s="12"/>
      <c r="G11" s="10"/>
      <c r="H11" s="10"/>
    </row>
    <row r="12" spans="2:8">
      <c r="B12" s="80" t="s">
        <v>400</v>
      </c>
      <c r="C12" s="90" t="s">
        <v>37</v>
      </c>
      <c r="D12" s="90" t="s">
        <v>30</v>
      </c>
      <c r="E12" s="10"/>
      <c r="F12" s="12"/>
      <c r="G12" s="37"/>
      <c r="H12" s="37"/>
    </row>
    <row r="13" spans="2:8">
      <c r="B13" s="13" t="s">
        <v>20</v>
      </c>
      <c r="C13" s="91">
        <v>200000</v>
      </c>
      <c r="D13" s="75">
        <f>'Input prices'!G15</f>
        <v>75</v>
      </c>
      <c r="F13" s="12">
        <f>D13*C13/'Input quantities'!D10</f>
        <v>107.14285714285714</v>
      </c>
      <c r="G13" s="10"/>
      <c r="H13" s="10"/>
    </row>
    <row r="14" spans="2:8">
      <c r="B14" s="13" t="s">
        <v>859</v>
      </c>
      <c r="C14" s="74"/>
      <c r="D14" s="75"/>
      <c r="E14" s="98"/>
      <c r="F14" s="12">
        <f>SUM(E15:E19)</f>
        <v>107</v>
      </c>
      <c r="G14" s="10"/>
      <c r="H14" s="10"/>
    </row>
    <row r="15" spans="2:8">
      <c r="B15" s="14" t="s">
        <v>860</v>
      </c>
      <c r="C15" s="74"/>
      <c r="D15" s="75"/>
      <c r="E15" s="97">
        <f>C15*D15</f>
        <v>0</v>
      </c>
      <c r="F15" s="12"/>
      <c r="G15" s="10"/>
      <c r="H15" s="10"/>
    </row>
    <row r="16" spans="2:8">
      <c r="B16" s="14" t="s">
        <v>861</v>
      </c>
      <c r="C16" s="74">
        <v>1</v>
      </c>
      <c r="D16" s="75">
        <v>55</v>
      </c>
      <c r="E16" s="97">
        <f>C16*D16</f>
        <v>55</v>
      </c>
      <c r="F16" s="12"/>
      <c r="G16" s="10"/>
      <c r="H16" s="10"/>
    </row>
    <row r="17" spans="2:8">
      <c r="B17" s="14" t="s">
        <v>862</v>
      </c>
      <c r="C17" s="74">
        <v>1</v>
      </c>
      <c r="D17" s="75">
        <v>52</v>
      </c>
      <c r="E17" s="97">
        <f>C17*D17</f>
        <v>52</v>
      </c>
      <c r="F17" s="12"/>
      <c r="G17" s="10"/>
      <c r="H17" s="10"/>
    </row>
    <row r="18" spans="2:8">
      <c r="B18" s="14" t="s">
        <v>759</v>
      </c>
      <c r="C18" s="74"/>
      <c r="D18" s="75"/>
      <c r="E18" s="97">
        <f>D18*C18</f>
        <v>0</v>
      </c>
      <c r="F18" s="12"/>
      <c r="G18" s="10"/>
      <c r="H18" s="10"/>
    </row>
    <row r="19" spans="2:8">
      <c r="B19" s="14" t="s">
        <v>13</v>
      </c>
      <c r="C19" s="74">
        <v>0</v>
      </c>
      <c r="D19" s="75">
        <f>IF('Input prices'!$G14&gt;0,'Input prices'!$G14,'Input prices'!$D14)</f>
        <v>30</v>
      </c>
      <c r="E19" s="97">
        <f>C19*D19</f>
        <v>0</v>
      </c>
      <c r="F19" s="15"/>
      <c r="G19" s="10"/>
      <c r="H19" s="10"/>
    </row>
    <row r="20" spans="2:8">
      <c r="B20" s="13" t="s">
        <v>39</v>
      </c>
      <c r="C20" s="74"/>
      <c r="D20" s="75"/>
      <c r="E20" s="97"/>
      <c r="F20" s="12">
        <f>E21+E22+E23</f>
        <v>100</v>
      </c>
      <c r="G20" s="10"/>
      <c r="H20" s="10"/>
    </row>
    <row r="21" spans="2:8">
      <c r="B21" s="14" t="s">
        <v>863</v>
      </c>
      <c r="C21" s="74"/>
      <c r="D21" s="75"/>
      <c r="E21" s="97">
        <f>C21*D21</f>
        <v>0</v>
      </c>
      <c r="F21" s="12"/>
      <c r="G21" s="18"/>
      <c r="H21" s="18"/>
    </row>
    <row r="22" spans="2:8">
      <c r="B22" s="14" t="s">
        <v>874</v>
      </c>
      <c r="C22" s="74">
        <v>4</v>
      </c>
      <c r="D22" s="75">
        <v>25</v>
      </c>
      <c r="E22" s="97">
        <f>C22*D22</f>
        <v>100</v>
      </c>
      <c r="F22" s="12"/>
      <c r="G22" s="18"/>
      <c r="H22" s="18"/>
    </row>
    <row r="23" spans="2:8">
      <c r="B23" s="14" t="s">
        <v>865</v>
      </c>
      <c r="C23" s="74"/>
      <c r="D23" s="75"/>
      <c r="E23" s="97">
        <f t="shared" ref="E23" si="0">C23*D23</f>
        <v>0</v>
      </c>
      <c r="F23" s="12"/>
      <c r="G23" s="18"/>
      <c r="H23" s="18"/>
    </row>
    <row r="24" spans="2:8">
      <c r="B24" s="13" t="s">
        <v>788</v>
      </c>
      <c r="C24" s="243" t="str">
        <f>IF('Input quantities'!D6&gt;'Input quantities'!E25,'Input quantities'!D6-'Input quantities'!E25,"-")</f>
        <v>-</v>
      </c>
      <c r="D24" s="75">
        <f>'Input prices'!D19</f>
        <v>0.05</v>
      </c>
      <c r="E24" s="97"/>
      <c r="F24" s="12">
        <f>IFERROR(C24*100*D24*D6,0)</f>
        <v>0</v>
      </c>
      <c r="G24" s="10"/>
      <c r="H24" s="10"/>
    </row>
    <row r="25" spans="2:8">
      <c r="B25" s="13" t="s">
        <v>40</v>
      </c>
      <c r="C25" s="74"/>
      <c r="D25" s="75"/>
      <c r="E25" s="10"/>
      <c r="F25" s="16">
        <v>8.5</v>
      </c>
      <c r="G25" s="10"/>
      <c r="H25" s="10"/>
    </row>
    <row r="26" spans="2:8">
      <c r="B26" s="13" t="s">
        <v>41</v>
      </c>
      <c r="C26" s="74"/>
      <c r="D26" s="75"/>
      <c r="E26" s="10"/>
      <c r="F26" s="16">
        <v>26</v>
      </c>
      <c r="G26" s="10"/>
      <c r="H26" s="10"/>
    </row>
    <row r="27" spans="2:8">
      <c r="B27" s="13" t="s">
        <v>42</v>
      </c>
      <c r="C27" s="74"/>
      <c r="D27" s="75"/>
      <c r="E27" s="10"/>
      <c r="F27" s="237">
        <f>G69</f>
        <v>0</v>
      </c>
      <c r="G27" s="10"/>
      <c r="H27" s="10"/>
    </row>
    <row r="28" spans="2:8">
      <c r="B28" s="13" t="s">
        <v>835</v>
      </c>
      <c r="C28" s="74">
        <f>D83</f>
        <v>0.78329731892757115</v>
      </c>
      <c r="D28" s="75">
        <f>'Input prices'!D20</f>
        <v>26</v>
      </c>
      <c r="E28" s="10"/>
      <c r="F28" s="237">
        <f>D28*C28</f>
        <v>20.365730292116851</v>
      </c>
      <c r="G28" s="10"/>
      <c r="H28" s="10"/>
    </row>
    <row r="29" spans="2:8">
      <c r="B29" s="13" t="s">
        <v>774</v>
      </c>
      <c r="C29" s="74">
        <f>E83</f>
        <v>5.1790512204881951</v>
      </c>
      <c r="D29" s="75">
        <f>'Input prices'!D21</f>
        <v>3.25</v>
      </c>
      <c r="E29" s="10"/>
      <c r="F29" s="237">
        <f>C29*D29</f>
        <v>16.831916466586634</v>
      </c>
      <c r="G29" s="10"/>
      <c r="H29" s="10"/>
    </row>
    <row r="30" spans="2:8">
      <c r="B30" s="13" t="s">
        <v>43</v>
      </c>
      <c r="C30" s="74"/>
      <c r="D30" s="75"/>
      <c r="E30" s="10"/>
      <c r="F30" s="237">
        <f>F83-F29-F28</f>
        <v>28.581316183223436</v>
      </c>
      <c r="G30" s="10"/>
      <c r="H30" s="10"/>
    </row>
    <row r="31" spans="2:8">
      <c r="B31" s="13" t="s">
        <v>395</v>
      </c>
      <c r="C31" s="74"/>
      <c r="D31" s="75"/>
      <c r="E31" s="10"/>
      <c r="F31" s="237">
        <f>F10*0.03</f>
        <v>30.15</v>
      </c>
      <c r="G31" s="10"/>
      <c r="H31" s="10"/>
    </row>
    <row r="32" spans="2:8">
      <c r="B32" s="13" t="s">
        <v>44</v>
      </c>
      <c r="C32" s="74"/>
      <c r="D32" s="75"/>
      <c r="E32" s="10"/>
      <c r="F32" s="16">
        <v>0</v>
      </c>
      <c r="G32" s="10"/>
      <c r="H32" s="10"/>
    </row>
    <row r="33" spans="2:8">
      <c r="B33" s="13" t="s">
        <v>16</v>
      </c>
      <c r="C33" s="85">
        <f>SUM(F13:F32)/2</f>
        <v>222.285910042392</v>
      </c>
      <c r="D33" s="76">
        <f>'Input prices'!D22</f>
        <v>0.09</v>
      </c>
      <c r="E33" s="74"/>
      <c r="F33" s="17">
        <f>D33*C33</f>
        <v>20.005731903815281</v>
      </c>
      <c r="G33" s="10"/>
      <c r="H33" s="10"/>
    </row>
    <row r="34" spans="2:8">
      <c r="B34" s="82" t="s">
        <v>402</v>
      </c>
      <c r="C34" s="10"/>
      <c r="D34" s="11"/>
      <c r="E34" s="10"/>
      <c r="F34" s="81">
        <f>SUM(F13:F33)</f>
        <v>464.57755198859928</v>
      </c>
      <c r="G34" s="10"/>
      <c r="H34" s="10"/>
    </row>
    <row r="35" spans="2:8">
      <c r="B35" s="9"/>
      <c r="C35" s="10"/>
      <c r="D35" s="11"/>
      <c r="E35" s="10"/>
      <c r="F35" s="15"/>
      <c r="G35" s="37"/>
      <c r="H35" s="37"/>
    </row>
    <row r="36" spans="2:8">
      <c r="B36" s="80" t="s">
        <v>401</v>
      </c>
      <c r="C36" s="10"/>
      <c r="D36" s="11"/>
      <c r="E36" s="10"/>
      <c r="F36" s="12"/>
      <c r="G36" s="10"/>
      <c r="H36" s="10"/>
    </row>
    <row r="37" spans="2:8">
      <c r="B37" s="13" t="s">
        <v>26</v>
      </c>
      <c r="C37" s="18"/>
      <c r="D37" s="11"/>
      <c r="E37" s="10"/>
      <c r="F37" s="12">
        <f>F10*'Input prices'!D25</f>
        <v>10.050000000000001</v>
      </c>
      <c r="G37" s="10"/>
      <c r="H37" s="10"/>
    </row>
    <row r="38" spans="2:8">
      <c r="B38" s="13" t="s">
        <v>412</v>
      </c>
      <c r="C38" s="10"/>
      <c r="D38" s="11"/>
      <c r="E38" s="10"/>
      <c r="F38" s="12">
        <f>G83</f>
        <v>80.082641980829493</v>
      </c>
      <c r="G38" s="10"/>
      <c r="H38" s="10"/>
    </row>
    <row r="39" spans="2:8">
      <c r="B39" s="13" t="s">
        <v>45</v>
      </c>
      <c r="C39" s="10"/>
      <c r="D39" s="11"/>
      <c r="E39" s="10"/>
      <c r="F39" s="17">
        <f>IF('Input prices'!D26&gt;0,'Input prices'!D26,'Input prices'!G26)</f>
        <v>185</v>
      </c>
      <c r="G39" s="10"/>
      <c r="H39" s="10"/>
    </row>
    <row r="40" spans="2:8">
      <c r="B40" s="82" t="s">
        <v>403</v>
      </c>
      <c r="C40" s="10"/>
      <c r="D40" s="11"/>
      <c r="E40" s="10"/>
      <c r="F40" s="81">
        <f>SUM(F37:F39)</f>
        <v>275.13264198082948</v>
      </c>
      <c r="G40" s="10"/>
      <c r="H40" s="10"/>
    </row>
    <row r="41" spans="2:8">
      <c r="B41" s="9"/>
      <c r="C41" s="10"/>
      <c r="D41" s="11"/>
      <c r="E41" s="10"/>
      <c r="F41" s="70"/>
      <c r="G41" s="37"/>
      <c r="H41" s="37"/>
    </row>
    <row r="42" spans="2:8" ht="15" customHeight="1">
      <c r="B42" s="82" t="s">
        <v>405</v>
      </c>
      <c r="C42" s="10"/>
      <c r="D42" s="11"/>
      <c r="E42" s="11"/>
      <c r="F42" s="81">
        <f>F34+F40</f>
        <v>739.7101939694287</v>
      </c>
      <c r="G42" s="10"/>
      <c r="H42" s="10"/>
    </row>
    <row r="43" spans="2:8">
      <c r="B43" s="94"/>
      <c r="C43" s="92"/>
      <c r="D43" s="93"/>
      <c r="E43" s="92"/>
      <c r="F43" s="95"/>
      <c r="G43" s="37"/>
      <c r="H43" s="37"/>
    </row>
    <row r="44" spans="2:8">
      <c r="B44" s="87" t="s">
        <v>396</v>
      </c>
      <c r="C44" s="10"/>
      <c r="D44" s="11"/>
      <c r="E44" s="10"/>
      <c r="F44" s="6">
        <f>F10-F34</f>
        <v>540.42244801140077</v>
      </c>
      <c r="G44" s="18"/>
      <c r="H44" s="10"/>
    </row>
    <row r="45" spans="2:8">
      <c r="B45" s="87" t="s">
        <v>397</v>
      </c>
      <c r="C45" s="10"/>
      <c r="D45" s="11"/>
      <c r="E45" s="10"/>
      <c r="F45" s="6">
        <f>F10-F42</f>
        <v>265.2898060305713</v>
      </c>
      <c r="G45" s="10"/>
      <c r="H45" s="10"/>
    </row>
    <row r="46" spans="2:8">
      <c r="B46" s="96" t="s">
        <v>398</v>
      </c>
      <c r="C46" s="5"/>
      <c r="D46" s="19"/>
      <c r="E46" s="5"/>
      <c r="F46" s="36">
        <f>F10-F42+F39+F31</f>
        <v>480.43980603057128</v>
      </c>
      <c r="G46" s="10"/>
      <c r="H46" s="10"/>
    </row>
    <row r="47" spans="2:8">
      <c r="B47" s="9"/>
      <c r="C47" s="10"/>
      <c r="D47" s="10" t="s">
        <v>46</v>
      </c>
      <c r="E47" s="10"/>
      <c r="F47" s="12">
        <f>F34/D6</f>
        <v>10.323945599746651</v>
      </c>
      <c r="G47" s="18"/>
      <c r="H47" s="18"/>
    </row>
    <row r="48" spans="2:8">
      <c r="B48" s="9"/>
      <c r="C48" s="10"/>
      <c r="D48" s="10" t="s">
        <v>47</v>
      </c>
      <c r="E48" s="10"/>
      <c r="F48" s="12">
        <f>F40/D6</f>
        <v>6.1140587106850992</v>
      </c>
      <c r="G48" s="10"/>
      <c r="H48" s="10"/>
    </row>
    <row r="49" spans="2:8" ht="17" thickBot="1">
      <c r="B49" s="20"/>
      <c r="C49" s="21"/>
      <c r="D49" s="21" t="s">
        <v>48</v>
      </c>
      <c r="E49" s="21"/>
      <c r="F49" s="38">
        <f>F42/D6</f>
        <v>16.438004310431747</v>
      </c>
      <c r="G49" s="10"/>
      <c r="H49" s="10"/>
    </row>
    <row r="50" spans="2:8">
      <c r="B50" s="18"/>
      <c r="C50" s="10"/>
      <c r="D50" s="11"/>
      <c r="E50" s="10"/>
      <c r="F50" s="18"/>
      <c r="G50" s="10"/>
      <c r="H50" s="10"/>
    </row>
    <row r="51" spans="2:8">
      <c r="B51" s="18"/>
      <c r="C51" s="10"/>
      <c r="D51" s="11"/>
      <c r="E51" s="10"/>
      <c r="F51" s="18"/>
      <c r="G51" s="10"/>
      <c r="H51" s="10"/>
    </row>
    <row r="52" spans="2:8">
      <c r="B52" s="18"/>
      <c r="C52" s="10"/>
      <c r="D52" s="10"/>
      <c r="E52" s="10"/>
      <c r="F52" s="10"/>
      <c r="G52" s="10"/>
      <c r="H52" s="10"/>
    </row>
    <row r="53" spans="2:8">
      <c r="G53" s="18"/>
      <c r="H53" s="18"/>
    </row>
    <row r="54" spans="2:8">
      <c r="B54" s="22" t="str">
        <f>"Detailed Report: "&amp;B3</f>
        <v>Detailed Report: Organic Soybean Enterprise Budget</v>
      </c>
      <c r="C54" s="23"/>
      <c r="D54" s="24"/>
      <c r="E54" s="23"/>
      <c r="F54" s="25"/>
      <c r="G54" s="26"/>
    </row>
    <row r="55" spans="2:8">
      <c r="C55" s="27"/>
      <c r="D55" s="24"/>
      <c r="E55" s="25"/>
      <c r="F55" s="25"/>
      <c r="G55" s="25"/>
    </row>
    <row r="56" spans="2:8">
      <c r="B56" s="28" t="s">
        <v>49</v>
      </c>
      <c r="C56" s="29" t="s">
        <v>50</v>
      </c>
      <c r="D56" s="30"/>
      <c r="E56" s="28" t="s">
        <v>51</v>
      </c>
      <c r="F56" s="28"/>
      <c r="G56" s="31"/>
      <c r="H56" s="29" t="s">
        <v>52</v>
      </c>
    </row>
    <row r="57" spans="2:8">
      <c r="B57" s="267" t="s">
        <v>53</v>
      </c>
      <c r="C57" s="268">
        <f>D6</f>
        <v>45</v>
      </c>
      <c r="D57" s="269"/>
      <c r="E57" s="267" t="s">
        <v>384</v>
      </c>
      <c r="F57" s="59"/>
      <c r="G57" s="59"/>
      <c r="H57" s="269">
        <f>E6</f>
        <v>22</v>
      </c>
    </row>
    <row r="58" spans="2:8">
      <c r="B58" s="267" t="s">
        <v>54</v>
      </c>
      <c r="C58" s="270">
        <f>C13</f>
        <v>200000</v>
      </c>
      <c r="D58" s="269"/>
      <c r="E58" s="267" t="str">
        <f>"Seed, per "&amp;'Input quantities'!D10&amp;" seed bag"</f>
        <v>Seed, per 140000 seed bag</v>
      </c>
      <c r="F58" s="59"/>
      <c r="G58" s="59"/>
      <c r="H58" s="269">
        <f>D13</f>
        <v>75</v>
      </c>
    </row>
    <row r="59" spans="2:8">
      <c r="B59" s="267" t="s">
        <v>836</v>
      </c>
      <c r="C59" s="304">
        <f>C19</f>
        <v>0</v>
      </c>
      <c r="D59" s="269"/>
      <c r="E59" s="267" t="s">
        <v>837</v>
      </c>
      <c r="F59" s="267"/>
      <c r="G59" s="59"/>
      <c r="H59" s="269">
        <f>D19</f>
        <v>30</v>
      </c>
    </row>
    <row r="60" spans="2:8">
      <c r="B60" s="267" t="s">
        <v>55</v>
      </c>
      <c r="C60" s="271">
        <f>D83</f>
        <v>0.78329731892757115</v>
      </c>
      <c r="D60" s="269"/>
      <c r="E60" s="267" t="s">
        <v>56</v>
      </c>
      <c r="F60" s="267"/>
      <c r="G60" s="59"/>
      <c r="H60" s="269">
        <f>'Input prices'!D20</f>
        <v>26</v>
      </c>
    </row>
    <row r="61" spans="2:8">
      <c r="B61" s="59" t="s">
        <v>838</v>
      </c>
      <c r="C61" s="305">
        <f>D33</f>
        <v>0.09</v>
      </c>
      <c r="D61" s="59"/>
      <c r="E61" s="267" t="s">
        <v>57</v>
      </c>
      <c r="F61" s="267"/>
      <c r="G61" s="59"/>
      <c r="H61" s="269">
        <f>'Input prices'!D21</f>
        <v>3.25</v>
      </c>
    </row>
    <row r="62" spans="2:8">
      <c r="E62" s="25"/>
      <c r="F62" s="25"/>
      <c r="H62" s="24"/>
    </row>
    <row r="63" spans="2:8">
      <c r="B63" s="28" t="s">
        <v>766</v>
      </c>
      <c r="C63" s="266" t="s">
        <v>767</v>
      </c>
      <c r="D63" s="220"/>
      <c r="E63" s="220"/>
      <c r="F63" s="220"/>
      <c r="G63" s="220"/>
      <c r="H63" s="59"/>
    </row>
    <row r="64" spans="2:8">
      <c r="B64" s="280" t="s">
        <v>594</v>
      </c>
      <c r="C64" s="280" t="s">
        <v>596</v>
      </c>
      <c r="D64" s="281" t="s">
        <v>15</v>
      </c>
      <c r="E64" s="282" t="s">
        <v>601</v>
      </c>
      <c r="F64" s="282" t="s">
        <v>787</v>
      </c>
      <c r="G64" s="280" t="s">
        <v>768</v>
      </c>
    </row>
    <row r="65" spans="2:8">
      <c r="B65" s="228" t="str">
        <f>'Custom hire'!B13</f>
        <v>Haul grain or seed from bin to market</v>
      </c>
      <c r="C65" s="222" t="str">
        <f>'Custom hire'!D13</f>
        <v>per bushel</v>
      </c>
      <c r="D65" s="221">
        <f>'Custom hire'!F13</f>
        <v>1</v>
      </c>
      <c r="E65" s="222">
        <f>'Custom hire'!C13</f>
        <v>0.28999999999999998</v>
      </c>
      <c r="F65" s="223" t="str">
        <f>IF(ISBLANK('Custom hire'!E13),"-",'Custom hire'!E13)</f>
        <v>-</v>
      </c>
      <c r="G65" s="223" t="str">
        <f>IFERROR(D65*E65*IF(C65="per acre",1,F65),"-")</f>
        <v>-</v>
      </c>
    </row>
    <row r="66" spans="2:8">
      <c r="B66" s="59">
        <f>'Custom hire'!B14</f>
        <v>0</v>
      </c>
      <c r="C66" s="59" t="str">
        <f>'Custom hire'!D14</f>
        <v/>
      </c>
      <c r="D66" s="221">
        <f>'Custom hire'!F14</f>
        <v>2</v>
      </c>
      <c r="E66" s="223" t="str">
        <f>'Custom hire'!C14</f>
        <v/>
      </c>
      <c r="F66" s="223" t="str">
        <f>IF(ISBLANK('Custom hire'!E14),"-",'Custom hire'!E14)</f>
        <v>-</v>
      </c>
      <c r="G66" s="223" t="str">
        <f>IFERROR(D66*E66*IF(C66="per acre",1,F66),"-")</f>
        <v>-</v>
      </c>
    </row>
    <row r="67" spans="2:8">
      <c r="B67" s="59">
        <f>'Custom hire'!B15</f>
        <v>0</v>
      </c>
      <c r="C67" s="59">
        <f>'Custom hire'!D15</f>
        <v>0</v>
      </c>
      <c r="D67" s="221">
        <f>'Custom hire'!F15</f>
        <v>0</v>
      </c>
      <c r="E67" s="223">
        <f>'Custom hire'!C15</f>
        <v>0</v>
      </c>
      <c r="F67" s="223" t="str">
        <f>IF(ISBLANK('Custom hire'!E15),"-",'Custom hire'!E15)</f>
        <v>-</v>
      </c>
      <c r="G67" s="223" t="str">
        <f>IFERROR(D67*E67*IF(C67="per acre",1,F67),"-")</f>
        <v>-</v>
      </c>
    </row>
    <row r="68" spans="2:8">
      <c r="B68" s="220">
        <f>'Custom hire'!B16</f>
        <v>0</v>
      </c>
      <c r="C68" s="220" t="str">
        <f>'Custom hire'!D16</f>
        <v/>
      </c>
      <c r="D68" s="224">
        <f>'Custom hire'!F16</f>
        <v>0</v>
      </c>
      <c r="E68" s="225" t="str">
        <f>'Custom hire'!C16</f>
        <v/>
      </c>
      <c r="F68" s="225" t="str">
        <f>IF(ISBLANK('Custom hire'!E16),"-",'Custom hire'!E16)</f>
        <v>-</v>
      </c>
      <c r="G68" s="225" t="str">
        <f>IFERROR(D68*E68*IF(C68="per acre",1,F68),"-")</f>
        <v>-</v>
      </c>
    </row>
    <row r="69" spans="2:8">
      <c r="B69" s="227" t="s">
        <v>769</v>
      </c>
      <c r="C69" s="226"/>
      <c r="D69" s="227"/>
      <c r="E69" s="226"/>
      <c r="F69" s="226"/>
      <c r="G69" s="229">
        <f>SUM(G65:G68)</f>
        <v>0</v>
      </c>
    </row>
    <row r="70" spans="2:8">
      <c r="B70" s="25"/>
      <c r="C70" s="27"/>
      <c r="D70" s="27"/>
      <c r="E70" s="27"/>
      <c r="F70" s="27"/>
      <c r="G70" s="27"/>
      <c r="H70" s="25"/>
    </row>
    <row r="71" spans="2:8" ht="34.5">
      <c r="B71" s="22"/>
      <c r="C71" s="32" t="s">
        <v>60</v>
      </c>
      <c r="D71" s="32" t="s">
        <v>58</v>
      </c>
      <c r="E71" s="32" t="s">
        <v>59</v>
      </c>
      <c r="F71" s="33" t="s">
        <v>410</v>
      </c>
      <c r="G71" s="33" t="s">
        <v>411</v>
      </c>
      <c r="H71" s="33" t="s">
        <v>409</v>
      </c>
    </row>
    <row r="72" spans="2:8">
      <c r="B72" s="28" t="s">
        <v>61</v>
      </c>
      <c r="C72" s="29" t="s">
        <v>65</v>
      </c>
      <c r="D72" s="29" t="s">
        <v>62</v>
      </c>
      <c r="E72" s="29" t="s">
        <v>63</v>
      </c>
      <c r="F72" s="29" t="s">
        <v>64</v>
      </c>
      <c r="G72" s="29" t="s">
        <v>64</v>
      </c>
      <c r="H72" s="29" t="s">
        <v>64</v>
      </c>
    </row>
    <row r="73" spans="2:8">
      <c r="B73" s="59" t="str">
        <f>CONCATENATE(Equipment!B43,"; ",Equipment!C43)</f>
        <v>Chisel plow, 22 Ft Folding, per acre; 160 HP MFWD</v>
      </c>
      <c r="C73" s="272">
        <f>IFERROR(Equipment!D43,"-")</f>
        <v>1</v>
      </c>
      <c r="D73" s="271">
        <f>IFERROR(Equipment!F43,"-")</f>
        <v>8.8235294117647065E-2</v>
      </c>
      <c r="E73" s="271">
        <f>IFERROR(Equipment!E43,"-")</f>
        <v>0.62117647058823522</v>
      </c>
      <c r="F73" s="271">
        <f>IFERROR(Equipment!G43,"-")</f>
        <v>7.4153017022983923</v>
      </c>
      <c r="G73" s="271">
        <f>IFERROR(Equipment!H43,"-")</f>
        <v>11.553870004976101</v>
      </c>
      <c r="H73" s="273">
        <f>SUM(F73:G73)</f>
        <v>18.969171707274494</v>
      </c>
    </row>
    <row r="74" spans="2:8">
      <c r="B74" s="59" t="str">
        <f>CONCATENATE(Equipment!B45,"; ",Equipment!C45)</f>
        <v>Field cultivator, 28 Ft Folding, per acre; 160 HP MFWD</v>
      </c>
      <c r="C74" s="272">
        <f>IFERROR(Equipment!D45,"-")</f>
        <v>2</v>
      </c>
      <c r="D74" s="271">
        <f>IFERROR(Equipment!F45,"-")</f>
        <v>9.9039615846338538E-2</v>
      </c>
      <c r="E74" s="271">
        <f>IFERROR(Equipment!E45,"-")</f>
        <v>0.69723889555822327</v>
      </c>
      <c r="F74" s="271">
        <f>IFERROR(Equipment!G45,"-")</f>
        <v>8.0829852889381666</v>
      </c>
      <c r="G74" s="271">
        <f>IFERROR(Equipment!H45,"-")</f>
        <v>10.432093520387751</v>
      </c>
      <c r="H74" s="273">
        <f t="shared" ref="H74:H82" si="1">SUM(F74:G74)</f>
        <v>18.515078809325917</v>
      </c>
    </row>
    <row r="75" spans="2:8">
      <c r="B75" s="59" t="str">
        <f>CONCATENATE(Equipment!B46,"; ",Equipment!C46)</f>
        <v>Row cultivator, 30 Ft Folding, per acre; 160 HP MFWD</v>
      </c>
      <c r="C75" s="272">
        <f>IFERROR(Equipment!D46,"-")</f>
        <v>3</v>
      </c>
      <c r="D75" s="271">
        <f>IFERROR(Equipment!F46,"-")</f>
        <v>0.19411764705882356</v>
      </c>
      <c r="E75" s="271">
        <f>IFERROR(Equipment!E46,"-")</f>
        <v>1.3665882352941177</v>
      </c>
      <c r="F75" s="271">
        <f>IFERROR(Equipment!G46,"-")</f>
        <v>15.775026052726819</v>
      </c>
      <c r="G75" s="271">
        <f>IFERROR(Equipment!H46,"-")</f>
        <v>19.342122066594751</v>
      </c>
      <c r="H75" s="273">
        <f t="shared" ref="H75:H76" si="2">SUM(F75:G75)</f>
        <v>35.11714811932157</v>
      </c>
    </row>
    <row r="76" spans="2:8">
      <c r="B76" s="59" t="str">
        <f>CONCATENATE(Equipment!B47,"; ",Equipment!C47)</f>
        <v>Row crop planter, 20 Ft Folding, per acre; 160 HP MFWD</v>
      </c>
      <c r="C76" s="272">
        <f>IFERROR(Equipment!D47,"-")</f>
        <v>1</v>
      </c>
      <c r="D76" s="271">
        <f>IFERROR(Equipment!F47,"-")</f>
        <v>0.10714285714285714</v>
      </c>
      <c r="E76" s="271">
        <f>IFERROR(Equipment!E47,"-")</f>
        <v>0.75428571428571412</v>
      </c>
      <c r="F76" s="271">
        <f>IFERROR(Equipment!G47,"-")</f>
        <v>9.9861755178410796</v>
      </c>
      <c r="G76" s="271">
        <f>IFERROR(Equipment!H47,"-")</f>
        <v>14.199056463772342</v>
      </c>
      <c r="H76" s="273">
        <f t="shared" si="2"/>
        <v>24.18523198161342</v>
      </c>
    </row>
    <row r="77" spans="2:8">
      <c r="B77" s="59" t="str">
        <f>CONCATENATE(Equipment!B48,"; ",Equipment!C48)</f>
        <v>Combine platform, 25 Ft, per acre; 275 HP Combine</v>
      </c>
      <c r="C77" s="272">
        <f>IFERROR(Equipment!D48,"-")</f>
        <v>1</v>
      </c>
      <c r="D77" s="271">
        <f>IFERROR(Equipment!F48,"-")</f>
        <v>0.10476190476190476</v>
      </c>
      <c r="E77" s="271">
        <f>IFERROR(Equipment!E48,"-")</f>
        <v>1.0947619047619046</v>
      </c>
      <c r="F77" s="271">
        <f>IFERROR(Equipment!G48,"-")</f>
        <v>14.647926134508426</v>
      </c>
      <c r="G77" s="271">
        <f>IFERROR(Equipment!H48,"-")</f>
        <v>19.918449503641831</v>
      </c>
      <c r="H77" s="273">
        <f t="shared" si="1"/>
        <v>34.566375638150255</v>
      </c>
    </row>
    <row r="78" spans="2:8">
      <c r="B78" s="59" t="str">
        <f>CONCATENATE(Equipment!B49,"; ",Equipment!C49)</f>
        <v>; 325 HP Tandem grain truck</v>
      </c>
      <c r="C78" s="272">
        <f>IFERROR(Equipment!D49,"-")</f>
        <v>0.04</v>
      </c>
      <c r="D78" s="271">
        <f>IFERROR(Equipment!F49,"-")</f>
        <v>0.04</v>
      </c>
      <c r="E78" s="271">
        <f>IFERROR(Equipment!E49,"-")</f>
        <v>0.19500000000000001</v>
      </c>
      <c r="F78" s="271">
        <f>IFERROR(Equipment!G49,"-")</f>
        <v>1.8564166666666668</v>
      </c>
      <c r="G78" s="271">
        <f>IFERROR(Equipment!H49,"-")</f>
        <v>0.57884752741873391</v>
      </c>
      <c r="H78" s="273">
        <f t="shared" si="1"/>
        <v>2.4352641940854007</v>
      </c>
    </row>
    <row r="79" spans="2:8">
      <c r="B79" s="59" t="str">
        <f>CONCATENATE(Equipment!B50,"; ",Equipment!C50)</f>
        <v>Grain auger, 13 In, per hour; 130 HP MFWD</v>
      </c>
      <c r="C79" s="272">
        <f>IFERROR(Equipment!D50,"-")</f>
        <v>0.02</v>
      </c>
      <c r="D79" s="271" t="str">
        <f>IFERROR(Equipment!F50,"-")</f>
        <v>-</v>
      </c>
      <c r="E79" s="271" t="str">
        <f>IFERROR(Equipment!E50,"-")</f>
        <v>-</v>
      </c>
      <c r="F79" s="271" t="str">
        <f>IFERROR(Equipment!G50,"-")</f>
        <v>-</v>
      </c>
      <c r="G79" s="271">
        <f>IFERROR(Equipment!H50,"-")</f>
        <v>0.81187231521216274</v>
      </c>
      <c r="H79" s="273">
        <f t="shared" si="1"/>
        <v>0.81187231521216274</v>
      </c>
    </row>
    <row r="80" spans="2:8">
      <c r="B80" s="59" t="str">
        <f>CONCATENATE(Equipment!B51,"; ",Equipment!C51)</f>
        <v>; 1 Ton 4x4 Pickup</v>
      </c>
      <c r="C80" s="272">
        <f>IFERROR(Equipment!D51,"-")</f>
        <v>0.15</v>
      </c>
      <c r="D80" s="271">
        <f>IFERROR(Equipment!F51,"-")</f>
        <v>0.15</v>
      </c>
      <c r="E80" s="271">
        <f>IFERROR(Equipment!E51,"-")</f>
        <v>0.44999999999999996</v>
      </c>
      <c r="F80" s="271">
        <f>IFERROR(Equipment!G51,"-")</f>
        <v>8.0151315789473685</v>
      </c>
      <c r="G80" s="271">
        <f>IFERROR(Equipment!H51,"-")</f>
        <v>3.2463305788258356</v>
      </c>
      <c r="H80" s="273">
        <f t="shared" si="1"/>
        <v>11.261462157773204</v>
      </c>
    </row>
    <row r="81" spans="1:9">
      <c r="B81" s="59" t="str">
        <f>CONCATENATE(Equipment!B52,"; ",Equipment!C52)</f>
        <v xml:space="preserve">; </v>
      </c>
      <c r="C81" s="272">
        <f>IFERROR(Equipment!D52,"-")</f>
        <v>0</v>
      </c>
      <c r="D81" s="271" t="str">
        <f>IFERROR(Equipment!F52,"-")</f>
        <v>-</v>
      </c>
      <c r="E81" s="271" t="str">
        <f>IFERROR(Equipment!E52,"-")</f>
        <v>-</v>
      </c>
      <c r="F81" s="271" t="str">
        <f>IFERROR(Equipment!G52,"-")</f>
        <v/>
      </c>
      <c r="G81" s="271" t="str">
        <f>IFERROR(Equipment!H52,"-")</f>
        <v>-</v>
      </c>
      <c r="H81" s="273">
        <f t="shared" si="1"/>
        <v>0</v>
      </c>
    </row>
    <row r="82" spans="1:9" ht="16.5" customHeight="1">
      <c r="B82" s="220" t="str">
        <f>CONCATENATE(Equipment!B53,"; ",Equipment!C53)</f>
        <v xml:space="preserve">; </v>
      </c>
      <c r="C82" s="274">
        <f>IFERROR(Equipment!D53,"-")</f>
        <v>0</v>
      </c>
      <c r="D82" s="275" t="str">
        <f>IFERROR(Equipment!F53,"-")</f>
        <v>-</v>
      </c>
      <c r="E82" s="275" t="str">
        <f>IFERROR(Equipment!E53,"-")</f>
        <v>-</v>
      </c>
      <c r="F82" s="275" t="str">
        <f>IFERROR(Equipment!G53,"-")</f>
        <v/>
      </c>
      <c r="G82" s="275" t="str">
        <f>IFERROR(Equipment!H53,"-")</f>
        <v>-</v>
      </c>
      <c r="H82" s="276">
        <f t="shared" si="1"/>
        <v>0</v>
      </c>
    </row>
    <row r="83" spans="1:9">
      <c r="B83" s="277" t="s">
        <v>829</v>
      </c>
      <c r="C83" s="278"/>
      <c r="D83" s="279">
        <f>SUM(D73:D82)</f>
        <v>0.78329731892757115</v>
      </c>
      <c r="E83" s="279">
        <f>SUM(E73:E82)</f>
        <v>5.1790512204881951</v>
      </c>
      <c r="F83" s="279">
        <f>SUM(F73:F82)</f>
        <v>65.77896294192692</v>
      </c>
      <c r="G83" s="279">
        <f>SUM(G73:G82)</f>
        <v>80.082641980829493</v>
      </c>
      <c r="H83" s="279">
        <f>SUM(H73:H82)</f>
        <v>145.86160492275638</v>
      </c>
    </row>
    <row r="84" spans="1:9"/>
    <row r="85" spans="1:9">
      <c r="B85" s="59" t="s">
        <v>406</v>
      </c>
    </row>
    <row r="86" spans="1:9">
      <c r="B86" s="59" t="s">
        <v>407</v>
      </c>
    </row>
    <row r="87" spans="1:9">
      <c r="B87" s="59" t="s">
        <v>408</v>
      </c>
    </row>
    <row r="88" spans="1:9"/>
    <row r="89" spans="1:9"/>
    <row r="90" spans="1:9"/>
    <row r="91" spans="1:9">
      <c r="B91" s="249" t="s">
        <v>816</v>
      </c>
    </row>
    <row r="92" spans="1:9" ht="16.5" customHeight="1">
      <c r="B92" s="339" t="s">
        <v>9</v>
      </c>
      <c r="C92" s="339"/>
      <c r="D92" s="339"/>
      <c r="E92" s="339"/>
      <c r="F92" s="339"/>
      <c r="G92" s="339"/>
      <c r="H92" s="339"/>
      <c r="I92" s="339"/>
    </row>
    <row r="93" spans="1:9">
      <c r="A93" s="340" t="s">
        <v>817</v>
      </c>
      <c r="B93" s="250"/>
      <c r="C93" s="298">
        <f>0.7*$D$6</f>
        <v>31.499999999999996</v>
      </c>
      <c r="D93" s="298">
        <f>0.8*$D$6</f>
        <v>36</v>
      </c>
      <c r="E93" s="298">
        <f>0.9*$D$6</f>
        <v>40.5</v>
      </c>
      <c r="F93" s="298">
        <f>1*$D$6</f>
        <v>45</v>
      </c>
      <c r="G93" s="298">
        <f>1.1*$D$6</f>
        <v>49.500000000000007</v>
      </c>
      <c r="H93" s="298">
        <f>1.2*$D$6</f>
        <v>54</v>
      </c>
      <c r="I93" s="298">
        <f>1.3*$D$6</f>
        <v>58.5</v>
      </c>
    </row>
    <row r="94" spans="1:9" s="299" customFormat="1">
      <c r="A94" s="340"/>
      <c r="B94" s="252">
        <f>0.7*$E$6</f>
        <v>15.399999999999999</v>
      </c>
      <c r="C94" s="284">
        <f>(C$93*$B94+SUM($F$7:$F$9)-((C$93*$B94+SUM($F$7:$F$9))/$F$10*$F$37)-($F$24*C$93/$D$6)-SUM($F$13:$F$23,$F$25:$F$30,$F$32:$F$33,$F$38))</f>
        <v>-19.411193969428837</v>
      </c>
      <c r="D94" s="285">
        <f>(D$93*$B94+SUM($F$7:$F$9)-((D$93*$B94+SUM($F$7:$F$9))/$F$10*$F$37)-($F$24*D$93/$D$6)-SUM($F$13:$F$23,$F$25:$F$30,$F$32:$F$33,$F$38))</f>
        <v>49.195806030571248</v>
      </c>
      <c r="E94" s="285">
        <f>(E$93*$B94+SUM($F$7:$F$9)-((E$93*$B94+SUM($F$7:$F$9))/$F$10*$F$37)-($F$24*E$93/$D$6)-SUM($F$13:$F$23,$F$25:$F$30,$F$32:$F$33,$F$38))</f>
        <v>117.80280603057122</v>
      </c>
      <c r="F94" s="286">
        <f>(F$93*$B94+SUM($F$7:$F$9)-((F$93*$B94+SUM($F$7:$F$9))/$F$10*$F$37)-($F$24*F$93/$D$6)-SUM($F$13:$F$23,$F$25:$F$30,$F$32:$F$33,$F$38))</f>
        <v>186.40980603057108</v>
      </c>
      <c r="G94" s="285">
        <f>(G$93*$B94+SUM($F$7:$F$9)-((G$93*$B94+SUM($F$7:$F$9))/$F$10*$F$37)-($F$24*G$93/$D$6)-SUM($F$13:$F$23,$F$25:$F$30,$F$32:$F$33,$F$38))</f>
        <v>255.01680603057127</v>
      </c>
      <c r="H94" s="285">
        <f>(H$93*$B94+SUM($F$7:$F$9)-((H$93*$B94+SUM($F$7:$F$9))/$F$10*$F$37)-($F$24*H$93/$D$6)-SUM($F$13:$F$23,$F$25:$F$30,$F$32:$F$33,$F$38))</f>
        <v>323.62380603057113</v>
      </c>
      <c r="I94" s="285">
        <f>(I$93*$B94+SUM($F$7:$F$9)-((I$93*$B94+SUM($F$7:$F$9))/$F$10*$F$37)-($F$24*I$93/$D$6)-SUM($F$13:$F$23,$F$25:$F$30,$F$32:$F$33,$F$38))</f>
        <v>392.2308060305711</v>
      </c>
    </row>
    <row r="95" spans="1:9" ht="18" customHeight="1">
      <c r="A95" s="340"/>
      <c r="B95" s="252">
        <f>0.8*$E$6</f>
        <v>17.600000000000001</v>
      </c>
      <c r="C95" s="288">
        <f>(C$93*$B95+SUM($F$7:$F$9)-((C$93*$B95+SUM($F$7:$F$9))/$F$10*$F$37)-($F$24*C$93/$D$6)-SUM($F$13:$F$23,$F$25:$F$30,$F$32:$F$33,$F$38))</f>
        <v>49.195806030571248</v>
      </c>
      <c r="D95" s="289">
        <f>(D$93*$B95+SUM($F$7:$F$9)-((D$93*$B95+SUM($F$7:$F$9))/$F$10*$F$37)-($F$24*D$93/$D$6)-SUM($F$13:$F$23,$F$25:$F$30,$F$32:$F$33,$F$38))</f>
        <v>127.60380603057126</v>
      </c>
      <c r="E95" s="289">
        <f>(E$93*$B95+SUM($F$7:$F$9)-((E$93*$B95+SUM($F$7:$F$9))/$F$10*$F$37)-($F$24*E$93/$D$6)-SUM($F$13:$F$23,$F$25:$F$30,$F$32:$F$33,$F$38))</f>
        <v>206.01180603057128</v>
      </c>
      <c r="F95" s="290">
        <f>(F$93*$B95+SUM($F$7:$F$9)-((F$93*$B95+SUM($F$7:$F$9))/$F$10*$F$37)-($F$24*F$93/$D$6)-SUM($F$13:$F$23,$F$25:$F$30,$F$32:$F$33,$F$38))</f>
        <v>284.41980603057129</v>
      </c>
      <c r="G95" s="289">
        <f>(G$93*$B95+SUM($F$7:$F$9)-((G$93*$B95+SUM($F$7:$F$9))/$F$10*$F$37)-($F$24*G$93/$D$6)-SUM($F$13:$F$23,$F$25:$F$30,$F$32:$F$33,$F$38))</f>
        <v>362.82780603057142</v>
      </c>
      <c r="H95" s="289">
        <f>(H$93*$B95+SUM($F$7:$F$9)-((H$93*$B95+SUM($F$7:$F$9))/$F$10*$F$37)-($F$24*H$93/$D$6)-SUM($F$13:$F$23,$F$25:$F$30,$F$32:$F$33,$F$38))</f>
        <v>441.23580603057133</v>
      </c>
      <c r="I95" s="289">
        <f>(I$93*$B95+SUM($F$7:$F$9)-((I$93*$B95+SUM($F$7:$F$9))/$F$10*$F$37)-($F$24*I$93/$D$6)-SUM($F$13:$F$23,$F$25:$F$30,$F$32:$F$33,$F$38))</f>
        <v>519.64380603057145</v>
      </c>
    </row>
    <row r="96" spans="1:9">
      <c r="A96" s="340"/>
      <c r="B96" s="252">
        <f>0.9*$E$6</f>
        <v>19.8</v>
      </c>
      <c r="C96" s="288">
        <f>(C$93*$B96+SUM($F$7:$F$9)-((C$93*$B96+SUM($F$7:$F$9))/$F$10*$F$37)-($F$24*C$93/$D$6)-SUM($F$13:$F$23,$F$25:$F$30,$F$32:$F$33,$F$38))</f>
        <v>117.80280603057122</v>
      </c>
      <c r="D96" s="289">
        <f>(D$93*$B96+SUM($F$7:$F$9)-((D$93*$B96+SUM($F$7:$F$9))/$F$10*$F$37)-($F$24*D$93/$D$6)-SUM($F$13:$F$23,$F$25:$F$30,$F$32:$F$33,$F$38))</f>
        <v>206.01180603057128</v>
      </c>
      <c r="E96" s="289">
        <f>(E$93*$B96+SUM($F$7:$F$9)-((E$93*$B96+SUM($F$7:$F$9))/$F$10*$F$37)-($F$24*E$93/$D$6)-SUM($F$13:$F$23,$F$25:$F$30,$F$32:$F$33,$F$38))</f>
        <v>294.22080603057123</v>
      </c>
      <c r="F96" s="290">
        <f>(F$93*$B96+SUM($F$7:$F$9)-((F$93*$B96+SUM($F$7:$F$9))/$F$10*$F$37)-($F$24*F$93/$D$6)-SUM($F$13:$F$23,$F$25:$F$30,$F$32:$F$33,$F$38))</f>
        <v>382.42980603057129</v>
      </c>
      <c r="G96" s="289">
        <f>(G$93*$B96+SUM($F$7:$F$9)-((G$93*$B96+SUM($F$7:$F$9))/$F$10*$F$37)-($F$24*G$93/$D$6)-SUM($F$13:$F$23,$F$25:$F$30,$F$32:$F$33,$F$38))</f>
        <v>470.63880603057135</v>
      </c>
      <c r="H96" s="289">
        <f>(H$93*$B96+SUM($F$7:$F$9)-((H$93*$B96+SUM($F$7:$F$9))/$F$10*$F$37)-($F$24*H$93/$D$6)-SUM($F$13:$F$23,$F$25:$F$30,$F$32:$F$33,$F$38))</f>
        <v>558.84780603057118</v>
      </c>
      <c r="I96" s="289">
        <f>(I$93*$B96+SUM($F$7:$F$9)-((I$93*$B96+SUM($F$7:$F$9))/$F$10*$F$37)-($F$24*I$93/$D$6)-SUM($F$13:$F$23,$F$25:$F$30,$F$32:$F$33,$F$38))</f>
        <v>647.05680603057124</v>
      </c>
    </row>
    <row r="97" spans="1:9">
      <c r="A97" s="340"/>
      <c r="B97" s="252">
        <f>1*$E$6</f>
        <v>22</v>
      </c>
      <c r="C97" s="292">
        <f>(C$93*$B97+SUM($F$7:$F$9)-((C$93*$B97+SUM($F$7:$F$9))/$F$10*$F$37)-($F$24*C$93/$D$6)-SUM($F$13:$F$23,$F$25:$F$30,$F$32:$F$33,$F$38))</f>
        <v>186.40980603057108</v>
      </c>
      <c r="D97" s="290">
        <f>(D$93*$B97+SUM($F$7:$F$9)-((D$93*$B97+SUM($F$7:$F$9))/$F$10*$F$37)-($F$24*D$93/$D$6)-SUM($F$13:$F$23,$F$25:$F$30,$F$32:$F$33,$F$38))</f>
        <v>284.41980603057118</v>
      </c>
      <c r="E97" s="290">
        <f>(E$93*$B97+SUM($F$7:$F$9)-((E$93*$B97+SUM($F$7:$F$9))/$F$10*$F$37)-($F$24*E$93/$D$6)-SUM($F$13:$F$23,$F$25:$F$30,$F$32:$F$33,$F$38))</f>
        <v>382.42980603057129</v>
      </c>
      <c r="F97" s="290">
        <f>(F$93*$B97+SUM($F$7:$F$9)-((F$93*$B97+SUM($F$7:$F$9))/$F$10*$F$37)-($F$24*F$93/$D$6)-SUM($F$13:$F$23,$F$25:$F$30,$F$32:$F$33,$F$38))</f>
        <v>480.43980603057128</v>
      </c>
      <c r="G97" s="290">
        <f>(G$93*$B97+SUM($F$7:$F$9)-((G$93*$B97+SUM($F$7:$F$9))/$F$10*$F$37)-($F$24*G$93/$D$6)-SUM($F$13:$F$23,$F$25:$F$30,$F$32:$F$33,$F$38))</f>
        <v>578.44980603057149</v>
      </c>
      <c r="H97" s="290">
        <f>(H$93*$B97+SUM($F$7:$F$9)-((H$93*$B97+SUM($F$7:$F$9))/$F$10*$F$37)-($F$24*H$93/$D$6)-SUM($F$13:$F$23,$F$25:$F$30,$F$32:$F$33,$F$38))</f>
        <v>676.45980603057126</v>
      </c>
      <c r="I97" s="290">
        <f>(I$93*$B97+SUM($F$7:$F$9)-((I$93*$B97+SUM($F$7:$F$9))/$F$10*$F$37)-($F$24*I$93/$D$6)-SUM($F$13:$F$23,$F$25:$F$30,$F$32:$F$33,$F$38))</f>
        <v>774.46980603057125</v>
      </c>
    </row>
    <row r="98" spans="1:9">
      <c r="A98" s="340"/>
      <c r="B98" s="252">
        <f>1.1*$E$6</f>
        <v>24.200000000000003</v>
      </c>
      <c r="C98" s="288">
        <f>(C$93*$B98+SUM($F$7:$F$9)-((C$93*$B98+SUM($F$7:$F$9))/$F$10*$F$37)-($F$24*C$93/$D$6)-SUM($F$13:$F$23,$F$25:$F$30,$F$32:$F$33,$F$38))</f>
        <v>255.01680603057116</v>
      </c>
      <c r="D98" s="289">
        <f>(D$93*$B98+SUM($F$7:$F$9)-((D$93*$B98+SUM($F$7:$F$9))/$F$10*$F$37)-($F$24*D$93/$D$6)-SUM($F$13:$F$23,$F$25:$F$30,$F$32:$F$33,$F$38))</f>
        <v>362.82780603057131</v>
      </c>
      <c r="E98" s="289">
        <f>(E$93*$B98+SUM($F$7:$F$9)-((E$93*$B98+SUM($F$7:$F$9))/$F$10*$F$37)-($F$24*E$93/$D$6)-SUM($F$13:$F$23,$F$25:$F$30,$F$32:$F$33,$F$38))</f>
        <v>470.63880603057135</v>
      </c>
      <c r="F98" s="290">
        <f>(F$93*$B98+SUM($F$7:$F$9)-((F$93*$B98+SUM($F$7:$F$9))/$F$10*$F$37)-($F$24*F$93/$D$6)-SUM($F$13:$F$23,$F$25:$F$30,$F$32:$F$33,$F$38))</f>
        <v>578.44980603057149</v>
      </c>
      <c r="G98" s="289">
        <f>(G$93*$B98+SUM($F$7:$F$9)-((G$93*$B98+SUM($F$7:$F$9))/$F$10*$F$37)-($F$24*G$93/$D$6)-SUM($F$13:$F$23,$F$25:$F$30,$F$32:$F$33,$F$38))</f>
        <v>686.26080603057164</v>
      </c>
      <c r="H98" s="289">
        <f>(H$93*$B98+SUM($F$7:$F$9)-((H$93*$B98+SUM($F$7:$F$9))/$F$10*$F$37)-($F$24*H$93/$D$6)-SUM($F$13:$F$23,$F$25:$F$30,$F$32:$F$33,$F$38))</f>
        <v>794.07180603057134</v>
      </c>
      <c r="I98" s="289">
        <f>(I$93*$B98+SUM($F$7:$F$9)-((I$93*$B98+SUM($F$7:$F$9))/$F$10*$F$37)-($F$24*I$93/$D$6)-SUM($F$13:$F$23,$F$25:$F$30,$F$32:$F$33,$F$38))</f>
        <v>901.88280603057149</v>
      </c>
    </row>
    <row r="99" spans="1:9">
      <c r="A99" s="340"/>
      <c r="B99" s="252">
        <f>1.2*$E$6</f>
        <v>26.4</v>
      </c>
      <c r="C99" s="288">
        <f>(C$93*$B99+SUM($F$7:$F$9)-((C$93*$B99+SUM($F$7:$F$9))/$F$10*$F$37)-($F$24*C$93/$D$6)-SUM($F$13:$F$23,$F$25:$F$30,$F$32:$F$33,$F$38))</f>
        <v>323.62380603057113</v>
      </c>
      <c r="D99" s="289">
        <f>(D$93*$B99+SUM($F$7:$F$9)-((D$93*$B99+SUM($F$7:$F$9))/$F$10*$F$37)-($F$24*D$93/$D$6)-SUM($F$13:$F$23,$F$25:$F$30,$F$32:$F$33,$F$38))</f>
        <v>441.23580603057121</v>
      </c>
      <c r="E99" s="289">
        <f>(E$93*$B99+SUM($F$7:$F$9)-((E$93*$B99+SUM($F$7:$F$9))/$F$10*$F$37)-($F$24*E$93/$D$6)-SUM($F$13:$F$23,$F$25:$F$30,$F$32:$F$33,$F$38))</f>
        <v>558.84780603057118</v>
      </c>
      <c r="F99" s="290">
        <f>(F$93*$B99+SUM($F$7:$F$9)-((F$93*$B99+SUM($F$7:$F$9))/$F$10*$F$37)-($F$24*F$93/$D$6)-SUM($F$13:$F$23,$F$25:$F$30,$F$32:$F$33,$F$38))</f>
        <v>676.45980603057126</v>
      </c>
      <c r="G99" s="289">
        <f>(G$93*$B99+SUM($F$7:$F$9)-((G$93*$B99+SUM($F$7:$F$9))/$F$10*$F$37)-($F$24*G$93/$D$6)-SUM($F$13:$F$23,$F$25:$F$30,$F$32:$F$33,$F$38))</f>
        <v>794.07180603057134</v>
      </c>
      <c r="H99" s="289">
        <f>(H$93*$B99+SUM($F$7:$F$9)-((H$93*$B99+SUM($F$7:$F$9))/$F$10*$F$37)-($F$24*H$93/$D$6)-SUM($F$13:$F$23,$F$25:$F$30,$F$32:$F$33,$F$38))</f>
        <v>911.68380603057119</v>
      </c>
      <c r="I99" s="289">
        <f>(I$93*$B99+SUM($F$7:$F$9)-((I$93*$B99+SUM($F$7:$F$9))/$F$10*$F$37)-($F$24*I$93/$D$6)-SUM($F$13:$F$23,$F$25:$F$30,$F$32:$F$33,$F$38))</f>
        <v>1029.2958060305709</v>
      </c>
    </row>
    <row r="100" spans="1:9" s="88" customFormat="1">
      <c r="A100" s="340"/>
      <c r="B100" s="253">
        <f>1.3*$E$6</f>
        <v>28.6</v>
      </c>
      <c r="C100" s="294">
        <f>(C$93*$B100+SUM($F$7:$F$9)-((C$93*$B100+SUM($F$7:$F$9))/$F$10*$F$37)-($F$24*C$93/$D$6)-SUM($F$13:$F$23,$F$25:$F$30,$F$32:$F$33,$F$38))</f>
        <v>392.23080603057122</v>
      </c>
      <c r="D100" s="295">
        <f>(D$93*$B100+SUM($F$7:$F$9)-((D$93*$B100+SUM($F$7:$F$9))/$F$10*$F$37)-($F$24*D$93/$D$6)-SUM($F$13:$F$23,$F$25:$F$30,$F$32:$F$33,$F$38))</f>
        <v>519.64380603057145</v>
      </c>
      <c r="E100" s="295">
        <f>(E$93*$B100+SUM($F$7:$F$9)-((E$93*$B100+SUM($F$7:$F$9))/$F$10*$F$37)-($F$24*E$93/$D$6)-SUM($F$13:$F$23,$F$25:$F$30,$F$32:$F$33,$F$38))</f>
        <v>647.05680603057124</v>
      </c>
      <c r="F100" s="296">
        <f>(F$93*$B100+SUM($F$7:$F$9)-((F$93*$B100+SUM($F$7:$F$9))/$F$10*$F$37)-($F$24*F$93/$D$6)-SUM($F$13:$F$23,$F$25:$F$30,$F$32:$F$33,$F$38))</f>
        <v>774.46980603057125</v>
      </c>
      <c r="G100" s="295">
        <f>(G$93*$B100+SUM($F$7:$F$9)-((G$93*$B100+SUM($F$7:$F$9))/$F$10*$F$37)-($F$24*G$93/$D$6)-SUM($F$13:$F$23,$F$25:$F$30,$F$32:$F$33,$F$38))</f>
        <v>901.88280603057149</v>
      </c>
      <c r="H100" s="295">
        <f>(H$93*$B100+SUM($F$7:$F$9)-((H$93*$B100+SUM($F$7:$F$9))/$F$10*$F$37)-($F$24*H$93/$D$6)-SUM($F$13:$F$23,$F$25:$F$30,$F$32:$F$33,$F$38))</f>
        <v>1029.2958060305714</v>
      </c>
      <c r="I100" s="295">
        <f>(I$93*$B100+SUM($F$7:$F$9)-((I$93*$B100+SUM($F$7:$F$9))/$F$10*$F$37)-($F$24*I$93/$D$6)-SUM($F$13:$F$23,$F$25:$F$30,$F$32:$F$33,$F$38))</f>
        <v>1156.7088060305714</v>
      </c>
    </row>
    <row r="101" spans="1:9">
      <c r="E101" s="283" t="s">
        <v>818</v>
      </c>
      <c r="F101" s="75">
        <f>F46</f>
        <v>480.43980603057128</v>
      </c>
    </row>
    <row r="948" spans="2:3" hidden="1">
      <c r="B948" s="2" t="s">
        <v>67</v>
      </c>
    </row>
    <row r="949" spans="2:3" hidden="1">
      <c r="B949" s="2" t="s">
        <v>68</v>
      </c>
      <c r="C949" s="2">
        <v>5</v>
      </c>
    </row>
    <row r="950" spans="2:3" hidden="1">
      <c r="B950" s="2" t="s">
        <v>69</v>
      </c>
      <c r="C950" s="2">
        <v>1</v>
      </c>
    </row>
    <row r="951" spans="2:3" hidden="1">
      <c r="B951" s="2" t="s">
        <v>70</v>
      </c>
      <c r="C951" s="2">
        <v>1</v>
      </c>
    </row>
    <row r="952" spans="2:3" hidden="1">
      <c r="B952" s="2" t="s">
        <v>71</v>
      </c>
      <c r="C952" s="2">
        <v>2</v>
      </c>
    </row>
    <row r="953" spans="2:3" hidden="1">
      <c r="B953" s="2" t="s">
        <v>72</v>
      </c>
      <c r="C953" s="2">
        <v>1</v>
      </c>
    </row>
    <row r="954" spans="2:3" hidden="1">
      <c r="B954" s="2" t="s">
        <v>73</v>
      </c>
      <c r="C954" s="2">
        <v>0</v>
      </c>
    </row>
    <row r="955" spans="2:3" hidden="1">
      <c r="B955" s="2" t="s">
        <v>74</v>
      </c>
      <c r="C955" s="2">
        <v>0</v>
      </c>
    </row>
    <row r="956" spans="2:3" hidden="1">
      <c r="B956" s="2" t="s">
        <v>75</v>
      </c>
      <c r="C956" s="2">
        <v>0</v>
      </c>
    </row>
    <row r="957" spans="2:3" hidden="1">
      <c r="B957" s="2" t="s">
        <v>76</v>
      </c>
      <c r="C957" s="2">
        <v>0</v>
      </c>
    </row>
    <row r="958" spans="2:3" hidden="1">
      <c r="B958" s="2" t="s">
        <v>77</v>
      </c>
      <c r="C958" s="2">
        <v>0</v>
      </c>
    </row>
    <row r="959" spans="2:3" hidden="1">
      <c r="B959" s="2" t="s">
        <v>78</v>
      </c>
      <c r="C959" s="2">
        <v>0</v>
      </c>
    </row>
    <row r="960" spans="2:3" hidden="1">
      <c r="B960" s="2" t="s">
        <v>79</v>
      </c>
      <c r="C960" s="2" t="b">
        <v>1</v>
      </c>
    </row>
    <row r="961" spans="2:3" hidden="1">
      <c r="B961" s="2" t="s">
        <v>80</v>
      </c>
      <c r="C961" s="2">
        <v>0</v>
      </c>
    </row>
    <row r="962" spans="2:3" hidden="1">
      <c r="B962" s="2" t="s">
        <v>81</v>
      </c>
      <c r="C962" s="2" t="b">
        <v>1</v>
      </c>
    </row>
    <row r="963" spans="2:3" hidden="1">
      <c r="B963" s="2" t="s">
        <v>82</v>
      </c>
      <c r="C963" s="2">
        <v>0</v>
      </c>
    </row>
    <row r="964" spans="2:3" hidden="1">
      <c r="B964" s="2" t="s">
        <v>83</v>
      </c>
      <c r="C964" s="2">
        <v>0</v>
      </c>
    </row>
    <row r="965" spans="2:3" hidden="1">
      <c r="B965" s="2" t="s">
        <v>84</v>
      </c>
      <c r="C965" s="2" t="b">
        <v>1</v>
      </c>
    </row>
    <row r="966" spans="2:3" hidden="1">
      <c r="B966" s="2" t="s">
        <v>85</v>
      </c>
      <c r="C966" s="2">
        <v>0</v>
      </c>
    </row>
    <row r="967" spans="2:3" hidden="1">
      <c r="B967" s="2" t="s">
        <v>86</v>
      </c>
      <c r="C967" s="2">
        <v>0</v>
      </c>
    </row>
    <row r="968" spans="2:3" hidden="1">
      <c r="B968" s="2" t="s">
        <v>87</v>
      </c>
      <c r="C968" s="2">
        <v>0</v>
      </c>
    </row>
    <row r="969" spans="2:3" hidden="1">
      <c r="B969" s="2" t="s">
        <v>88</v>
      </c>
      <c r="C969" s="2">
        <v>0</v>
      </c>
    </row>
    <row r="970" spans="2:3" hidden="1">
      <c r="B970" s="2" t="s">
        <v>89</v>
      </c>
      <c r="C970" s="2" t="s">
        <v>385</v>
      </c>
    </row>
    <row r="971" spans="2:3" hidden="1">
      <c r="B971" s="2" t="s">
        <v>90</v>
      </c>
      <c r="C971" s="2">
        <v>100</v>
      </c>
    </row>
    <row r="972" spans="2:3" hidden="1">
      <c r="B972" s="2" t="s">
        <v>91</v>
      </c>
      <c r="C972" s="2">
        <v>25</v>
      </c>
    </row>
    <row r="973" spans="2:3" hidden="1">
      <c r="B973" s="2" t="s">
        <v>92</v>
      </c>
      <c r="C973" s="2">
        <v>9</v>
      </c>
    </row>
    <row r="974" spans="2:3" hidden="1">
      <c r="B974" s="2" t="s">
        <v>93</v>
      </c>
      <c r="C974" s="2">
        <v>0</v>
      </c>
    </row>
    <row r="975" spans="2:3" hidden="1">
      <c r="B975" s="2" t="s">
        <v>94</v>
      </c>
      <c r="C975" s="2">
        <v>0</v>
      </c>
    </row>
    <row r="976" spans="2:3" hidden="1">
      <c r="B976" s="2" t="s">
        <v>95</v>
      </c>
      <c r="C976" s="2">
        <v>0</v>
      </c>
    </row>
    <row r="977" spans="2:3" hidden="1">
      <c r="B977" s="2" t="s">
        <v>96</v>
      </c>
      <c r="C977" s="2">
        <v>0</v>
      </c>
    </row>
    <row r="978" spans="2:3" hidden="1">
      <c r="B978" s="2" t="s">
        <v>97</v>
      </c>
      <c r="C978" s="2">
        <v>0</v>
      </c>
    </row>
    <row r="979" spans="2:3" hidden="1">
      <c r="B979" s="2" t="s">
        <v>98</v>
      </c>
      <c r="C979" s="2">
        <v>60</v>
      </c>
    </row>
    <row r="980" spans="2:3" hidden="1">
      <c r="B980" s="2" t="s">
        <v>99</v>
      </c>
      <c r="C980" s="2">
        <v>0</v>
      </c>
    </row>
    <row r="981" spans="2:3" hidden="1">
      <c r="B981" s="2" t="s">
        <v>100</v>
      </c>
      <c r="C981" s="2">
        <v>0</v>
      </c>
    </row>
    <row r="982" spans="2:3" hidden="1">
      <c r="B982" s="2" t="s">
        <v>101</v>
      </c>
      <c r="C982" s="2">
        <v>0</v>
      </c>
    </row>
    <row r="983" spans="2:3" hidden="1">
      <c r="B983" s="2" t="s">
        <v>102</v>
      </c>
      <c r="C983" s="2">
        <v>0</v>
      </c>
    </row>
    <row r="984" spans="2:3" hidden="1">
      <c r="B984" s="2" t="s">
        <v>103</v>
      </c>
      <c r="C984" s="2">
        <v>0</v>
      </c>
    </row>
    <row r="985" spans="2:3" hidden="1">
      <c r="B985" s="2" t="s">
        <v>104</v>
      </c>
      <c r="C985" s="2">
        <v>200000</v>
      </c>
    </row>
    <row r="986" spans="2:3" hidden="1">
      <c r="B986" s="2" t="s">
        <v>105</v>
      </c>
      <c r="C986" s="2">
        <v>0</v>
      </c>
    </row>
    <row r="987" spans="2:3" hidden="1">
      <c r="B987" s="2" t="s">
        <v>106</v>
      </c>
      <c r="C987" s="2">
        <v>0</v>
      </c>
    </row>
    <row r="988" spans="2:3" hidden="1">
      <c r="B988" s="2" t="s">
        <v>107</v>
      </c>
      <c r="C988" s="2">
        <v>0</v>
      </c>
    </row>
    <row r="989" spans="2:3" hidden="1">
      <c r="B989" s="2" t="s">
        <v>108</v>
      </c>
      <c r="C989" s="2">
        <v>0</v>
      </c>
    </row>
    <row r="990" spans="2:3" hidden="1">
      <c r="B990" s="2" t="s">
        <v>109</v>
      </c>
      <c r="C990" s="2">
        <v>0</v>
      </c>
    </row>
    <row r="991" spans="2:3" hidden="1">
      <c r="B991" s="2" t="s">
        <v>110</v>
      </c>
      <c r="C991" s="2">
        <v>0</v>
      </c>
    </row>
    <row r="992" spans="2:3" hidden="1">
      <c r="B992" s="2" t="s">
        <v>111</v>
      </c>
      <c r="C992" s="2">
        <v>0</v>
      </c>
    </row>
    <row r="993" spans="2:3" hidden="1">
      <c r="B993" s="2" t="s">
        <v>112</v>
      </c>
      <c r="C993" s="2">
        <v>20</v>
      </c>
    </row>
    <row r="994" spans="2:3" hidden="1">
      <c r="B994" s="2" t="s">
        <v>113</v>
      </c>
      <c r="C994" s="2">
        <v>35</v>
      </c>
    </row>
    <row r="995" spans="2:3" hidden="1">
      <c r="B995" s="2" t="s">
        <v>114</v>
      </c>
      <c r="C995" s="2">
        <v>0</v>
      </c>
    </row>
    <row r="996" spans="2:3" hidden="1">
      <c r="B996" s="2" t="s">
        <v>115</v>
      </c>
      <c r="C996" s="2">
        <v>0</v>
      </c>
    </row>
    <row r="997" spans="2:3" hidden="1">
      <c r="B997" s="2" t="s">
        <v>116</v>
      </c>
      <c r="C997" s="2">
        <v>0</v>
      </c>
    </row>
    <row r="998" spans="2:3" hidden="1">
      <c r="B998" s="2" t="s">
        <v>117</v>
      </c>
      <c r="C998" s="2">
        <v>0</v>
      </c>
    </row>
    <row r="999" spans="2:3" hidden="1">
      <c r="B999" s="2" t="s">
        <v>118</v>
      </c>
      <c r="C999" s="2">
        <v>0</v>
      </c>
    </row>
    <row r="1000" spans="2:3" hidden="1">
      <c r="B1000" s="2" t="s">
        <v>119</v>
      </c>
      <c r="C1000" s="2">
        <v>0</v>
      </c>
    </row>
    <row r="1001" spans="2:3" hidden="1">
      <c r="B1001" s="2" t="s">
        <v>120</v>
      </c>
      <c r="C1001" s="2">
        <v>0.49</v>
      </c>
    </row>
    <row r="1002" spans="2:3" hidden="1">
      <c r="B1002" s="2" t="s">
        <v>121</v>
      </c>
      <c r="C1002" s="2">
        <v>0.4</v>
      </c>
    </row>
    <row r="1003" spans="2:3" hidden="1">
      <c r="B1003" s="2" t="s">
        <v>122</v>
      </c>
      <c r="C1003" s="2">
        <v>0</v>
      </c>
    </row>
    <row r="1004" spans="2:3" hidden="1">
      <c r="B1004" s="2" t="s">
        <v>123</v>
      </c>
      <c r="C1004" s="2">
        <v>0</v>
      </c>
    </row>
    <row r="1005" spans="2:3" hidden="1">
      <c r="B1005" s="2" t="s">
        <v>124</v>
      </c>
      <c r="C1005" s="2">
        <v>0</v>
      </c>
    </row>
    <row r="1006" spans="2:3" hidden="1">
      <c r="B1006" s="2" t="s">
        <v>125</v>
      </c>
      <c r="C1006" s="2">
        <v>0</v>
      </c>
    </row>
    <row r="1007" spans="2:3" hidden="1">
      <c r="B1007" s="2" t="s">
        <v>126</v>
      </c>
      <c r="C1007" s="2">
        <v>0</v>
      </c>
    </row>
    <row r="1008" spans="2:3" hidden="1">
      <c r="B1008" s="2" t="s">
        <v>127</v>
      </c>
      <c r="C1008" s="2">
        <v>0</v>
      </c>
    </row>
    <row r="1009" spans="2:3" hidden="1">
      <c r="B1009" s="2" t="s">
        <v>128</v>
      </c>
      <c r="C1009" s="2">
        <v>1</v>
      </c>
    </row>
    <row r="1010" spans="2:3" hidden="1">
      <c r="B1010" s="2" t="s">
        <v>129</v>
      </c>
      <c r="C1010" s="2">
        <v>0</v>
      </c>
    </row>
    <row r="1011" spans="2:3" hidden="1">
      <c r="B1011" s="2" t="s">
        <v>130</v>
      </c>
      <c r="C1011" s="2">
        <v>0</v>
      </c>
    </row>
    <row r="1012" spans="2:3" hidden="1">
      <c r="B1012" s="2" t="s">
        <v>131</v>
      </c>
      <c r="C1012" s="2">
        <v>1</v>
      </c>
    </row>
    <row r="1013" spans="2:3" hidden="1">
      <c r="B1013" s="2" t="s">
        <v>132</v>
      </c>
      <c r="C1013" s="2">
        <v>0</v>
      </c>
    </row>
    <row r="1014" spans="2:3" hidden="1">
      <c r="B1014" s="2" t="s">
        <v>133</v>
      </c>
      <c r="C1014" s="2">
        <v>0</v>
      </c>
    </row>
    <row r="1015" spans="2:3" hidden="1">
      <c r="B1015" s="2" t="s">
        <v>134</v>
      </c>
      <c r="C1015" s="2">
        <v>0</v>
      </c>
    </row>
    <row r="1016" spans="2:3" hidden="1">
      <c r="B1016" s="2" t="s">
        <v>135</v>
      </c>
      <c r="C1016" s="2">
        <v>0</v>
      </c>
    </row>
    <row r="1017" spans="2:3" hidden="1">
      <c r="B1017" s="2" t="s">
        <v>136</v>
      </c>
      <c r="C1017" s="2">
        <v>8.75</v>
      </c>
    </row>
    <row r="1018" spans="2:3" hidden="1">
      <c r="B1018" s="2" t="s">
        <v>137</v>
      </c>
      <c r="C1018" s="2">
        <v>0</v>
      </c>
    </row>
    <row r="1019" spans="2:3" hidden="1">
      <c r="B1019" s="2" t="s">
        <v>138</v>
      </c>
      <c r="C1019" s="2">
        <v>0</v>
      </c>
    </row>
    <row r="1020" spans="2:3" hidden="1">
      <c r="B1020" s="2" t="s">
        <v>139</v>
      </c>
      <c r="C1020" s="2">
        <v>0</v>
      </c>
    </row>
    <row r="1021" spans="2:3" hidden="1">
      <c r="B1021" s="2" t="s">
        <v>140</v>
      </c>
      <c r="C1021" s="2">
        <v>0</v>
      </c>
    </row>
    <row r="1022" spans="2:3" hidden="1">
      <c r="B1022" s="2" t="s">
        <v>141</v>
      </c>
      <c r="C1022" s="2">
        <v>0</v>
      </c>
    </row>
    <row r="1023" spans="2:3" hidden="1">
      <c r="B1023" s="2" t="s">
        <v>142</v>
      </c>
      <c r="C1023" s="2">
        <v>0</v>
      </c>
    </row>
    <row r="1024" spans="2:3" hidden="1">
      <c r="B1024" s="2" t="s">
        <v>143</v>
      </c>
      <c r="C1024" s="2">
        <v>0</v>
      </c>
    </row>
    <row r="1025" spans="2:3" hidden="1">
      <c r="B1025" s="2" t="s">
        <v>144</v>
      </c>
      <c r="C1025" s="2">
        <v>0</v>
      </c>
    </row>
    <row r="1026" spans="2:3" hidden="1">
      <c r="B1026" s="2" t="s">
        <v>145</v>
      </c>
      <c r="C1026" s="2">
        <v>0</v>
      </c>
    </row>
    <row r="1027" spans="2:3" hidden="1">
      <c r="B1027" s="2" t="s">
        <v>146</v>
      </c>
      <c r="C1027" s="2">
        <v>0</v>
      </c>
    </row>
    <row r="1028" spans="2:3" hidden="1">
      <c r="B1028" s="2" t="s">
        <v>147</v>
      </c>
      <c r="C1028" s="2">
        <v>0</v>
      </c>
    </row>
    <row r="1029" spans="2:3" hidden="1">
      <c r="B1029" s="2" t="s">
        <v>148</v>
      </c>
      <c r="C1029" s="2">
        <v>0</v>
      </c>
    </row>
    <row r="1030" spans="2:3" hidden="1">
      <c r="B1030" s="2" t="s">
        <v>149</v>
      </c>
      <c r="C1030" s="2">
        <v>0</v>
      </c>
    </row>
    <row r="1031" spans="2:3" hidden="1">
      <c r="B1031" s="2" t="s">
        <v>150</v>
      </c>
      <c r="C1031" s="2">
        <v>0</v>
      </c>
    </row>
    <row r="1032" spans="2:3" hidden="1">
      <c r="B1032" s="2" t="s">
        <v>151</v>
      </c>
      <c r="C1032" s="2">
        <v>0.5</v>
      </c>
    </row>
    <row r="1033" spans="2:3" hidden="1">
      <c r="B1033" s="2" t="s">
        <v>152</v>
      </c>
      <c r="C1033" s="2">
        <v>13.5</v>
      </c>
    </row>
    <row r="1034" spans="2:3" hidden="1">
      <c r="B1034" s="2" t="s">
        <v>153</v>
      </c>
      <c r="C1034" s="2">
        <v>18</v>
      </c>
    </row>
    <row r="1035" spans="2:3" hidden="1">
      <c r="B1035" s="2" t="s">
        <v>154</v>
      </c>
      <c r="C1035" s="2">
        <v>0</v>
      </c>
    </row>
    <row r="1036" spans="2:3" hidden="1">
      <c r="B1036" s="2" t="s">
        <v>155</v>
      </c>
      <c r="C1036" s="2">
        <v>0</v>
      </c>
    </row>
    <row r="1037" spans="2:3" hidden="1">
      <c r="B1037" s="2" t="s">
        <v>156</v>
      </c>
      <c r="C1037" s="2">
        <v>0</v>
      </c>
    </row>
    <row r="1038" spans="2:3" hidden="1">
      <c r="B1038" s="2" t="s">
        <v>157</v>
      </c>
      <c r="C1038" s="2">
        <v>3600</v>
      </c>
    </row>
    <row r="1039" spans="2:3" hidden="1">
      <c r="B1039" s="2" t="s">
        <v>158</v>
      </c>
      <c r="C1039" s="2">
        <v>0</v>
      </c>
    </row>
    <row r="1040" spans="2:3" hidden="1">
      <c r="B1040" s="2" t="s">
        <v>159</v>
      </c>
      <c r="C1040" s="2">
        <v>0</v>
      </c>
    </row>
    <row r="1041" spans="2:3" hidden="1">
      <c r="B1041" s="2" t="s">
        <v>160</v>
      </c>
      <c r="C1041" s="2">
        <v>0</v>
      </c>
    </row>
    <row r="1042" spans="2:3" hidden="1">
      <c r="B1042" s="2" t="s">
        <v>161</v>
      </c>
      <c r="C1042" s="2">
        <v>0</v>
      </c>
    </row>
    <row r="1043" spans="2:3" hidden="1">
      <c r="B1043" s="2" t="s">
        <v>162</v>
      </c>
      <c r="C1043" s="2">
        <v>6</v>
      </c>
    </row>
    <row r="1044" spans="2:3" hidden="1">
      <c r="B1044" s="2" t="s">
        <v>163</v>
      </c>
      <c r="C1044" s="2">
        <v>3.65</v>
      </c>
    </row>
    <row r="1045" spans="2:3" hidden="1">
      <c r="B1045" s="2" t="s">
        <v>164</v>
      </c>
      <c r="C1045" s="2">
        <v>3.38</v>
      </c>
    </row>
    <row r="1046" spans="2:3" hidden="1">
      <c r="B1046" s="2" t="s">
        <v>165</v>
      </c>
      <c r="C1046" s="2">
        <v>0</v>
      </c>
    </row>
    <row r="1047" spans="2:3" hidden="1">
      <c r="B1047" s="2" t="s">
        <v>166</v>
      </c>
      <c r="C1047" s="2">
        <v>0</v>
      </c>
    </row>
    <row r="1048" spans="2:3" hidden="1">
      <c r="B1048" s="2" t="s">
        <v>167</v>
      </c>
      <c r="C1048" s="2">
        <v>0</v>
      </c>
    </row>
    <row r="1049" spans="2:3" hidden="1">
      <c r="B1049" s="2" t="s">
        <v>168</v>
      </c>
      <c r="C1049" s="2">
        <v>0</v>
      </c>
    </row>
    <row r="1050" spans="2:3" hidden="1">
      <c r="B1050" s="2" t="s">
        <v>169</v>
      </c>
      <c r="C1050" s="2">
        <v>0</v>
      </c>
    </row>
    <row r="1051" spans="2:3" hidden="1">
      <c r="B1051" s="2" t="s">
        <v>170</v>
      </c>
      <c r="C1051" s="2">
        <v>0</v>
      </c>
    </row>
    <row r="1052" spans="2:3" hidden="1">
      <c r="B1052" s="2" t="s">
        <v>171</v>
      </c>
      <c r="C1052" s="2">
        <v>0</v>
      </c>
    </row>
    <row r="1053" spans="2:3" hidden="1">
      <c r="B1053" s="2" t="s">
        <v>172</v>
      </c>
      <c r="C1053" s="2">
        <v>0</v>
      </c>
    </row>
    <row r="1054" spans="2:3" hidden="1">
      <c r="B1054" s="2" t="s">
        <v>173</v>
      </c>
      <c r="C1054" s="2">
        <v>0</v>
      </c>
    </row>
    <row r="1055" spans="2:3" hidden="1">
      <c r="B1055" s="2" t="s">
        <v>174</v>
      </c>
      <c r="C1055" s="2">
        <v>5</v>
      </c>
    </row>
    <row r="1056" spans="2:3" hidden="1">
      <c r="B1056" s="2" t="s">
        <v>175</v>
      </c>
      <c r="C1056" s="2">
        <v>0</v>
      </c>
    </row>
    <row r="1057" spans="2:3" hidden="1">
      <c r="B1057" s="2" t="s">
        <v>176</v>
      </c>
      <c r="C1057" s="2">
        <v>0</v>
      </c>
    </row>
    <row r="1058" spans="2:3" hidden="1">
      <c r="B1058" s="2" t="s">
        <v>177</v>
      </c>
      <c r="C1058" s="2">
        <v>0</v>
      </c>
    </row>
    <row r="1059" spans="2:3" hidden="1">
      <c r="B1059" s="2" t="s">
        <v>178</v>
      </c>
      <c r="C1059" s="2">
        <v>6800</v>
      </c>
    </row>
    <row r="1060" spans="2:3" hidden="1">
      <c r="B1060" s="2" t="s">
        <v>179</v>
      </c>
      <c r="C1060" s="2">
        <v>0</v>
      </c>
    </row>
    <row r="1061" spans="2:3" hidden="1">
      <c r="B1061" s="2" t="s">
        <v>180</v>
      </c>
      <c r="C1061" s="2">
        <v>0</v>
      </c>
    </row>
    <row r="1062" spans="2:3" hidden="1">
      <c r="B1062" s="2" t="s">
        <v>181</v>
      </c>
      <c r="C1062" s="2">
        <v>8500</v>
      </c>
    </row>
    <row r="1063" spans="2:3" hidden="1">
      <c r="B1063" s="2" t="s">
        <v>182</v>
      </c>
      <c r="C1063" s="2">
        <v>0</v>
      </c>
    </row>
    <row r="1064" spans="2:3" hidden="1">
      <c r="B1064" s="2" t="s">
        <v>183</v>
      </c>
      <c r="C1064" s="2">
        <v>15000</v>
      </c>
    </row>
    <row r="1065" spans="2:3" hidden="1">
      <c r="B1065" s="2" t="s">
        <v>184</v>
      </c>
      <c r="C1065" s="2">
        <v>3</v>
      </c>
    </row>
    <row r="1066" spans="2:3" hidden="1">
      <c r="B1066" s="2" t="s">
        <v>185</v>
      </c>
      <c r="C1066" s="2">
        <v>0</v>
      </c>
    </row>
    <row r="1067" spans="2:3" hidden="1">
      <c r="B1067" s="2" t="s">
        <v>186</v>
      </c>
      <c r="C1067" s="2">
        <v>0</v>
      </c>
    </row>
    <row r="1068" spans="2:3" hidden="1">
      <c r="B1068" s="2" t="s">
        <v>187</v>
      </c>
      <c r="C1068" s="2">
        <v>0</v>
      </c>
    </row>
    <row r="1069" spans="2:3" hidden="1">
      <c r="B1069" s="2" t="s">
        <v>188</v>
      </c>
      <c r="C1069" s="2">
        <v>0</v>
      </c>
    </row>
    <row r="1070" spans="2:3" hidden="1">
      <c r="B1070" s="2" t="s">
        <v>189</v>
      </c>
      <c r="C1070" s="2">
        <v>0</v>
      </c>
    </row>
    <row r="1071" spans="2:3" hidden="1">
      <c r="B1071" s="2" t="s">
        <v>190</v>
      </c>
      <c r="C1071" s="2">
        <v>0</v>
      </c>
    </row>
    <row r="1072" spans="2:3" hidden="1">
      <c r="B1072" s="2" t="s">
        <v>191</v>
      </c>
      <c r="C1072" s="2">
        <v>0</v>
      </c>
    </row>
    <row r="1073" spans="2:3" hidden="1">
      <c r="B1073" s="2" t="s">
        <v>192</v>
      </c>
      <c r="C1073" s="2">
        <v>0</v>
      </c>
    </row>
    <row r="1074" spans="2:3" hidden="1">
      <c r="B1074" s="2" t="s">
        <v>193</v>
      </c>
      <c r="C1074" s="2">
        <v>0</v>
      </c>
    </row>
    <row r="1075" spans="2:3" hidden="1">
      <c r="B1075" s="2" t="s">
        <v>194</v>
      </c>
      <c r="C1075" s="2">
        <v>0</v>
      </c>
    </row>
    <row r="1076" spans="2:3" hidden="1">
      <c r="B1076" s="2" t="s">
        <v>195</v>
      </c>
      <c r="C1076" s="2">
        <v>0</v>
      </c>
    </row>
    <row r="1077" spans="2:3" hidden="1">
      <c r="B1077" s="2" t="s">
        <v>196</v>
      </c>
      <c r="C1077" s="2">
        <v>0</v>
      </c>
    </row>
    <row r="1078" spans="2:3" hidden="1">
      <c r="B1078" s="2" t="s">
        <v>197</v>
      </c>
      <c r="C1078" s="2">
        <v>0</v>
      </c>
    </row>
    <row r="1079" spans="2:3" hidden="1">
      <c r="B1079" s="2" t="s">
        <v>198</v>
      </c>
      <c r="C1079" s="2">
        <v>0</v>
      </c>
    </row>
    <row r="1080" spans="2:3" hidden="1">
      <c r="B1080" s="2" t="s">
        <v>199</v>
      </c>
      <c r="C1080" s="2">
        <v>0</v>
      </c>
    </row>
    <row r="1081" spans="2:3" hidden="1">
      <c r="B1081" s="2" t="s">
        <v>200</v>
      </c>
      <c r="C1081" s="2">
        <v>0</v>
      </c>
    </row>
    <row r="1082" spans="2:3" hidden="1">
      <c r="B1082" s="2" t="s">
        <v>201</v>
      </c>
      <c r="C1082" s="2">
        <v>0</v>
      </c>
    </row>
    <row r="1083" spans="2:3" hidden="1">
      <c r="B1083" s="2" t="s">
        <v>202</v>
      </c>
      <c r="C1083" s="2">
        <v>0</v>
      </c>
    </row>
    <row r="1084" spans="2:3" hidden="1">
      <c r="B1084" s="2" t="s">
        <v>203</v>
      </c>
      <c r="C1084" s="2">
        <v>0</v>
      </c>
    </row>
    <row r="1085" spans="2:3" hidden="1">
      <c r="B1085" s="2" t="s">
        <v>204</v>
      </c>
      <c r="C1085" s="2">
        <v>0</v>
      </c>
    </row>
    <row r="1086" spans="2:3" hidden="1">
      <c r="B1086" s="2" t="s">
        <v>205</v>
      </c>
      <c r="C1086" s="2">
        <v>0</v>
      </c>
    </row>
    <row r="1087" spans="2:3" hidden="1">
      <c r="B1087" s="2" t="s">
        <v>206</v>
      </c>
      <c r="C1087" s="2">
        <v>0</v>
      </c>
    </row>
    <row r="1088" spans="2:3" hidden="1">
      <c r="B1088" s="2" t="s">
        <v>207</v>
      </c>
      <c r="C1088" s="2">
        <v>0</v>
      </c>
    </row>
    <row r="1089" spans="2:3" hidden="1">
      <c r="B1089" s="2" t="s">
        <v>208</v>
      </c>
      <c r="C1089" s="2">
        <v>0</v>
      </c>
    </row>
    <row r="1090" spans="2:3" hidden="1">
      <c r="B1090" s="2" t="s">
        <v>209</v>
      </c>
      <c r="C1090" s="2">
        <v>0</v>
      </c>
    </row>
    <row r="1091" spans="2:3" hidden="1">
      <c r="B1091" s="2" t="s">
        <v>210</v>
      </c>
      <c r="C1091" s="2">
        <v>0</v>
      </c>
    </row>
    <row r="1092" spans="2:3" hidden="1">
      <c r="B1092" s="2" t="s">
        <v>211</v>
      </c>
      <c r="C1092" s="2">
        <v>0</v>
      </c>
    </row>
    <row r="1093" spans="2:3" hidden="1">
      <c r="B1093" s="2" t="s">
        <v>212</v>
      </c>
      <c r="C1093" s="2">
        <v>0</v>
      </c>
    </row>
    <row r="1094" spans="2:3" hidden="1">
      <c r="B1094" s="2" t="s">
        <v>213</v>
      </c>
      <c r="C1094" s="2">
        <v>0</v>
      </c>
    </row>
    <row r="1095" spans="2:3" hidden="1">
      <c r="B1095" s="2" t="s">
        <v>214</v>
      </c>
      <c r="C1095" s="2">
        <v>0</v>
      </c>
    </row>
    <row r="1096" spans="2:3" hidden="1">
      <c r="B1096" s="2" t="s">
        <v>215</v>
      </c>
      <c r="C1096" s="2">
        <v>0</v>
      </c>
    </row>
    <row r="1097" spans="2:3" hidden="1">
      <c r="B1097" s="2" t="s">
        <v>216</v>
      </c>
      <c r="C1097" s="2">
        <v>0</v>
      </c>
    </row>
    <row r="1098" spans="2:3" hidden="1">
      <c r="B1098" s="2" t="s">
        <v>217</v>
      </c>
      <c r="C1098" s="2" t="s">
        <v>218</v>
      </c>
    </row>
    <row r="1099" spans="2:3" hidden="1">
      <c r="B1099" s="2" t="s">
        <v>219</v>
      </c>
      <c r="C1099" s="2" t="s">
        <v>220</v>
      </c>
    </row>
    <row r="1100" spans="2:3" hidden="1">
      <c r="B1100" s="2" t="s">
        <v>221</v>
      </c>
      <c r="C1100" s="2" t="s">
        <v>222</v>
      </c>
    </row>
    <row r="1101" spans="2:3" hidden="1">
      <c r="B1101" s="2" t="s">
        <v>223</v>
      </c>
      <c r="C1101" s="2" t="s">
        <v>224</v>
      </c>
    </row>
    <row r="1102" spans="2:3" hidden="1">
      <c r="B1102" s="2" t="s">
        <v>225</v>
      </c>
      <c r="C1102" s="2" t="s">
        <v>226</v>
      </c>
    </row>
    <row r="1103" spans="2:3" hidden="1">
      <c r="B1103" s="2" t="s">
        <v>227</v>
      </c>
      <c r="C1103" s="2" t="s">
        <v>228</v>
      </c>
    </row>
    <row r="1104" spans="2:3" hidden="1">
      <c r="B1104" s="2" t="s">
        <v>229</v>
      </c>
      <c r="C1104" s="2" t="s">
        <v>230</v>
      </c>
    </row>
    <row r="1105" spans="2:3" hidden="1">
      <c r="B1105" s="2" t="s">
        <v>231</v>
      </c>
      <c r="C1105" s="2" t="s">
        <v>232</v>
      </c>
    </row>
    <row r="1106" spans="2:3" hidden="1">
      <c r="B1106" s="2" t="s">
        <v>233</v>
      </c>
      <c r="C1106" s="2" t="s">
        <v>234</v>
      </c>
    </row>
    <row r="1107" spans="2:3" hidden="1">
      <c r="B1107" s="2" t="s">
        <v>235</v>
      </c>
      <c r="C1107" s="2" t="s">
        <v>236</v>
      </c>
    </row>
    <row r="1108" spans="2:3" hidden="1">
      <c r="B1108" s="2" t="s">
        <v>237</v>
      </c>
      <c r="C1108" s="2" t="s">
        <v>238</v>
      </c>
    </row>
    <row r="1109" spans="2:3" hidden="1">
      <c r="B1109" s="2" t="s">
        <v>239</v>
      </c>
      <c r="C1109" s="2" t="s">
        <v>240</v>
      </c>
    </row>
    <row r="1110" spans="2:3" hidden="1">
      <c r="B1110" s="2" t="s">
        <v>241</v>
      </c>
      <c r="C1110" s="2" t="s">
        <v>238</v>
      </c>
    </row>
    <row r="1111" spans="2:3" hidden="1">
      <c r="B1111" s="2" t="s">
        <v>242</v>
      </c>
      <c r="C1111" s="2" t="s">
        <v>230</v>
      </c>
    </row>
    <row r="1112" spans="2:3" hidden="1">
      <c r="B1112" s="2" t="s">
        <v>243</v>
      </c>
      <c r="C1112" s="2" t="s">
        <v>218</v>
      </c>
    </row>
    <row r="1113" spans="2:3" hidden="1">
      <c r="B1113" s="2" t="s">
        <v>244</v>
      </c>
      <c r="C1113" s="2" t="s">
        <v>238</v>
      </c>
    </row>
    <row r="1114" spans="2:3" hidden="1">
      <c r="B1114" s="2" t="s">
        <v>245</v>
      </c>
      <c r="C1114" s="2" t="s">
        <v>238</v>
      </c>
    </row>
    <row r="1115" spans="2:3" hidden="1">
      <c r="B1115" s="2" t="s">
        <v>246</v>
      </c>
      <c r="C1115" s="2" t="s">
        <v>226</v>
      </c>
    </row>
    <row r="1116" spans="2:3" hidden="1">
      <c r="B1116" s="2" t="s">
        <v>247</v>
      </c>
      <c r="C1116" s="2" t="s">
        <v>248</v>
      </c>
    </row>
    <row r="1117" spans="2:3" hidden="1">
      <c r="B1117" s="2" t="s">
        <v>249</v>
      </c>
      <c r="C1117" s="2" t="s">
        <v>222</v>
      </c>
    </row>
    <row r="1118" spans="2:3" hidden="1">
      <c r="B1118" s="2" t="s">
        <v>250</v>
      </c>
      <c r="C1118" s="2" t="s">
        <v>248</v>
      </c>
    </row>
    <row r="1119" spans="2:3" hidden="1">
      <c r="B1119" s="2" t="s">
        <v>251</v>
      </c>
      <c r="C1119" s="2" t="s">
        <v>252</v>
      </c>
    </row>
    <row r="1120" spans="2:3" hidden="1">
      <c r="B1120" s="2" t="s">
        <v>253</v>
      </c>
      <c r="C1120" s="2" t="s">
        <v>254</v>
      </c>
    </row>
    <row r="1121" spans="2:3" hidden="1">
      <c r="B1121" s="2" t="s">
        <v>255</v>
      </c>
      <c r="C1121" s="2" t="s">
        <v>256</v>
      </c>
    </row>
    <row r="1122" spans="2:3" hidden="1">
      <c r="B1122" s="2" t="s">
        <v>257</v>
      </c>
      <c r="C1122" s="2" t="s">
        <v>218</v>
      </c>
    </row>
    <row r="1123" spans="2:3" hidden="1">
      <c r="B1123" s="2" t="s">
        <v>258</v>
      </c>
      <c r="C1123" s="2" t="s">
        <v>226</v>
      </c>
    </row>
    <row r="1124" spans="2:3" hidden="1">
      <c r="B1124" s="2" t="s">
        <v>259</v>
      </c>
      <c r="C1124" s="2" t="s">
        <v>260</v>
      </c>
    </row>
    <row r="1125" spans="2:3" hidden="1">
      <c r="B1125" s="2" t="s">
        <v>261</v>
      </c>
      <c r="C1125" s="2" t="s">
        <v>262</v>
      </c>
    </row>
    <row r="1126" spans="2:3" hidden="1">
      <c r="B1126" s="2" t="s">
        <v>263</v>
      </c>
      <c r="C1126" s="2">
        <v>0</v>
      </c>
    </row>
    <row r="1127" spans="2:3" hidden="1">
      <c r="B1127" s="2" t="s">
        <v>264</v>
      </c>
      <c r="C1127" s="2">
        <v>0</v>
      </c>
    </row>
    <row r="1128" spans="2:3" hidden="1">
      <c r="B1128" s="2" t="s">
        <v>265</v>
      </c>
      <c r="C1128" s="2">
        <v>0</v>
      </c>
    </row>
    <row r="1129" spans="2:3" hidden="1">
      <c r="B1129" s="2" t="s">
        <v>266</v>
      </c>
      <c r="C1129" s="2">
        <v>0</v>
      </c>
    </row>
    <row r="1130" spans="2:3" hidden="1">
      <c r="B1130" s="2" t="s">
        <v>268</v>
      </c>
      <c r="C1130" s="2">
        <v>0</v>
      </c>
    </row>
    <row r="1131" spans="2:3" hidden="1">
      <c r="B1131" s="2" t="s">
        <v>269</v>
      </c>
      <c r="C1131" s="2">
        <v>0</v>
      </c>
    </row>
    <row r="1132" spans="2:3" hidden="1">
      <c r="B1132" s="2" t="s">
        <v>270</v>
      </c>
      <c r="C1132" s="2">
        <v>0</v>
      </c>
    </row>
    <row r="1133" spans="2:3" hidden="1">
      <c r="B1133" s="2" t="s">
        <v>271</v>
      </c>
      <c r="C1133" s="2">
        <v>0</v>
      </c>
    </row>
    <row r="1134" spans="2:3" hidden="1">
      <c r="B1134" s="2" t="s">
        <v>272</v>
      </c>
      <c r="C1134" s="2">
        <v>0</v>
      </c>
    </row>
    <row r="1135" spans="2:3" hidden="1">
      <c r="B1135" s="2" t="s">
        <v>273</v>
      </c>
      <c r="C1135" s="2">
        <v>0</v>
      </c>
    </row>
    <row r="1136" spans="2:3" hidden="1">
      <c r="B1136" s="2" t="s">
        <v>274</v>
      </c>
      <c r="C1136" s="2">
        <v>0</v>
      </c>
    </row>
    <row r="1137" spans="2:3" hidden="1">
      <c r="B1137" s="2" t="s">
        <v>275</v>
      </c>
      <c r="C1137" s="2" t="s">
        <v>276</v>
      </c>
    </row>
    <row r="1138" spans="2:3" hidden="1">
      <c r="B1138" s="2" t="s">
        <v>277</v>
      </c>
      <c r="C1138" s="2">
        <v>0</v>
      </c>
    </row>
    <row r="1139" spans="2:3" hidden="1">
      <c r="B1139" s="2" t="s">
        <v>278</v>
      </c>
      <c r="C1139" s="2">
        <v>0</v>
      </c>
    </row>
    <row r="1140" spans="2:3" hidden="1">
      <c r="B1140" s="2" t="s">
        <v>279</v>
      </c>
      <c r="C1140" s="2">
        <v>0</v>
      </c>
    </row>
    <row r="1141" spans="2:3" hidden="1">
      <c r="B1141" s="2" t="s">
        <v>280</v>
      </c>
      <c r="C1141" s="2">
        <v>0</v>
      </c>
    </row>
    <row r="1142" spans="2:3" hidden="1">
      <c r="B1142" s="2" t="s">
        <v>281</v>
      </c>
      <c r="C1142" s="2">
        <v>0</v>
      </c>
    </row>
    <row r="1143" spans="2:3" hidden="1">
      <c r="B1143" s="2" t="s">
        <v>282</v>
      </c>
      <c r="C1143" s="2">
        <v>0</v>
      </c>
    </row>
    <row r="1144" spans="2:3" hidden="1">
      <c r="B1144" s="2" t="s">
        <v>283</v>
      </c>
      <c r="C1144" s="2">
        <v>0</v>
      </c>
    </row>
    <row r="1145" spans="2:3" hidden="1">
      <c r="B1145" s="2" t="s">
        <v>284</v>
      </c>
      <c r="C1145" s="2" t="s">
        <v>285</v>
      </c>
    </row>
    <row r="1146" spans="2:3" hidden="1">
      <c r="B1146" s="2" t="s">
        <v>286</v>
      </c>
      <c r="C1146" s="2">
        <v>0</v>
      </c>
    </row>
    <row r="1147" spans="2:3" hidden="1">
      <c r="B1147" s="2" t="s">
        <v>287</v>
      </c>
      <c r="C1147" s="2">
        <v>0</v>
      </c>
    </row>
    <row r="1148" spans="2:3" hidden="1">
      <c r="B1148" s="2" t="s">
        <v>288</v>
      </c>
      <c r="C1148" s="2">
        <v>0</v>
      </c>
    </row>
    <row r="1149" spans="2:3" hidden="1">
      <c r="B1149" s="2" t="s">
        <v>289</v>
      </c>
      <c r="C1149" s="2">
        <v>0</v>
      </c>
    </row>
    <row r="1150" spans="2:3" hidden="1">
      <c r="B1150" s="2" t="s">
        <v>290</v>
      </c>
      <c r="C1150" s="2">
        <v>0</v>
      </c>
    </row>
    <row r="1151" spans="2:3" hidden="1">
      <c r="B1151" s="2" t="s">
        <v>291</v>
      </c>
      <c r="C1151" s="2">
        <v>0</v>
      </c>
    </row>
    <row r="1152" spans="2:3" hidden="1">
      <c r="B1152" s="2" t="s">
        <v>292</v>
      </c>
      <c r="C1152" s="2">
        <v>0</v>
      </c>
    </row>
    <row r="1153" spans="2:3" hidden="1">
      <c r="B1153" s="2" t="s">
        <v>293</v>
      </c>
      <c r="C1153" s="2">
        <v>0</v>
      </c>
    </row>
    <row r="1154" spans="2:3" hidden="1">
      <c r="B1154" s="2" t="s">
        <v>294</v>
      </c>
      <c r="C1154" s="2">
        <v>0</v>
      </c>
    </row>
    <row r="1155" spans="2:3" hidden="1">
      <c r="B1155" s="2" t="s">
        <v>295</v>
      </c>
      <c r="C1155" s="2">
        <v>0</v>
      </c>
    </row>
    <row r="1156" spans="2:3" hidden="1">
      <c r="B1156" s="2" t="s">
        <v>296</v>
      </c>
      <c r="C1156" s="2">
        <v>0</v>
      </c>
    </row>
    <row r="1157" spans="2:3" hidden="1">
      <c r="B1157" s="2" t="s">
        <v>297</v>
      </c>
      <c r="C1157" s="2">
        <v>0</v>
      </c>
    </row>
    <row r="1158" spans="2:3" hidden="1">
      <c r="B1158" s="2" t="s">
        <v>298</v>
      </c>
      <c r="C1158" s="2">
        <v>0</v>
      </c>
    </row>
    <row r="1159" spans="2:3" hidden="1">
      <c r="B1159" s="2" t="s">
        <v>299</v>
      </c>
      <c r="C1159" s="2">
        <v>0</v>
      </c>
    </row>
    <row r="1160" spans="2:3" hidden="1">
      <c r="B1160" s="2" t="s">
        <v>300</v>
      </c>
      <c r="C1160" s="2">
        <v>0</v>
      </c>
    </row>
    <row r="1161" spans="2:3" hidden="1">
      <c r="B1161" s="2" t="s">
        <v>301</v>
      </c>
      <c r="C1161" s="2">
        <v>0</v>
      </c>
    </row>
    <row r="1162" spans="2:3" hidden="1">
      <c r="B1162" s="2" t="s">
        <v>302</v>
      </c>
      <c r="C1162" s="2">
        <v>0</v>
      </c>
    </row>
    <row r="1163" spans="2:3" hidden="1">
      <c r="B1163" s="2" t="s">
        <v>303</v>
      </c>
      <c r="C1163" s="2" t="s">
        <v>267</v>
      </c>
    </row>
    <row r="1164" spans="2:3" hidden="1">
      <c r="B1164" s="2" t="s">
        <v>304</v>
      </c>
      <c r="C1164" s="2">
        <v>0</v>
      </c>
    </row>
    <row r="1165" spans="2:3" hidden="1">
      <c r="B1165" s="2" t="s">
        <v>305</v>
      </c>
      <c r="C1165" s="2">
        <v>0</v>
      </c>
    </row>
    <row r="1166" spans="2:3" hidden="1">
      <c r="B1166" s="2" t="s">
        <v>306</v>
      </c>
      <c r="C1166" s="2">
        <v>0</v>
      </c>
    </row>
    <row r="1167" spans="2:3" hidden="1">
      <c r="B1167" s="2" t="s">
        <v>307</v>
      </c>
      <c r="C1167" s="2">
        <v>0</v>
      </c>
    </row>
    <row r="1168" spans="2:3" hidden="1">
      <c r="B1168" s="2" t="s">
        <v>308</v>
      </c>
      <c r="C1168" s="2">
        <v>0</v>
      </c>
    </row>
    <row r="1169" spans="2:3" hidden="1">
      <c r="B1169" s="2" t="s">
        <v>309</v>
      </c>
      <c r="C1169" s="2">
        <v>0</v>
      </c>
    </row>
    <row r="1170" spans="2:3" hidden="1">
      <c r="B1170" s="2" t="s">
        <v>310</v>
      </c>
      <c r="C1170" s="2">
        <v>0</v>
      </c>
    </row>
    <row r="1171" spans="2:3" hidden="1">
      <c r="B1171" s="2" t="s">
        <v>311</v>
      </c>
      <c r="C1171" s="2">
        <v>0</v>
      </c>
    </row>
    <row r="1172" spans="2:3" hidden="1">
      <c r="B1172" s="2" t="s">
        <v>312</v>
      </c>
      <c r="C1172" s="2">
        <v>0</v>
      </c>
    </row>
    <row r="1173" spans="2:3" hidden="1">
      <c r="B1173" s="2" t="s">
        <v>313</v>
      </c>
      <c r="C1173" s="2">
        <v>0</v>
      </c>
    </row>
    <row r="1174" spans="2:3" hidden="1">
      <c r="B1174" s="2" t="s">
        <v>314</v>
      </c>
      <c r="C1174" s="2">
        <v>0</v>
      </c>
    </row>
    <row r="1175" spans="2:3" hidden="1">
      <c r="B1175" s="2" t="s">
        <v>315</v>
      </c>
      <c r="C1175" s="2">
        <v>1</v>
      </c>
    </row>
    <row r="1176" spans="2:3" hidden="1">
      <c r="B1176" s="2" t="s">
        <v>316</v>
      </c>
      <c r="C1176" s="2">
        <v>0</v>
      </c>
    </row>
    <row r="1177" spans="2:3" hidden="1">
      <c r="B1177" s="2" t="s">
        <v>317</v>
      </c>
      <c r="C1177" s="2">
        <v>0</v>
      </c>
    </row>
    <row r="1178" spans="2:3" hidden="1">
      <c r="B1178" s="2" t="s">
        <v>318</v>
      </c>
      <c r="C1178" s="2">
        <v>0</v>
      </c>
    </row>
    <row r="1179" spans="2:3" hidden="1">
      <c r="B1179" s="2" t="s">
        <v>319</v>
      </c>
      <c r="C1179" s="2">
        <v>0</v>
      </c>
    </row>
    <row r="1180" spans="2:3" hidden="1">
      <c r="B1180" s="2" t="s">
        <v>320</v>
      </c>
      <c r="C1180" s="2">
        <v>0</v>
      </c>
    </row>
    <row r="1181" spans="2:3" hidden="1">
      <c r="B1181" s="2" t="s">
        <v>321</v>
      </c>
      <c r="C1181" s="2">
        <v>0</v>
      </c>
    </row>
    <row r="1182" spans="2:3" hidden="1">
      <c r="B1182" s="2" t="s">
        <v>322</v>
      </c>
      <c r="C1182" s="2">
        <v>0</v>
      </c>
    </row>
    <row r="1183" spans="2:3" hidden="1">
      <c r="B1183" s="2" t="s">
        <v>323</v>
      </c>
      <c r="C1183" s="2">
        <v>1</v>
      </c>
    </row>
    <row r="1184" spans="2:3" hidden="1">
      <c r="B1184" s="2" t="s">
        <v>324</v>
      </c>
      <c r="C1184" s="2">
        <v>0</v>
      </c>
    </row>
    <row r="1185" spans="2:3" hidden="1">
      <c r="B1185" s="2" t="s">
        <v>325</v>
      </c>
      <c r="C1185" s="2">
        <v>0</v>
      </c>
    </row>
    <row r="1186" spans="2:3" hidden="1">
      <c r="B1186" s="2" t="s">
        <v>326</v>
      </c>
      <c r="C1186" s="2">
        <v>0</v>
      </c>
    </row>
    <row r="1187" spans="2:3" hidden="1">
      <c r="B1187" s="2" t="s">
        <v>327</v>
      </c>
      <c r="C1187" s="2">
        <v>0</v>
      </c>
    </row>
    <row r="1188" spans="2:3" hidden="1">
      <c r="B1188" s="2" t="s">
        <v>328</v>
      </c>
      <c r="C1188" s="2">
        <v>0</v>
      </c>
    </row>
    <row r="1189" spans="2:3" hidden="1">
      <c r="B1189" s="2" t="s">
        <v>329</v>
      </c>
      <c r="C1189" s="2">
        <v>0</v>
      </c>
    </row>
    <row r="1190" spans="2:3" hidden="1">
      <c r="B1190" s="2" t="s">
        <v>330</v>
      </c>
      <c r="C1190" s="2">
        <v>0</v>
      </c>
    </row>
    <row r="1191" spans="2:3" hidden="1">
      <c r="B1191" s="2" t="s">
        <v>331</v>
      </c>
      <c r="C1191" s="2">
        <v>0</v>
      </c>
    </row>
    <row r="1192" spans="2:3" hidden="1">
      <c r="B1192" s="2" t="s">
        <v>332</v>
      </c>
      <c r="C1192" s="2">
        <v>0</v>
      </c>
    </row>
    <row r="1193" spans="2:3" hidden="1">
      <c r="B1193" s="2" t="s">
        <v>333</v>
      </c>
      <c r="C1193" s="2">
        <v>0</v>
      </c>
    </row>
    <row r="1194" spans="2:3" hidden="1">
      <c r="B1194" s="2" t="s">
        <v>334</v>
      </c>
      <c r="C1194" s="2">
        <v>0</v>
      </c>
    </row>
    <row r="1195" spans="2:3" hidden="1">
      <c r="B1195" s="2" t="s">
        <v>335</v>
      </c>
      <c r="C1195" s="2">
        <v>0</v>
      </c>
    </row>
    <row r="1196" spans="2:3" hidden="1">
      <c r="B1196" s="2" t="s">
        <v>336</v>
      </c>
      <c r="C1196" s="2">
        <v>0</v>
      </c>
    </row>
    <row r="1197" spans="2:3" hidden="1">
      <c r="B1197" s="2" t="s">
        <v>337</v>
      </c>
      <c r="C1197" s="2">
        <v>0</v>
      </c>
    </row>
    <row r="1198" spans="2:3" hidden="1">
      <c r="B1198" s="2" t="s">
        <v>338</v>
      </c>
      <c r="C1198" s="2">
        <v>0</v>
      </c>
    </row>
    <row r="1199" spans="2:3" hidden="1">
      <c r="B1199" s="2" t="s">
        <v>339</v>
      </c>
      <c r="C1199" s="2">
        <v>0</v>
      </c>
    </row>
    <row r="1200" spans="2:3" hidden="1">
      <c r="B1200" s="2" t="s">
        <v>340</v>
      </c>
      <c r="C1200" s="2">
        <v>0</v>
      </c>
    </row>
    <row r="1201" spans="2:3" hidden="1">
      <c r="B1201" s="2" t="s">
        <v>341</v>
      </c>
      <c r="C1201" s="2">
        <v>0</v>
      </c>
    </row>
    <row r="1202" spans="2:3" hidden="1">
      <c r="B1202" s="2" t="s">
        <v>342</v>
      </c>
      <c r="C1202" s="2">
        <v>1</v>
      </c>
    </row>
    <row r="1203" spans="2:3" hidden="1">
      <c r="B1203" s="2" t="s">
        <v>343</v>
      </c>
      <c r="C1203" s="2">
        <v>0</v>
      </c>
    </row>
    <row r="1204" spans="2:3" hidden="1">
      <c r="B1204" s="2" t="s">
        <v>344</v>
      </c>
      <c r="C1204" s="2">
        <v>0</v>
      </c>
    </row>
    <row r="1205" spans="2:3" hidden="1">
      <c r="B1205" s="2" t="s">
        <v>345</v>
      </c>
      <c r="C1205" s="2">
        <v>0</v>
      </c>
    </row>
    <row r="1206" spans="2:3" hidden="1">
      <c r="B1206" s="2" t="s">
        <v>346</v>
      </c>
      <c r="C1206" s="2">
        <v>0</v>
      </c>
    </row>
    <row r="1207" spans="2:3" hidden="1">
      <c r="B1207" s="2" t="s">
        <v>347</v>
      </c>
      <c r="C1207" s="2">
        <v>0</v>
      </c>
    </row>
    <row r="1208" spans="2:3" hidden="1">
      <c r="B1208" s="2" t="s">
        <v>348</v>
      </c>
      <c r="C1208" s="2">
        <v>0</v>
      </c>
    </row>
    <row r="1209" spans="2:3" hidden="1">
      <c r="B1209" s="2" t="s">
        <v>349</v>
      </c>
      <c r="C1209" s="2">
        <v>0</v>
      </c>
    </row>
    <row r="1210" spans="2:3" hidden="1">
      <c r="B1210" s="2" t="s">
        <v>350</v>
      </c>
      <c r="C1210" s="2">
        <v>0</v>
      </c>
    </row>
    <row r="1211" spans="2:3" hidden="1">
      <c r="B1211" s="2" t="s">
        <v>351</v>
      </c>
      <c r="C1211" s="2">
        <v>0</v>
      </c>
    </row>
    <row r="1212" spans="2:3" hidden="1">
      <c r="B1212" s="2" t="s">
        <v>352</v>
      </c>
      <c r="C1212" s="2">
        <v>0</v>
      </c>
    </row>
    <row r="1213" spans="2:3" hidden="1">
      <c r="B1213" s="2" t="s">
        <v>353</v>
      </c>
      <c r="C1213" s="2">
        <v>0</v>
      </c>
    </row>
    <row r="1214" spans="2:3" hidden="1">
      <c r="B1214" s="2" t="s">
        <v>354</v>
      </c>
      <c r="C1214" s="2">
        <v>0</v>
      </c>
    </row>
    <row r="1215" spans="2:3" hidden="1">
      <c r="B1215" s="2" t="s">
        <v>355</v>
      </c>
      <c r="C1215" s="2">
        <v>0</v>
      </c>
    </row>
    <row r="1216" spans="2:3" hidden="1">
      <c r="B1216" s="2" t="s">
        <v>356</v>
      </c>
      <c r="C1216" s="2">
        <v>0</v>
      </c>
    </row>
    <row r="1217" spans="2:3" hidden="1">
      <c r="B1217" s="2" t="s">
        <v>357</v>
      </c>
      <c r="C1217" s="2">
        <v>0</v>
      </c>
    </row>
    <row r="1218" spans="2:3" hidden="1">
      <c r="B1218" s="2" t="s">
        <v>358</v>
      </c>
      <c r="C1218" s="2">
        <v>0</v>
      </c>
    </row>
    <row r="1219" spans="2:3" hidden="1">
      <c r="B1219" s="2" t="s">
        <v>359</v>
      </c>
      <c r="C1219" s="2">
        <v>0</v>
      </c>
    </row>
    <row r="1220" spans="2:3" hidden="1">
      <c r="B1220" s="2" t="s">
        <v>360</v>
      </c>
      <c r="C1220" s="2">
        <v>0</v>
      </c>
    </row>
    <row r="1221" spans="2:3" hidden="1">
      <c r="B1221" s="2" t="s">
        <v>361</v>
      </c>
      <c r="C1221" s="2">
        <v>0</v>
      </c>
    </row>
    <row r="1222" spans="2:3" hidden="1">
      <c r="B1222" s="2" t="s">
        <v>362</v>
      </c>
      <c r="C1222" s="2">
        <v>0</v>
      </c>
    </row>
    <row r="1223" spans="2:3" hidden="1">
      <c r="B1223" s="2" t="s">
        <v>363</v>
      </c>
      <c r="C1223" s="2">
        <v>0</v>
      </c>
    </row>
    <row r="1224" spans="2:3" hidden="1">
      <c r="B1224" s="2" t="s">
        <v>364</v>
      </c>
      <c r="C1224" s="2">
        <v>0</v>
      </c>
    </row>
    <row r="1225" spans="2:3" hidden="1">
      <c r="B1225" s="2" t="s">
        <v>365</v>
      </c>
      <c r="C1225" s="2">
        <v>0</v>
      </c>
    </row>
    <row r="1226" spans="2:3" hidden="1">
      <c r="B1226" s="2" t="s">
        <v>366</v>
      </c>
      <c r="C1226" s="2">
        <v>0</v>
      </c>
    </row>
    <row r="1227" spans="2:3" hidden="1">
      <c r="B1227" s="2" t="s">
        <v>367</v>
      </c>
      <c r="C1227" s="2">
        <v>0</v>
      </c>
    </row>
    <row r="1228" spans="2:3" hidden="1">
      <c r="B1228" s="2" t="s">
        <v>368</v>
      </c>
      <c r="C1228" s="2">
        <v>0</v>
      </c>
    </row>
    <row r="1229" spans="2:3" hidden="1">
      <c r="B1229" s="2" t="s">
        <v>369</v>
      </c>
      <c r="C1229" s="2">
        <v>0</v>
      </c>
    </row>
    <row r="1230" spans="2:3" hidden="1">
      <c r="B1230" s="2" t="s">
        <v>370</v>
      </c>
      <c r="C1230" s="2">
        <v>0</v>
      </c>
    </row>
    <row r="1231" spans="2:3" hidden="1">
      <c r="B1231" s="2" t="s">
        <v>371</v>
      </c>
      <c r="C1231" s="2">
        <v>0</v>
      </c>
    </row>
    <row r="1232" spans="2:3" hidden="1">
      <c r="B1232" s="2" t="s">
        <v>372</v>
      </c>
      <c r="C1232" s="2">
        <v>0</v>
      </c>
    </row>
    <row r="1233" spans="2:3" hidden="1">
      <c r="B1233" s="2" t="s">
        <v>373</v>
      </c>
      <c r="C1233" s="2">
        <v>0</v>
      </c>
    </row>
    <row r="1234" spans="2:3" hidden="1">
      <c r="B1234" s="2" t="s">
        <v>374</v>
      </c>
      <c r="C1234" s="2">
        <v>0</v>
      </c>
    </row>
    <row r="1235" spans="2:3" hidden="1">
      <c r="B1235" s="2" t="s">
        <v>375</v>
      </c>
      <c r="C1235" s="2">
        <v>0</v>
      </c>
    </row>
    <row r="1236" spans="2:3" hidden="1">
      <c r="B1236" s="2" t="s">
        <v>376</v>
      </c>
      <c r="C1236" s="2">
        <v>0</v>
      </c>
    </row>
    <row r="1237" spans="2:3" hidden="1">
      <c r="B1237" s="2" t="s">
        <v>377</v>
      </c>
      <c r="C1237" s="2">
        <v>0</v>
      </c>
    </row>
    <row r="1238" spans="2:3" hidden="1">
      <c r="B1238" s="2" t="s">
        <v>378</v>
      </c>
      <c r="C1238" s="2">
        <v>0</v>
      </c>
    </row>
    <row r="1239" spans="2:3" hidden="1">
      <c r="B1239" s="2" t="s">
        <v>379</v>
      </c>
      <c r="C1239" s="2">
        <v>0</v>
      </c>
    </row>
    <row r="1240" spans="2:3" hidden="1">
      <c r="B1240" s="2" t="s">
        <v>380</v>
      </c>
      <c r="C1240" s="2">
        <v>0</v>
      </c>
    </row>
    <row r="1241" spans="2:3" hidden="1">
      <c r="B1241" s="2" t="s">
        <v>381</v>
      </c>
      <c r="C1241" s="2">
        <v>0</v>
      </c>
    </row>
    <row r="1242" spans="2:3" hidden="1">
      <c r="B1242" s="2" t="s">
        <v>382</v>
      </c>
      <c r="C1242" s="2">
        <v>0</v>
      </c>
    </row>
    <row r="1243" spans="2:3" hidden="1">
      <c r="B1243" s="2" t="s">
        <v>383</v>
      </c>
      <c r="C1243" s="2">
        <v>0</v>
      </c>
    </row>
  </sheetData>
  <protectedRanges>
    <protectedRange sqref="F1 C7:E7 F8:F9 F25:F26 F32" name="Grey cells"/>
  </protectedRanges>
  <mergeCells count="3">
    <mergeCell ref="B3:F3"/>
    <mergeCell ref="B92:I92"/>
    <mergeCell ref="A93:A100"/>
  </mergeCells>
  <conditionalFormatting sqref="B83:C83">
    <cfRule type="expression" dxfId="1" priority="3" stopIfTrue="1">
      <formula>MID($B83,1,4)="Rent"</formula>
    </cfRule>
  </conditionalFormatting>
  <conditionalFormatting sqref="C12:D33">
    <cfRule type="expression" dxfId="0" priority="1">
      <formula>$F$1="yes"</formula>
    </cfRule>
  </conditionalFormatting>
  <dataValidations disablePrompts="1" count="1">
    <dataValidation type="list" allowBlank="1" showInputMessage="1" showErrorMessage="1" sqref="F1" xr:uid="{711A83CC-E1A9-46BD-9897-6F428D44AC18}">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5FE9-4A40-4526-B447-E3E53F3B5367}">
  <dimension ref="A1:CU210"/>
  <sheetViews>
    <sheetView topLeftCell="AH1" workbookViewId="0">
      <selection activeCell="AY26" sqref="AY26"/>
    </sheetView>
  </sheetViews>
  <sheetFormatPr defaultColWidth="9" defaultRowHeight="16"/>
  <cols>
    <col min="1" max="1" width="9.5" style="100" customWidth="1"/>
    <col min="2" max="2" width="45.6640625" style="100" customWidth="1"/>
    <col min="3" max="3" width="42.1640625" style="100" bestFit="1" customWidth="1"/>
    <col min="4" max="14" width="10.6640625" style="100" customWidth="1"/>
    <col min="15" max="15" width="26.6640625" style="100" customWidth="1"/>
    <col min="16" max="30" width="10.6640625" style="100" customWidth="1"/>
    <col min="31" max="31" width="8" style="100" customWidth="1"/>
    <col min="32" max="32" width="16.6640625" style="100" bestFit="1" customWidth="1"/>
    <col min="33" max="33" width="34.5" style="100" customWidth="1"/>
    <col min="34" max="34" width="29.1640625" style="100" bestFit="1" customWidth="1"/>
    <col min="35" max="35" width="5.1640625" style="100" bestFit="1" customWidth="1"/>
    <col min="36" max="36" width="18.1640625" style="100" customWidth="1"/>
    <col min="37" max="37" width="9" style="100"/>
    <col min="38" max="38" width="9.1640625" style="100" customWidth="1"/>
    <col min="39" max="39" width="7.83203125" style="100" customWidth="1"/>
    <col min="40" max="42" width="9" style="100"/>
    <col min="43" max="43" width="9.1640625" style="100" bestFit="1" customWidth="1"/>
    <col min="44" max="44" width="10.6640625" style="100" customWidth="1"/>
    <col min="45" max="45" width="27.83203125" style="100" bestFit="1" customWidth="1"/>
    <col min="46" max="46" width="11.5" style="100" customWidth="1"/>
    <col min="47" max="47" width="8.33203125" style="100" bestFit="1" customWidth="1"/>
    <col min="48" max="48" width="7.83203125" style="100" bestFit="1" customWidth="1"/>
    <col min="49" max="49" width="9.6640625" style="100" bestFit="1" customWidth="1"/>
    <col min="50" max="50" width="8.33203125" style="100" bestFit="1" customWidth="1"/>
    <col min="51" max="51" width="8.83203125" style="100" bestFit="1" customWidth="1"/>
    <col min="52" max="52" width="6.83203125" style="100" bestFit="1" customWidth="1"/>
    <col min="53" max="53" width="18.83203125" style="100" bestFit="1" customWidth="1"/>
    <col min="54" max="54" width="34.1640625" style="100" customWidth="1"/>
    <col min="55" max="55" width="19" style="100" customWidth="1"/>
    <col min="56" max="56" width="6.6640625" style="100" customWidth="1"/>
    <col min="57" max="58" width="9" style="100"/>
    <col min="59" max="59" width="9.6640625" style="100" customWidth="1"/>
    <col min="60" max="64" width="9" style="100"/>
    <col min="65" max="65" width="6.5" style="100" customWidth="1"/>
    <col min="66" max="66" width="3.6640625" style="100" customWidth="1"/>
    <col min="67" max="67" width="53.1640625" style="100" customWidth="1"/>
    <col min="68" max="68" width="9.5" style="100" customWidth="1"/>
    <col min="69" max="70" width="9" style="100"/>
    <col min="71" max="71" width="61.6640625" style="100" customWidth="1"/>
    <col min="72" max="72" width="9.1640625" style="100" customWidth="1"/>
    <col min="73" max="77" width="9" style="100"/>
    <col min="78" max="78" width="8.6640625" style="100" customWidth="1"/>
    <col min="79" max="79" width="12.33203125" style="100" customWidth="1"/>
    <col min="80" max="80" width="8.6640625" style="100" customWidth="1"/>
    <col min="81" max="81" width="10.5" style="100" customWidth="1"/>
    <col min="82" max="82" width="10" style="100" customWidth="1"/>
    <col min="83" max="87" width="8.6640625" style="100" customWidth="1"/>
    <col min="88" max="88" width="28.5" style="100" customWidth="1"/>
    <col min="89" max="90" width="10.5" style="100" customWidth="1"/>
    <col min="91" max="92" width="8.6640625" style="100" customWidth="1"/>
    <col min="93" max="93" width="10.5" style="100" customWidth="1"/>
    <col min="94" max="94" width="8.6640625" style="100" customWidth="1"/>
    <col min="95" max="95" width="9.33203125" style="100" customWidth="1"/>
    <col min="96" max="96" width="14.33203125" style="100" customWidth="1"/>
    <col min="97" max="97" width="8.6640625" style="100" customWidth="1"/>
    <col min="98" max="98" width="11" style="100" customWidth="1"/>
    <col min="99" max="99" width="11.83203125" style="100" customWidth="1"/>
    <col min="100" max="16384" width="9" style="100"/>
  </cols>
  <sheetData>
    <row r="1" spans="1:71">
      <c r="B1" s="100" t="s">
        <v>701</v>
      </c>
      <c r="F1" s="100" t="s">
        <v>702</v>
      </c>
    </row>
    <row r="2" spans="1:71">
      <c r="B2" s="101" t="s">
        <v>413</v>
      </c>
      <c r="C2" s="101"/>
      <c r="BC2" s="100">
        <v>1</v>
      </c>
      <c r="BD2" s="100">
        <v>2</v>
      </c>
      <c r="BE2" s="100">
        <v>3</v>
      </c>
      <c r="BF2" s="100">
        <v>4</v>
      </c>
      <c r="BG2" s="100">
        <v>5</v>
      </c>
      <c r="BH2" s="100">
        <v>6</v>
      </c>
      <c r="BI2" s="100">
        <v>7</v>
      </c>
      <c r="BJ2" s="100">
        <v>8</v>
      </c>
      <c r="BK2" s="100">
        <v>9</v>
      </c>
      <c r="BL2" s="100">
        <v>10</v>
      </c>
      <c r="BM2" s="100">
        <v>11</v>
      </c>
    </row>
    <row r="3" spans="1:71">
      <c r="B3" s="100">
        <v>1</v>
      </c>
      <c r="C3" s="100">
        <v>2</v>
      </c>
      <c r="D3" s="100">
        <v>3</v>
      </c>
      <c r="E3" s="100">
        <v>4</v>
      </c>
      <c r="F3" s="100">
        <v>5</v>
      </c>
      <c r="G3" s="100">
        <v>6</v>
      </c>
      <c r="H3" s="100">
        <v>7</v>
      </c>
      <c r="I3" s="100">
        <v>8</v>
      </c>
      <c r="J3" s="100">
        <v>9</v>
      </c>
      <c r="K3" s="100">
        <v>10</v>
      </c>
      <c r="L3" s="100">
        <v>11</v>
      </c>
      <c r="M3" s="100">
        <v>12</v>
      </c>
      <c r="N3" s="100">
        <v>13</v>
      </c>
      <c r="O3" s="100">
        <v>14</v>
      </c>
      <c r="P3" s="100">
        <v>15</v>
      </c>
      <c r="Q3" s="100">
        <v>16</v>
      </c>
      <c r="R3" s="100">
        <v>17</v>
      </c>
      <c r="S3" s="100">
        <v>18</v>
      </c>
      <c r="T3" s="100">
        <v>19</v>
      </c>
      <c r="U3" s="100">
        <v>20</v>
      </c>
      <c r="V3" s="100">
        <v>21</v>
      </c>
      <c r="W3" s="100">
        <v>22</v>
      </c>
      <c r="X3" s="100">
        <v>23</v>
      </c>
      <c r="Y3" s="100">
        <v>24</v>
      </c>
      <c r="Z3" s="100">
        <v>25</v>
      </c>
      <c r="AA3" s="100">
        <v>26</v>
      </c>
      <c r="AB3" s="100">
        <v>27</v>
      </c>
      <c r="AC3" s="100">
        <v>28</v>
      </c>
      <c r="AD3" s="100">
        <v>29</v>
      </c>
      <c r="AE3" s="100">
        <v>30</v>
      </c>
      <c r="AF3" s="100">
        <v>31</v>
      </c>
      <c r="AH3" s="100">
        <v>1</v>
      </c>
      <c r="AI3" s="100">
        <v>2</v>
      </c>
      <c r="AJ3" s="100">
        <v>3</v>
      </c>
      <c r="AK3" s="100">
        <v>4</v>
      </c>
      <c r="AL3" s="100">
        <v>5</v>
      </c>
      <c r="AM3" s="100">
        <v>6</v>
      </c>
      <c r="AN3" s="100">
        <v>7</v>
      </c>
      <c r="AO3" s="100">
        <v>8</v>
      </c>
      <c r="AP3" s="100">
        <v>9</v>
      </c>
      <c r="AQ3" s="100">
        <v>10</v>
      </c>
      <c r="AR3" s="100">
        <v>11</v>
      </c>
      <c r="AS3" s="100">
        <v>12</v>
      </c>
      <c r="AT3" s="100">
        <v>13</v>
      </c>
      <c r="AU3" s="100">
        <v>14</v>
      </c>
      <c r="AV3" s="100">
        <v>15</v>
      </c>
      <c r="AW3" s="100">
        <v>16</v>
      </c>
      <c r="AX3" s="100">
        <v>17</v>
      </c>
      <c r="AY3" s="100">
        <v>18</v>
      </c>
      <c r="AZ3" s="100">
        <v>19</v>
      </c>
      <c r="BA3" s="100">
        <v>20</v>
      </c>
      <c r="BC3" s="100" t="s">
        <v>532</v>
      </c>
      <c r="BO3" s="100" t="s">
        <v>533</v>
      </c>
    </row>
    <row r="4" spans="1:71">
      <c r="A4" s="143"/>
      <c r="B4" s="102" t="s">
        <v>414</v>
      </c>
      <c r="AH4" s="121" t="s">
        <v>511</v>
      </c>
      <c r="AJ4" s="122"/>
      <c r="AK4" s="123"/>
      <c r="AL4" s="122"/>
      <c r="AM4" s="124"/>
      <c r="AN4" s="124"/>
      <c r="AO4" s="124"/>
      <c r="AP4" s="122"/>
      <c r="AQ4" s="125"/>
      <c r="AR4" s="126"/>
      <c r="AS4" s="125"/>
      <c r="AT4" s="125"/>
      <c r="BC4" s="102" t="s">
        <v>534</v>
      </c>
      <c r="BO4" s="102" t="s">
        <v>534</v>
      </c>
    </row>
    <row r="5" spans="1:71" ht="28.5" customHeight="1">
      <c r="A5" s="145"/>
      <c r="B5" s="103" t="s">
        <v>415</v>
      </c>
      <c r="C5" s="103" t="s">
        <v>416</v>
      </c>
      <c r="D5" s="103" t="s">
        <v>417</v>
      </c>
      <c r="E5" s="103" t="s">
        <v>418</v>
      </c>
      <c r="F5" s="103" t="s">
        <v>419</v>
      </c>
      <c r="G5" s="103" t="s">
        <v>420</v>
      </c>
      <c r="H5" s="103" t="s">
        <v>421</v>
      </c>
      <c r="I5" s="103" t="s">
        <v>422</v>
      </c>
      <c r="J5" s="103" t="s">
        <v>423</v>
      </c>
      <c r="K5" s="103" t="s">
        <v>424</v>
      </c>
      <c r="L5" s="103" t="s">
        <v>425</v>
      </c>
      <c r="M5" s="103" t="s">
        <v>426</v>
      </c>
      <c r="N5" s="103" t="s">
        <v>703</v>
      </c>
      <c r="O5" s="103" t="s">
        <v>427</v>
      </c>
      <c r="P5" s="103" t="s">
        <v>428</v>
      </c>
      <c r="Q5" s="103" t="s">
        <v>429</v>
      </c>
      <c r="R5" s="103" t="s">
        <v>430</v>
      </c>
      <c r="S5" s="103" t="s">
        <v>431</v>
      </c>
      <c r="T5" s="103" t="s">
        <v>432</v>
      </c>
      <c r="U5" s="103" t="s">
        <v>433</v>
      </c>
      <c r="V5" s="103" t="s">
        <v>516</v>
      </c>
      <c r="W5" s="103" t="s">
        <v>517</v>
      </c>
      <c r="X5" s="103" t="s">
        <v>518</v>
      </c>
      <c r="Y5" s="103" t="s">
        <v>520</v>
      </c>
      <c r="Z5" s="103" t="s">
        <v>704</v>
      </c>
      <c r="AA5" s="103" t="s">
        <v>434</v>
      </c>
      <c r="AB5" s="103" t="s">
        <v>705</v>
      </c>
      <c r="AC5" s="103" t="s">
        <v>435</v>
      </c>
      <c r="AD5" s="103" t="s">
        <v>436</v>
      </c>
      <c r="AE5" s="103" t="s">
        <v>437</v>
      </c>
      <c r="AF5" s="104" t="s">
        <v>438</v>
      </c>
      <c r="AG5" s="194"/>
      <c r="AH5" s="127" t="s">
        <v>512</v>
      </c>
      <c r="AI5" s="128" t="s">
        <v>513</v>
      </c>
      <c r="AJ5" s="128" t="s">
        <v>514</v>
      </c>
      <c r="AK5" s="129" t="s">
        <v>421</v>
      </c>
      <c r="AL5" s="129" t="s">
        <v>422</v>
      </c>
      <c r="AM5" s="129" t="s">
        <v>423</v>
      </c>
      <c r="AN5" s="129" t="s">
        <v>661</v>
      </c>
      <c r="AO5" s="129" t="s">
        <v>840</v>
      </c>
      <c r="AP5" s="129" t="s">
        <v>424</v>
      </c>
      <c r="AQ5" s="129" t="s">
        <v>425</v>
      </c>
      <c r="AR5" s="130" t="s">
        <v>515</v>
      </c>
      <c r="AS5" s="127" t="s">
        <v>427</v>
      </c>
      <c r="AT5" s="129" t="s">
        <v>431</v>
      </c>
      <c r="AU5" s="129" t="s">
        <v>432</v>
      </c>
      <c r="AV5" s="129" t="s">
        <v>433</v>
      </c>
      <c r="AW5" s="129" t="s">
        <v>516</v>
      </c>
      <c r="AX5" s="129" t="s">
        <v>517</v>
      </c>
      <c r="AY5" s="129" t="s">
        <v>518</v>
      </c>
      <c r="AZ5" s="129" t="s">
        <v>519</v>
      </c>
      <c r="BA5" s="129" t="s">
        <v>520</v>
      </c>
      <c r="BB5" s="127"/>
      <c r="BC5" s="127" t="s">
        <v>542</v>
      </c>
      <c r="BD5" s="181" t="s">
        <v>543</v>
      </c>
      <c r="BE5" s="181" t="s">
        <v>544</v>
      </c>
      <c r="BF5" s="181" t="s">
        <v>545</v>
      </c>
      <c r="BG5" s="181" t="s">
        <v>546</v>
      </c>
      <c r="BH5" s="181" t="s">
        <v>547</v>
      </c>
      <c r="BI5" s="181" t="s">
        <v>548</v>
      </c>
      <c r="BJ5" s="181" t="s">
        <v>549</v>
      </c>
      <c r="BK5" s="181" t="s">
        <v>662</v>
      </c>
      <c r="BL5" s="181" t="s">
        <v>550</v>
      </c>
      <c r="BM5" s="181" t="s">
        <v>551</v>
      </c>
      <c r="BO5" s="127" t="s">
        <v>552</v>
      </c>
      <c r="BP5" s="129" t="s">
        <v>553</v>
      </c>
    </row>
    <row r="6" spans="1:71">
      <c r="A6" s="145"/>
      <c r="B6" s="100" t="str">
        <f>Implements7[[#This Row],[Implement type]]&amp;", "&amp;Implements7[[#This Row],[Width]]&amp;" "&amp;Implements7[[#This Row],[Width Unit]]&amp; ", per "&amp;Implements7[[#This Row],[Use basis]]</f>
        <v>Anhydrous applicator, 21 Ft Folding, per acre</v>
      </c>
      <c r="C6" s="105" t="s">
        <v>441</v>
      </c>
      <c r="D6" s="106">
        <v>21</v>
      </c>
      <c r="E6" s="107" t="str">
        <f t="shared" ref="E6:E13" si="0">IF(D6&gt;15,"Ft Folding","Ft")</f>
        <v>Ft Folding</v>
      </c>
      <c r="F6" s="106"/>
      <c r="G6" s="105"/>
      <c r="H6" s="108">
        <v>41000</v>
      </c>
      <c r="I6" s="109">
        <v>0.15</v>
      </c>
      <c r="J6" s="195">
        <f t="shared" ref="J6:J108" si="1">H6/(1-I6)</f>
        <v>48235.294117647063</v>
      </c>
      <c r="K6" s="306">
        <f>VLOOKUP(Implements7[[#This Row],[ASABEtype]],ASABECoefficients8[],4,FALSE)/Implements7[[#This Row],[Use (hr/yr)]]</f>
        <v>12</v>
      </c>
      <c r="L6" s="106">
        <v>100</v>
      </c>
      <c r="M6" s="111">
        <f t="shared" ref="M6:M60" si="2">IF(AND(P6&lt;&gt;0,Q6&lt;&gt;0),L6*(D6*P6*Q6)/8.25,L6*D6)</f>
        <v>979.99999999999989</v>
      </c>
      <c r="N6" s="111" t="s">
        <v>706</v>
      </c>
      <c r="O6" s="106" t="s">
        <v>442</v>
      </c>
      <c r="P6" s="106">
        <v>5.5</v>
      </c>
      <c r="Q6" s="109">
        <v>0.7</v>
      </c>
      <c r="R6" s="109">
        <v>1.1499999999999999</v>
      </c>
      <c r="S6" s="106">
        <v>180</v>
      </c>
      <c r="T6"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0.28244357578252999</v>
      </c>
      <c r="U6" s="113">
        <f>Implements7[[#This Row],[TradeIn%]]*Implements7[[#This Row],[PriceL]]</f>
        <v>13623.748949510271</v>
      </c>
      <c r="V6" s="114">
        <f>(Implements7[[#This Row],[PriceP]]-Implements7[[#This Row],[TradeIn$]])/Implements7[[#This Row],[Life (yr)]]/Implements7[[#This Row],[Use (hr/yr)]]</f>
        <v>22.813542542074774</v>
      </c>
      <c r="W6" s="114">
        <f>((Implements7[[#This Row],[PriceP]]+Implements7[[#This Row],[TradeIn$]])/2*($BP$7+$BP$8+$BP$9)+Implements7[[#This Row],[Shed (ft^2)]]*$BP$12)/Implements7[[#This Row],[Use (hr/yr)]]</f>
        <v>25.91560304385543</v>
      </c>
      <c r="X6" s="114">
        <f>Implements7[[#This Row],[PriceL]]*(VLOOKUP(Implements7[[#This Row],[ASABEtype]],$BC$6:$BM$52,2)*(Implements7[[#This Row],[Life (yr)]]*Implements7[[#This Row],[Use (hr/yr)]]/1000)^VLOOKUP(Implements7[[#This Row],[ASABEtype]],$BC$6:$BM$52,3))/Implements7[[#This Row],[Life (yr)]]/Implements7[[#This Row],[Use (hr/yr)]]</f>
        <v>32.096660923277689</v>
      </c>
      <c r="Y6" s="114">
        <f>Implements7[[#This Row],[Depr ($/hr)]]+Implements7[[#This Row],[OH ($/hr)]]</f>
        <v>48.729145585930205</v>
      </c>
      <c r="Z6" s="114">
        <f>(Implements7[[#This Row],[PriceP]]-Implements7[[#This Row],[TradeIn$]])/Implements7[[#This Row],[Life (yr)]]/Implements7[[#This Row],[Use (ac/yr)]]</f>
        <v>2.3279125042933444</v>
      </c>
      <c r="AA6" s="114">
        <f>((Implements7[[#This Row],[PriceP]]+Implements7[[#This Row],[TradeIn$]])/2*($BP$7+$BP$8+$BP$9)+Implements7[[#This Row],[Shed (ft^2)]]*$BP$12)/Implements7[[#This Row],[Use (ac/yr)]]</f>
        <v>2.6444492901893302</v>
      </c>
      <c r="AB6"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3.2751694819671116</v>
      </c>
      <c r="AC6" s="115">
        <f>$BP$18/(Implements7[[#This Row],[Width]]*Implements7[[#This Row],[Speed]]*Implements7[[#This Row],[Efficiency]])</f>
        <v>0.10204081632653061</v>
      </c>
      <c r="AD6" s="116">
        <f>IF(Implements7[[#This Row],[Use basis]]=$N$128,Implements7[[#This Row],[Ownership costs ($/hr)]],SUM(Implements7[[#This Row],[Depr ($/ac)2]:[OH ($/ac)]]))</f>
        <v>4.9723617944826746</v>
      </c>
      <c r="AE6" s="116"/>
      <c r="AF6" s="100" t="s">
        <v>443</v>
      </c>
      <c r="AG6" s="116"/>
      <c r="AH6" s="131" t="str">
        <f t="shared" ref="AH6:AH31" si="3">CONCATENATE(AI6&amp;" "&amp;AJ6)</f>
        <v>400 CC FWD ATV</v>
      </c>
      <c r="AI6" s="132">
        <v>400</v>
      </c>
      <c r="AJ6" s="197" t="s">
        <v>707</v>
      </c>
      <c r="AK6" s="198">
        <v>6900</v>
      </c>
      <c r="AL6" s="199">
        <v>0.05</v>
      </c>
      <c r="AM6" s="200">
        <f t="shared" ref="AM6:AM30" si="4">AK6/(1-AL6)</f>
        <v>7263.1578947368425</v>
      </c>
      <c r="AN6" s="215">
        <f>VLOOKUP(Power20259[[#This Row],[ASABEtype]],$BC$6:$BM$52,4,FALSE)</f>
        <v>2000</v>
      </c>
      <c r="AO6" s="199"/>
      <c r="AP6" s="307">
        <f>VLOOKUP(Power20259[[#This Row],[ASABEtype]],ASABECoefficients8[],4,FALSE)/Power20259[[#This Row],[Use (hr/yr)]]*(1-Power20259[[#This Row],[Life used (%)]])</f>
        <v>10</v>
      </c>
      <c r="AQ6" s="201">
        <v>200</v>
      </c>
      <c r="AR6" s="202">
        <v>1E-3</v>
      </c>
      <c r="AS6" s="203" t="s">
        <v>708</v>
      </c>
      <c r="AT6" s="201">
        <v>25</v>
      </c>
      <c r="AU6"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5.9133718417454545E-2</v>
      </c>
      <c r="AV6" s="205">
        <f>Power20259[[#This Row],[TradeIn%]]*Power20259[[#This Row],[PriceL]]</f>
        <v>429.49753376888043</v>
      </c>
      <c r="AW6" s="206">
        <f>(Power20259[[#This Row],[PriceP]]-Power20259[[#This Row],[TradeIn$]])/Power20259[[#This Row],[Life (yr)]]/Power20259[[#This Row],[Use (hr/yr)]]</f>
        <v>3.2352512331155601</v>
      </c>
      <c r="AX6" s="308">
        <f>((Power20259[[#This Row],[PriceP]]+Power20259[[#This Row],[TradeIn$]])/2*($BP$7+$BP$8+$BP$9)+Power20259[[#This Row],[Shed (ft^2)]]*$BP$12)/Power20259[[#This Row],[Use (hr/yr)]]</f>
        <v>1.7428036997419991</v>
      </c>
      <c r="AY6"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2.9201121340187783</v>
      </c>
      <c r="AZ6" s="208">
        <f>Power20259[[#This Row],[Fuel (gal/hph)]]*Power20259[[#This Row],[HP]]</f>
        <v>0.4</v>
      </c>
      <c r="BA6" s="206">
        <f t="shared" ref="BA6:BA30" si="5">SUM(AW6:AX6)</f>
        <v>4.9780549328575594</v>
      </c>
      <c r="BB6" s="209" t="s">
        <v>709</v>
      </c>
      <c r="BC6" s="125" t="s">
        <v>555</v>
      </c>
      <c r="BD6" s="146">
        <v>0.2</v>
      </c>
      <c r="BE6" s="146">
        <v>1.6</v>
      </c>
      <c r="BF6" s="146">
        <v>2000</v>
      </c>
      <c r="BG6" s="146">
        <v>0.85540000000000005</v>
      </c>
      <c r="BH6" s="146">
        <v>0.1177</v>
      </c>
      <c r="BI6" s="146">
        <v>0</v>
      </c>
      <c r="BJ6" s="146">
        <v>2.8999999999999998E-3</v>
      </c>
      <c r="BK6" s="122">
        <f t="shared" ref="BK6:BK44" si="6">BL6^2</f>
        <v>1.6230760000000004E-2</v>
      </c>
      <c r="BL6" s="146">
        <v>0.12740000000000001</v>
      </c>
      <c r="BM6" s="147"/>
      <c r="BO6" s="125" t="s">
        <v>556</v>
      </c>
      <c r="BP6" s="148">
        <f>'Input prices'!D20</f>
        <v>26</v>
      </c>
      <c r="BS6" s="100" t="s">
        <v>728</v>
      </c>
    </row>
    <row r="7" spans="1:71">
      <c r="A7" s="150"/>
      <c r="B7" s="100" t="str">
        <f>Implements7[[#This Row],[Implement type]]&amp;", "&amp;Implements7[[#This Row],[Width]]&amp;" "&amp;Implements7[[#This Row],[Width Unit]]&amp; ", per "&amp;Implements7[[#This Row],[Use basis]]</f>
        <v>Anhydrous applicator, 36 Ft Folding, per acre</v>
      </c>
      <c r="C7" s="105" t="s">
        <v>441</v>
      </c>
      <c r="D7" s="106">
        <v>36</v>
      </c>
      <c r="E7" s="107" t="str">
        <f t="shared" si="0"/>
        <v>Ft Folding</v>
      </c>
      <c r="F7" s="106"/>
      <c r="G7" s="105"/>
      <c r="H7" s="108">
        <v>54000</v>
      </c>
      <c r="I7" s="109">
        <v>0.15</v>
      </c>
      <c r="J7" s="195">
        <f t="shared" si="1"/>
        <v>63529.411764705881</v>
      </c>
      <c r="K7" s="306">
        <f>VLOOKUP(Implements7[[#This Row],[ASABEtype]],ASABECoefficients8[],4,FALSE)/Implements7[[#This Row],[Use (hr/yr)]]</f>
        <v>12</v>
      </c>
      <c r="L7" s="106">
        <v>100</v>
      </c>
      <c r="M7" s="111">
        <f t="shared" si="2"/>
        <v>1680</v>
      </c>
      <c r="N7" s="111" t="s">
        <v>706</v>
      </c>
      <c r="O7" s="106" t="s">
        <v>442</v>
      </c>
      <c r="P7" s="106">
        <v>5.5</v>
      </c>
      <c r="Q7" s="109">
        <v>0.7</v>
      </c>
      <c r="R7" s="109">
        <v>1.1499999999999999</v>
      </c>
      <c r="S7" s="106">
        <v>200</v>
      </c>
      <c r="T7"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0.28244357578252999</v>
      </c>
      <c r="U7" s="113">
        <f>Implements7[[#This Row],[TradeIn%]]*Implements7[[#This Row],[PriceL]]</f>
        <v>17943.474226184258</v>
      </c>
      <c r="V7" s="114">
        <f>(Implements7[[#This Row],[PriceP]]-Implements7[[#This Row],[TradeIn$]])/Implements7[[#This Row],[Life (yr)]]/Implements7[[#This Row],[Use (hr/yr)]]</f>
        <v>30.047104811513112</v>
      </c>
      <c r="W7" s="114">
        <f>((Implements7[[#This Row],[PriceP]]+Implements7[[#This Row],[TradeIn$]])/2*($BP$7+$BP$8+$BP$9)+Implements7[[#This Row],[Shed (ft^2)]]*$BP$12)/Implements7[[#This Row],[Use (hr/yr)]]</f>
        <v>33.773425271416684</v>
      </c>
      <c r="X7" s="114">
        <f>Implements7[[#This Row],[PriceL]]*(VLOOKUP(Implements7[[#This Row],[ASABEtype]],$BC$6:$BM$52,2)*(Implements7[[#This Row],[Life (yr)]]*Implements7[[#This Row],[Use (hr/yr)]]/1000)^VLOOKUP(Implements7[[#This Row],[ASABEtype]],$BC$6:$BM$52,3))/Implements7[[#This Row],[Life (yr)]]/Implements7[[#This Row],[Use (hr/yr)]]</f>
        <v>42.273650972121843</v>
      </c>
      <c r="Y7" s="114">
        <f>Implements7[[#This Row],[Depr ($/hr)]]+Implements7[[#This Row],[OH ($/hr)]]</f>
        <v>63.820530082929793</v>
      </c>
      <c r="Z7" s="114">
        <f>(Implements7[[#This Row],[PriceP]]-Implements7[[#This Row],[TradeIn$]])/Implements7[[#This Row],[Life (yr)]]/Implements7[[#This Row],[Use (ac/yr)]]</f>
        <v>1.7885181435424473</v>
      </c>
      <c r="AA7" s="114">
        <f>((Implements7[[#This Row],[PriceP]]+Implements7[[#This Row],[TradeIn$]])/2*($BP$7+$BP$8+$BP$9)+Implements7[[#This Row],[Shed (ft^2)]]*$BP$12)/Implements7[[#This Row],[Use (ac/yr)]]</f>
        <v>2.0103229328224215</v>
      </c>
      <c r="AB7"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2.5162887483405858</v>
      </c>
      <c r="AC7" s="115">
        <f>$BP$18/(Implements7[[#This Row],[Width]]*Implements7[[#This Row],[Speed]]*Implements7[[#This Row],[Efficiency]])</f>
        <v>5.9523809523809527E-2</v>
      </c>
      <c r="AD7" s="116">
        <f>IF(Implements7[[#This Row],[Use basis]]=$N$128,Implements7[[#This Row],[Ownership costs ($/hr)]],SUM(Implements7[[#This Row],[Depr ($/ac)2]:[OH ($/ac)]]))</f>
        <v>3.7988410763648686</v>
      </c>
      <c r="AE7" s="116"/>
      <c r="AF7" s="100" t="s">
        <v>443</v>
      </c>
      <c r="AG7" s="116"/>
      <c r="AH7" s="131" t="str">
        <f t="shared" si="3"/>
        <v>900 CC FWD UTV</v>
      </c>
      <c r="AI7" s="132">
        <v>900</v>
      </c>
      <c r="AJ7" s="197" t="s">
        <v>710</v>
      </c>
      <c r="AK7" s="198">
        <v>14400</v>
      </c>
      <c r="AL7" s="199">
        <v>0.1</v>
      </c>
      <c r="AM7" s="200">
        <f t="shared" si="4"/>
        <v>16000</v>
      </c>
      <c r="AN7" s="215">
        <f>VLOOKUP(Power20259[[#This Row],[ASABEtype]],$BC$6:$BM$52,4,FALSE)</f>
        <v>2000</v>
      </c>
      <c r="AO7" s="199"/>
      <c r="AP7" s="307">
        <f>VLOOKUP(Power20259[[#This Row],[ASABEtype]],ASABECoefficients8[],4,FALSE)/Power20259[[#This Row],[Use (hr/yr)]]*(1-Power20259[[#This Row],[Life used (%)]])</f>
        <v>10</v>
      </c>
      <c r="AQ7" s="201">
        <v>200</v>
      </c>
      <c r="AR7" s="202">
        <v>1E-3</v>
      </c>
      <c r="AS7" s="203" t="s">
        <v>708</v>
      </c>
      <c r="AT7" s="201">
        <v>50</v>
      </c>
      <c r="AU7"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5.9133718417454545E-2</v>
      </c>
      <c r="AV7" s="205">
        <f>Power20259[[#This Row],[TradeIn%]]*Power20259[[#This Row],[PriceL]]</f>
        <v>946.13949467927273</v>
      </c>
      <c r="AW7" s="206">
        <f>(Power20259[[#This Row],[PriceP]]-Power20259[[#This Row],[TradeIn$]])/Power20259[[#This Row],[Life (yr)]]/Power20259[[#This Row],[Use (hr/yr)]]</f>
        <v>6.7269302526603632</v>
      </c>
      <c r="AX7" s="308">
        <f>((Power20259[[#This Row],[PriceP]]+Power20259[[#This Row],[TradeIn$]])/2*($BP$7+$BP$8+$BP$9)+Power20259[[#This Row],[Shed (ft^2)]]*$BP$12)/Power20259[[#This Row],[Use (hr/yr)]]</f>
        <v>3.6376381039890577</v>
      </c>
      <c r="AY7"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6.4327107879833951</v>
      </c>
      <c r="AZ7" s="208">
        <f>Power20259[[#This Row],[Fuel (gal/hph)]]*Power20259[[#This Row],[HP]]</f>
        <v>0.9</v>
      </c>
      <c r="BA7" s="206">
        <f t="shared" si="5"/>
        <v>10.364568356649421</v>
      </c>
      <c r="BB7" s="209" t="s">
        <v>709</v>
      </c>
      <c r="BC7" s="125" t="s">
        <v>562</v>
      </c>
      <c r="BD7" s="146">
        <v>0.2</v>
      </c>
      <c r="BE7" s="146">
        <v>1.6</v>
      </c>
      <c r="BF7" s="146">
        <v>2000</v>
      </c>
      <c r="BG7" s="146">
        <v>0.71940000000000004</v>
      </c>
      <c r="BH7" s="146">
        <v>0.11020000000000001</v>
      </c>
      <c r="BI7" s="146">
        <v>0</v>
      </c>
      <c r="BJ7" s="146">
        <v>3.0000000000000001E-3</v>
      </c>
      <c r="BK7" s="122">
        <f t="shared" si="6"/>
        <v>1.4713690000000001E-2</v>
      </c>
      <c r="BL7" s="146">
        <v>0.12130000000000001</v>
      </c>
      <c r="BM7" s="147"/>
      <c r="BO7" s="122" t="s">
        <v>563</v>
      </c>
      <c r="BP7" s="151">
        <v>7.4999999999999997E-2</v>
      </c>
    </row>
    <row r="8" spans="1:71">
      <c r="A8" s="152"/>
      <c r="B8" s="100" t="str">
        <f>Implements7[[#This Row],[Implement type]]&amp;", "&amp;Implements7[[#This Row],[Width]]&amp;" "&amp;Implements7[[#This Row],[Width Unit]]&amp; ", per "&amp;Implements7[[#This Row],[Use basis]]</f>
        <v>Cultimulcher, 21 Ft Folding, per acre</v>
      </c>
      <c r="C8" s="105" t="s">
        <v>444</v>
      </c>
      <c r="D8" s="106">
        <v>21</v>
      </c>
      <c r="E8" s="107" t="str">
        <f t="shared" si="0"/>
        <v>Ft Folding</v>
      </c>
      <c r="F8" s="106"/>
      <c r="G8" s="105"/>
      <c r="H8" s="108">
        <v>67000</v>
      </c>
      <c r="I8" s="109">
        <v>0.1</v>
      </c>
      <c r="J8" s="195">
        <f t="shared" si="1"/>
        <v>74444.444444444438</v>
      </c>
      <c r="K8" s="306">
        <f>VLOOKUP(Implements7[[#This Row],[ASABEtype]],ASABECoefficients8[],4,FALSE)/Implements7[[#This Row],[Use (hr/yr)]]</f>
        <v>20</v>
      </c>
      <c r="L8" s="106">
        <v>100</v>
      </c>
      <c r="M8" s="111">
        <f t="shared" si="2"/>
        <v>1221.818181818182</v>
      </c>
      <c r="N8" s="111" t="s">
        <v>706</v>
      </c>
      <c r="O8" s="106" t="s">
        <v>445</v>
      </c>
      <c r="P8" s="106">
        <v>6</v>
      </c>
      <c r="Q8" s="109">
        <v>0.8</v>
      </c>
      <c r="R8" s="109">
        <v>1.02</v>
      </c>
      <c r="S8" s="106">
        <v>225</v>
      </c>
      <c r="T8"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0.17815437125462419</v>
      </c>
      <c r="U8" s="113">
        <f>Implements7[[#This Row],[TradeIn%]]*Implements7[[#This Row],[PriceL]]</f>
        <v>13262.6031933998</v>
      </c>
      <c r="V8" s="114">
        <f>(Implements7[[#This Row],[PriceP]]-Implements7[[#This Row],[TradeIn$]])/Implements7[[#This Row],[Life (yr)]]/Implements7[[#This Row],[Use (hr/yr)]]</f>
        <v>26.868698403300101</v>
      </c>
      <c r="W8" s="114">
        <f>((Implements7[[#This Row],[PriceP]]+Implements7[[#This Row],[TradeIn$]])/2*($BP$7+$BP$8+$BP$9)+Implements7[[#This Row],[Shed (ft^2)]]*$BP$12)/Implements7[[#This Row],[Use (hr/yr)]]</f>
        <v>37.696944580200828</v>
      </c>
      <c r="X8" s="114">
        <f>Implements7[[#This Row],[PriceL]]*(VLOOKUP(Implements7[[#This Row],[ASABEtype]],$BC$6:$BM$52,2)*(Implements7[[#This Row],[Life (yr)]]*Implements7[[#This Row],[Use (hr/yr)]]/1000)^VLOOKUP(Implements7[[#This Row],[ASABEtype]],$BC$6:$BM$52,3))/Implements7[[#This Row],[Life (yr)]]/Implements7[[#This Row],[Use (hr/yr)]]</f>
        <v>14.664297901175001</v>
      </c>
      <c r="Y8" s="114">
        <f>Implements7[[#This Row],[Depr ($/hr)]]+Implements7[[#This Row],[OH ($/hr)]]</f>
        <v>64.565642983500936</v>
      </c>
      <c r="Z8" s="114">
        <f>(Implements7[[#This Row],[PriceP]]-Implements7[[#This Row],[TradeIn$]])/Implements7[[#This Row],[Life (yr)]]/Implements7[[#This Row],[Use (ac/yr)]]</f>
        <v>2.1990750181272398</v>
      </c>
      <c r="AA8" s="114">
        <f>((Implements7[[#This Row],[PriceP]]+Implements7[[#This Row],[TradeIn$]])/2*($BP$7+$BP$8+$BP$9)+Implements7[[#This Row],[Shed (ft^2)]]*$BP$12)/Implements7[[#This Row],[Use (ac/yr)]]</f>
        <v>3.0853154046295317</v>
      </c>
      <c r="AB8"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1.200202953221168</v>
      </c>
      <c r="AC8" s="115">
        <f>$BP$18/(Implements7[[#This Row],[Width]]*Implements7[[#This Row],[Speed]]*Implements7[[#This Row],[Efficiency]])</f>
        <v>8.1845238095238082E-2</v>
      </c>
      <c r="AD8" s="116">
        <f>IF(Implements7[[#This Row],[Use basis]]=$N$128,Implements7[[#This Row],[Ownership costs ($/hr)]],SUM(Implements7[[#This Row],[Depr ($/ac)2]:[OH ($/ac)]]))</f>
        <v>5.284390422756772</v>
      </c>
      <c r="AE8" s="116"/>
      <c r="AF8" s="100" t="s">
        <v>446</v>
      </c>
      <c r="AG8" s="116"/>
      <c r="AH8" s="131" t="str">
        <f t="shared" si="3"/>
        <v>1 Ton 4x4 Pickup</v>
      </c>
      <c r="AI8" s="210">
        <v>1</v>
      </c>
      <c r="AJ8" s="197" t="s">
        <v>711</v>
      </c>
      <c r="AK8" s="198">
        <v>56000</v>
      </c>
      <c r="AL8" s="199">
        <v>0.05</v>
      </c>
      <c r="AM8" s="200">
        <f t="shared" si="4"/>
        <v>58947.368421052633</v>
      </c>
      <c r="AN8" s="215">
        <f>VLOOKUP(Power20259[[#This Row],[ASABEtype]],$BC$6:$BM$52,4,FALSE)</f>
        <v>7500</v>
      </c>
      <c r="AO8" s="199"/>
      <c r="AP8" s="307">
        <f>VLOOKUP(Power20259[[#This Row],[ASABEtype]],ASABECoefficients8[],4,FALSE)/Power20259[[#This Row],[Use (hr/yr)]]*(1-Power20259[[#This Row],[Life used (%)]])</f>
        <v>37.5</v>
      </c>
      <c r="AQ8" s="201">
        <v>200</v>
      </c>
      <c r="AR8" s="202">
        <v>3</v>
      </c>
      <c r="AS8" s="203" t="s">
        <v>712</v>
      </c>
      <c r="AT8" s="201">
        <v>180</v>
      </c>
      <c r="AU8"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0.1762176274321231</v>
      </c>
      <c r="AV8" s="205">
        <f>Power20259[[#This Row],[TradeIn%]]*Power20259[[#This Row],[PriceL]]</f>
        <v>10387.565406525151</v>
      </c>
      <c r="AW8" s="206">
        <f>(Power20259[[#This Row],[PriceP]]-Power20259[[#This Row],[TradeIn$]])/Power20259[[#This Row],[Life (yr)]]/Power20259[[#This Row],[Use (hr/yr)]]</f>
        <v>6.0816579457966462</v>
      </c>
      <c r="AX8" s="308">
        <f>((Power20259[[#This Row],[PriceP]]+Power20259[[#This Row],[TradeIn$]])/2*($BP$7+$BP$8+$BP$9)+Power20259[[#This Row],[Shed (ft^2)]]*$BP$12)/Power20259[[#This Row],[Use (hr/yr)]]</f>
        <v>15.560545913042258</v>
      </c>
      <c r="AY8"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17.684210526315791</v>
      </c>
      <c r="AZ8" s="208">
        <f>Power20259[[#This Row],[Fuel (gal/hph)]]*Power20259[[#This Row],[HP]]</f>
        <v>3</v>
      </c>
      <c r="BA8" s="206">
        <f t="shared" si="5"/>
        <v>21.642203858838904</v>
      </c>
      <c r="BB8" s="209" t="s">
        <v>713</v>
      </c>
      <c r="BC8" s="125" t="s">
        <v>465</v>
      </c>
      <c r="BD8" s="146">
        <v>0.28000000000000003</v>
      </c>
      <c r="BE8" s="146">
        <v>1.4</v>
      </c>
      <c r="BF8" s="146">
        <v>1200</v>
      </c>
      <c r="BG8" s="146">
        <v>0.71940000000000004</v>
      </c>
      <c r="BH8" s="146">
        <v>0.11020000000000001</v>
      </c>
      <c r="BI8" s="146">
        <v>0</v>
      </c>
      <c r="BJ8" s="146">
        <v>3.0000000000000001E-3</v>
      </c>
      <c r="BK8" s="122">
        <f t="shared" si="6"/>
        <v>1.4713690000000001E-2</v>
      </c>
      <c r="BL8" s="146">
        <v>0.12130000000000001</v>
      </c>
      <c r="BM8" s="147"/>
      <c r="BO8" s="125" t="s">
        <v>564</v>
      </c>
      <c r="BP8" s="153">
        <v>8.5000000000000006E-3</v>
      </c>
    </row>
    <row r="9" spans="1:71">
      <c r="A9" s="152"/>
      <c r="B9" s="100" t="str">
        <f>Implements7[[#This Row],[Implement type]]&amp;", "&amp;Implements7[[#This Row],[Width]]&amp;" "&amp;Implements7[[#This Row],[Width Unit]]&amp; ", per "&amp;Implements7[[#This Row],[Use basis]]</f>
        <v>Field cultivator, 28 Ft Folding, per acre</v>
      </c>
      <c r="C9" s="105" t="s">
        <v>447</v>
      </c>
      <c r="D9" s="106">
        <v>28</v>
      </c>
      <c r="E9" s="107" t="str">
        <f t="shared" si="0"/>
        <v>Ft Folding</v>
      </c>
      <c r="F9" s="106"/>
      <c r="G9" s="106"/>
      <c r="H9" s="108">
        <v>53500</v>
      </c>
      <c r="I9" s="109">
        <v>0.1</v>
      </c>
      <c r="J9" s="195">
        <f t="shared" si="1"/>
        <v>59444.444444444445</v>
      </c>
      <c r="K9" s="306">
        <f>VLOOKUP(Implements7[[#This Row],[ASABEtype]],ASABECoefficients8[],4,FALSE)/Implements7[[#This Row],[Use (hr/yr)]]</f>
        <v>20</v>
      </c>
      <c r="L9" s="106">
        <v>100</v>
      </c>
      <c r="M9" s="111">
        <f t="shared" si="2"/>
        <v>2019.3939393939395</v>
      </c>
      <c r="N9" s="111" t="s">
        <v>706</v>
      </c>
      <c r="O9" s="106" t="s">
        <v>448</v>
      </c>
      <c r="P9" s="106">
        <v>7</v>
      </c>
      <c r="Q9" s="109">
        <v>0.85</v>
      </c>
      <c r="R9" s="109">
        <v>1.02</v>
      </c>
      <c r="S9" s="106">
        <v>200</v>
      </c>
      <c r="T9"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0.21054767935982382</v>
      </c>
      <c r="U9" s="113">
        <f>Implements7[[#This Row],[TradeIn%]]*Implements7[[#This Row],[PriceL]]</f>
        <v>12515.889828611749</v>
      </c>
      <c r="V9" s="114">
        <f>(Implements7[[#This Row],[PriceP]]-Implements7[[#This Row],[TradeIn$]])/Implements7[[#This Row],[Life (yr)]]/Implements7[[#This Row],[Use (hr/yr)]]</f>
        <v>20.49205508569413</v>
      </c>
      <c r="W9" s="114">
        <f>((Implements7[[#This Row],[PriceP]]+Implements7[[#This Row],[TradeIn$]])/2*($BP$7+$BP$8+$BP$9)+Implements7[[#This Row],[Shed (ft^2)]]*$BP$12)/Implements7[[#This Row],[Use (hr/yr)]]</f>
        <v>31.150469175490844</v>
      </c>
      <c r="X9" s="114">
        <f>Implements7[[#This Row],[PriceL]]*(VLOOKUP(Implements7[[#This Row],[ASABEtype]],$BC$6:$BM$52,2)*(Implements7[[#This Row],[Life (yr)]]*Implements7[[#This Row],[Use (hr/yr)]]/1000)^VLOOKUP(Implements7[[#This Row],[ASABEtype]],$BC$6:$BM$52,3))/Implements7[[#This Row],[Life (yr)]]/Implements7[[#This Row],[Use (hr/yr)]]</f>
        <v>21.178101967904954</v>
      </c>
      <c r="Y9" s="114">
        <f>Implements7[[#This Row],[Depr ($/hr)]]+Implements7[[#This Row],[OH ($/hr)]]</f>
        <v>51.642524261184974</v>
      </c>
      <c r="Z9" s="114">
        <f>(Implements7[[#This Row],[PriceP]]-Implements7[[#This Row],[TradeIn$]])/Implements7[[#This Row],[Life (yr)]]/Implements7[[#This Row],[Use (ac/yr)]]</f>
        <v>1.014762631794577</v>
      </c>
      <c r="AA9" s="114">
        <f>((Implements7[[#This Row],[PriceP]]+Implements7[[#This Row],[TradeIn$]])/2*($BP$7+$BP$8+$BP$9)+Implements7[[#This Row],[Shed (ft^2)]]*$BP$12)/Implements7[[#This Row],[Use (ac/yr)]]</f>
        <v>1.5425652502869114</v>
      </c>
      <c r="AB9"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1.0487355416279465</v>
      </c>
      <c r="AC9" s="115">
        <f>$BP$18/(Implements7[[#This Row],[Width]]*Implements7[[#This Row],[Speed]]*Implements7[[#This Row],[Efficiency]])</f>
        <v>4.9519807923169269E-2</v>
      </c>
      <c r="AD9" s="116">
        <f>IF(Implements7[[#This Row],[Use basis]]=$N$128,Implements7[[#This Row],[Ownership costs ($/hr)]],SUM(Implements7[[#This Row],[Depr ($/ac)2]:[OH ($/ac)]]))</f>
        <v>2.5573278820814886</v>
      </c>
      <c r="AE9" s="118">
        <v>8</v>
      </c>
      <c r="AF9" s="100" t="s">
        <v>446</v>
      </c>
      <c r="AG9" s="116"/>
      <c r="AH9" s="131" t="str">
        <f>CONCATENATE(AI9&amp;" "&amp;AJ9)</f>
        <v>2 HP Flatbed truck</v>
      </c>
      <c r="AI9" s="210">
        <v>2</v>
      </c>
      <c r="AJ9" s="197" t="s">
        <v>841</v>
      </c>
      <c r="AK9" s="198">
        <v>7500</v>
      </c>
      <c r="AL9" s="199">
        <v>0</v>
      </c>
      <c r="AM9" s="200">
        <f>AK9/(1-AL9)</f>
        <v>7500</v>
      </c>
      <c r="AN9" s="215">
        <f>VLOOKUP(Power20259[[#This Row],[ASABEtype]],$BC$6:$BM$52,4,FALSE)</f>
        <v>7500</v>
      </c>
      <c r="AO9" s="199">
        <v>0.8</v>
      </c>
      <c r="AP9" s="307">
        <f>VLOOKUP(Power20259[[#This Row],[ASABEtype]],ASABECoefficients8[],4,FALSE)/Power20259[[#This Row],[Use (hr/yr)]]*(1-Power20259[[#This Row],[Life used (%)]])</f>
        <v>14.999999999999996</v>
      </c>
      <c r="AQ9" s="201">
        <v>100</v>
      </c>
      <c r="AR9" s="202">
        <v>2</v>
      </c>
      <c r="AS9" s="203" t="s">
        <v>712</v>
      </c>
      <c r="AT9" s="201">
        <v>200</v>
      </c>
      <c r="AU9"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0.43614039521536163</v>
      </c>
      <c r="AV9" s="205">
        <f>Power20259[[#This Row],[TradeIn%]]*Power20259[[#This Row],[PriceL]]</f>
        <v>3271.052964115212</v>
      </c>
      <c r="AW9" s="206">
        <f>(Power20259[[#This Row],[PriceP]]-Power20259[[#This Row],[TradeIn$]])/Power20259[[#This Row],[Life (yr)]]/Power20259[[#This Row],[Use (hr/yr)]]</f>
        <v>2.8192980239231931</v>
      </c>
      <c r="AX9" s="308">
        <f>((Power20259[[#This Row],[PriceP]]+Power20259[[#This Row],[TradeIn$]])/2*($BP$7+$BP$8+$BP$9)+Power20259[[#This Row],[Shed (ft^2)]]*$BP$12)/Power20259[[#This Row],[Use (hr/yr)]]</f>
        <v>6.7046288629511306</v>
      </c>
      <c r="AY9"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10.85</v>
      </c>
      <c r="AZ9" s="208">
        <f>Power20259[[#This Row],[Fuel (gal/hph)]]*Power20259[[#This Row],[HP]]</f>
        <v>4</v>
      </c>
      <c r="BA9" s="206">
        <f>SUM(AW9:AX9)</f>
        <v>9.5239268868743245</v>
      </c>
      <c r="BB9" s="209" t="s">
        <v>842</v>
      </c>
      <c r="BC9" s="125" t="s">
        <v>506</v>
      </c>
      <c r="BD9" s="146">
        <v>0.41</v>
      </c>
      <c r="BE9" s="146">
        <v>1.3</v>
      </c>
      <c r="BF9" s="146">
        <v>1500</v>
      </c>
      <c r="BG9" s="146">
        <v>0.85540000000000005</v>
      </c>
      <c r="BH9" s="146">
        <v>0.1177</v>
      </c>
      <c r="BI9" s="146">
        <v>0</v>
      </c>
      <c r="BJ9" s="146">
        <v>2.8999999999999998E-3</v>
      </c>
      <c r="BK9" s="122">
        <f t="shared" si="6"/>
        <v>1.6230760000000004E-2</v>
      </c>
      <c r="BL9" s="146">
        <v>0.12740000000000001</v>
      </c>
      <c r="BM9" s="147"/>
      <c r="BO9" s="125" t="s">
        <v>565</v>
      </c>
      <c r="BP9" s="154">
        <v>5.0000000000000001E-3</v>
      </c>
    </row>
    <row r="10" spans="1:71">
      <c r="A10" s="152"/>
      <c r="B10" s="100" t="str">
        <f>Implements7[[#This Row],[Implement type]]&amp;", "&amp;Implements7[[#This Row],[Width]]&amp;" "&amp;Implements7[[#This Row],[Width Unit]]&amp; ", per "&amp;Implements7[[#This Row],[Use basis]]</f>
        <v>Field cultivator, 42 Ft Folding, per acre</v>
      </c>
      <c r="C10" s="105" t="s">
        <v>447</v>
      </c>
      <c r="D10" s="106">
        <v>42</v>
      </c>
      <c r="E10" s="107" t="str">
        <f t="shared" si="0"/>
        <v>Ft Folding</v>
      </c>
      <c r="F10" s="106"/>
      <c r="G10" s="106"/>
      <c r="H10" s="108">
        <v>102000</v>
      </c>
      <c r="I10" s="109">
        <v>0.1</v>
      </c>
      <c r="J10" s="195">
        <f t="shared" si="1"/>
        <v>113333.33333333333</v>
      </c>
      <c r="K10" s="306">
        <f>VLOOKUP(Implements7[[#This Row],[ASABEtype]],ASABECoefficients8[],4,FALSE)/Implements7[[#This Row],[Use (hr/yr)]]</f>
        <v>20</v>
      </c>
      <c r="L10" s="106">
        <v>100</v>
      </c>
      <c r="M10" s="111">
        <f t="shared" si="2"/>
        <v>3029.090909090909</v>
      </c>
      <c r="N10" s="111" t="s">
        <v>706</v>
      </c>
      <c r="O10" s="106" t="s">
        <v>448</v>
      </c>
      <c r="P10" s="106">
        <v>7</v>
      </c>
      <c r="Q10" s="109">
        <v>0.85</v>
      </c>
      <c r="R10" s="109">
        <v>1.02</v>
      </c>
      <c r="S10" s="106">
        <v>400</v>
      </c>
      <c r="T10"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0.21054767935982382</v>
      </c>
      <c r="U10" s="113">
        <f>Implements7[[#This Row],[TradeIn%]]*Implements7[[#This Row],[PriceL]]</f>
        <v>23862.070327446698</v>
      </c>
      <c r="V10" s="114">
        <f>(Implements7[[#This Row],[PriceP]]-Implements7[[#This Row],[TradeIn$]])/Implements7[[#This Row],[Life (yr)]]/Implements7[[#This Row],[Use (hr/yr)]]</f>
        <v>39.068964836276656</v>
      </c>
      <c r="W10" s="114">
        <f>((Implements7[[#This Row],[PriceP]]+Implements7[[#This Row],[TradeIn$]])/2*($BP$7+$BP$8+$BP$9)+Implements7[[#This Row],[Shed (ft^2)]]*$BP$12)/Implements7[[#This Row],[Use (hr/yr)]]</f>
        <v>59.570841972555463</v>
      </c>
      <c r="X10" s="114">
        <f>Implements7[[#This Row],[PriceL]]*(VLOOKUP(Implements7[[#This Row],[ASABEtype]],$BC$6:$BM$52,2)*(Implements7[[#This Row],[Life (yr)]]*Implements7[[#This Row],[Use (hr/yr)]]/1000)^VLOOKUP(Implements7[[#This Row],[ASABEtype]],$BC$6:$BM$52,3))/Implements7[[#This Row],[Life (yr)]]/Implements7[[#This Row],[Use (hr/yr)]]</f>
        <v>40.376942069650561</v>
      </c>
      <c r="Y10" s="114">
        <f>Implements7[[#This Row],[Depr ($/hr)]]+Implements7[[#This Row],[OH ($/hr)]]</f>
        <v>98.63980680883212</v>
      </c>
      <c r="Z10" s="114">
        <f>(Implements7[[#This Row],[PriceP]]-Implements7[[#This Row],[TradeIn$]])/Implements7[[#This Row],[Life (yr)]]/Implements7[[#This Row],[Use (ac/yr)]]</f>
        <v>1.2897917562996495</v>
      </c>
      <c r="AA10" s="114">
        <f>((Implements7[[#This Row],[PriceP]]+Implements7[[#This Row],[TradeIn$]])/2*($BP$7+$BP$8+$BP$9)+Implements7[[#This Row],[Shed (ft^2)]]*$BP$12)/Implements7[[#This Row],[Use (ac/yr)]]</f>
        <v>1.9666244348682775</v>
      </c>
      <c r="AB10"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1.3329722772093524</v>
      </c>
      <c r="AC10" s="115">
        <f>$BP$18/(Implements7[[#This Row],[Width]]*Implements7[[#This Row],[Speed]]*Implements7[[#This Row],[Efficiency]])</f>
        <v>3.3013205282112844E-2</v>
      </c>
      <c r="AD10" s="116">
        <f>IF(Implements7[[#This Row],[Use basis]]=$N$128,Implements7[[#This Row],[Ownership costs ($/hr)]],SUM(Implements7[[#This Row],[Depr ($/ac)2]:[OH ($/ac)]]))</f>
        <v>3.256416191167927</v>
      </c>
      <c r="AE10" s="118">
        <v>9</v>
      </c>
      <c r="AF10" s="100" t="s">
        <v>446</v>
      </c>
      <c r="AG10" s="116"/>
      <c r="AH10" s="131" t="str">
        <f t="shared" si="3"/>
        <v>325 HP Tandem grain truck</v>
      </c>
      <c r="AI10" s="132">
        <v>325</v>
      </c>
      <c r="AJ10" s="197" t="s">
        <v>714</v>
      </c>
      <c r="AK10" s="198">
        <v>68500</v>
      </c>
      <c r="AL10" s="199">
        <v>0.1</v>
      </c>
      <c r="AM10" s="200">
        <f t="shared" si="4"/>
        <v>76111.111111111109</v>
      </c>
      <c r="AN10" s="215">
        <f>VLOOKUP(Power20259[[#This Row],[ASABEtype]],$BC$6:$BM$52,4,FALSE)</f>
        <v>12000</v>
      </c>
      <c r="AO10" s="199"/>
      <c r="AP10" s="307">
        <f>VLOOKUP(Power20259[[#This Row],[ASABEtype]],ASABECoefficients8[],4,FALSE)/Power20259[[#This Row],[Use (hr/yr)]]*(1-Power20259[[#This Row],[Life used (%)]])</f>
        <v>30</v>
      </c>
      <c r="AQ10" s="201">
        <v>400</v>
      </c>
      <c r="AR10" s="202">
        <v>1.4999999999999999E-2</v>
      </c>
      <c r="AS10" s="203" t="s">
        <v>715</v>
      </c>
      <c r="AT10" s="201">
        <v>225</v>
      </c>
      <c r="AU10"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0.30803821036742995</v>
      </c>
      <c r="AV10" s="205">
        <f>Power20259[[#This Row],[TradeIn%]]*Power20259[[#This Row],[PriceL]]</f>
        <v>23445.130455743278</v>
      </c>
      <c r="AW10" s="206">
        <f>(Power20259[[#This Row],[PriceP]]-Power20259[[#This Row],[TradeIn$]])/Power20259[[#This Row],[Life (yr)]]/Power20259[[#This Row],[Use (hr/yr)]]</f>
        <v>3.7545724620213941</v>
      </c>
      <c r="AX10" s="308">
        <f>((Power20259[[#This Row],[PriceP]]+Power20259[[#This Row],[TradeIn$]])/2*($BP$7+$BP$8+$BP$9)+Power20259[[#This Row],[Shed (ft^2)]]*$BP$12)/Power20259[[#This Row],[Use (hr/yr)]]</f>
        <v>10.716615723446953</v>
      </c>
      <c r="AY10"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4.5666666666666664</v>
      </c>
      <c r="AZ10" s="208">
        <f>Power20259[[#This Row],[Fuel (gal/hph)]]*Power20259[[#This Row],[HP]]</f>
        <v>4.875</v>
      </c>
      <c r="BA10" s="206">
        <f t="shared" si="5"/>
        <v>14.471188185468346</v>
      </c>
      <c r="BB10" s="209" t="s">
        <v>716</v>
      </c>
      <c r="BC10" s="125" t="s">
        <v>451</v>
      </c>
      <c r="BD10" s="146">
        <v>0.28000000000000003</v>
      </c>
      <c r="BE10" s="146">
        <v>1.4</v>
      </c>
      <c r="BF10" s="146">
        <v>2000</v>
      </c>
      <c r="BG10" s="146">
        <v>0.69269999999999998</v>
      </c>
      <c r="BH10" s="146">
        <v>7.0300000000000001E-2</v>
      </c>
      <c r="BI10" s="146">
        <v>0</v>
      </c>
      <c r="BJ10" s="146">
        <v>1.1999999999999999E-3</v>
      </c>
      <c r="BK10" s="122">
        <f t="shared" si="6"/>
        <v>1.4957290000000002E-2</v>
      </c>
      <c r="BL10" s="146">
        <v>0.12230000000000001</v>
      </c>
      <c r="BM10" s="147"/>
      <c r="BO10" s="125" t="s">
        <v>566</v>
      </c>
      <c r="BP10" s="155">
        <f>'Input prices'!D21</f>
        <v>3.25</v>
      </c>
      <c r="BS10" s="100" t="s">
        <v>728</v>
      </c>
    </row>
    <row r="11" spans="1:71">
      <c r="A11" s="152"/>
      <c r="B11" s="100" t="str">
        <f>Implements7[[#This Row],[Implement type]]&amp;", "&amp;Implements7[[#This Row],[Width]]&amp;" "&amp;Implements7[[#This Row],[Width Unit]]&amp; ", per "&amp;Implements7[[#This Row],[Use basis]]</f>
        <v>Field cultivator, 55 Ft Folding, per acre</v>
      </c>
      <c r="C11" s="105" t="s">
        <v>447</v>
      </c>
      <c r="D11" s="106">
        <v>55</v>
      </c>
      <c r="E11" s="107" t="str">
        <f t="shared" si="0"/>
        <v>Ft Folding</v>
      </c>
      <c r="F11" s="106"/>
      <c r="G11" s="106"/>
      <c r="H11" s="108">
        <v>137500</v>
      </c>
      <c r="I11" s="109">
        <v>0.1</v>
      </c>
      <c r="J11" s="195">
        <f t="shared" si="1"/>
        <v>152777.77777777778</v>
      </c>
      <c r="K11" s="306">
        <f>VLOOKUP(Implements7[[#This Row],[ASABEtype]],ASABECoefficients8[],4,FALSE)/Implements7[[#This Row],[Use (hr/yr)]]</f>
        <v>20</v>
      </c>
      <c r="L11" s="106">
        <v>100</v>
      </c>
      <c r="M11" s="111">
        <f t="shared" si="2"/>
        <v>3966.6666666666665</v>
      </c>
      <c r="N11" s="111" t="s">
        <v>706</v>
      </c>
      <c r="O11" s="106" t="s">
        <v>448</v>
      </c>
      <c r="P11" s="106">
        <v>7</v>
      </c>
      <c r="Q11" s="109">
        <v>0.85</v>
      </c>
      <c r="R11" s="109">
        <v>1.02</v>
      </c>
      <c r="S11" s="106">
        <v>400</v>
      </c>
      <c r="T11"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0.21054767935982382</v>
      </c>
      <c r="U11" s="113">
        <f>Implements7[[#This Row],[TradeIn%]]*Implements7[[#This Row],[PriceL]]</f>
        <v>32167.006568861972</v>
      </c>
      <c r="V11" s="114">
        <f>(Implements7[[#This Row],[PriceP]]-Implements7[[#This Row],[TradeIn$]])/Implements7[[#This Row],[Life (yr)]]/Implements7[[#This Row],[Use (hr/yr)]]</f>
        <v>52.666496715569011</v>
      </c>
      <c r="W11" s="114">
        <f>((Implements7[[#This Row],[PriceP]]+Implements7[[#This Row],[TradeIn$]])/2*($BP$7+$BP$8+$BP$9)+Implements7[[#This Row],[Shed (ft^2)]]*$BP$12)/Implements7[[#This Row],[Use (hr/yr)]]</f>
        <v>78.954526259381723</v>
      </c>
      <c r="X11" s="114">
        <f>Implements7[[#This Row],[PriceL]]*(VLOOKUP(Implements7[[#This Row],[ASABEtype]],$BC$6:$BM$52,2)*(Implements7[[#This Row],[Life (yr)]]*Implements7[[#This Row],[Use (hr/yr)]]/1000)^VLOOKUP(Implements7[[#This Row],[ASABEtype]],$BC$6:$BM$52,3))/Implements7[[#This Row],[Life (yr)]]/Implements7[[#This Row],[Use (hr/yr)]]</f>
        <v>54.429701319381891</v>
      </c>
      <c r="Y11" s="114">
        <f>Implements7[[#This Row],[Depr ($/hr)]]+Implements7[[#This Row],[OH ($/hr)]]</f>
        <v>131.62102297495073</v>
      </c>
      <c r="Z11" s="114">
        <f>(Implements7[[#This Row],[PriceP]]-Implements7[[#This Row],[TradeIn$]])/Implements7[[#This Row],[Life (yr)]]/Implements7[[#This Row],[Use (ac/yr)]]</f>
        <v>1.3277268079555213</v>
      </c>
      <c r="AA11" s="114">
        <f>((Implements7[[#This Row],[PriceP]]+Implements7[[#This Row],[TradeIn$]])/2*($BP$7+$BP$8+$BP$9)+Implements7[[#This Row],[Shed (ft^2)]]*$BP$12)/Implements7[[#This Row],[Use (ac/yr)]]</f>
        <v>1.9904502418331529</v>
      </c>
      <c r="AB11"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1.3721773441860983</v>
      </c>
      <c r="AC11" s="115">
        <f>$BP$18/(Implements7[[#This Row],[Width]]*Implements7[[#This Row],[Speed]]*Implements7[[#This Row],[Efficiency]])</f>
        <v>2.5210084033613446E-2</v>
      </c>
      <c r="AD11" s="116">
        <f>IF(Implements7[[#This Row],[Use basis]]=$N$128,Implements7[[#This Row],[Ownership costs ($/hr)]],SUM(Implements7[[#This Row],[Depr ($/ac)2]:[OH ($/ac)]]))</f>
        <v>3.318177049788674</v>
      </c>
      <c r="AE11" s="118">
        <v>10</v>
      </c>
      <c r="AF11" s="100" t="s">
        <v>446</v>
      </c>
      <c r="AG11" s="116"/>
      <c r="AH11" s="131" t="str">
        <f t="shared" si="3"/>
        <v xml:space="preserve">475 HP Road tractor </v>
      </c>
      <c r="AI11" s="132">
        <v>475</v>
      </c>
      <c r="AJ11" s="197" t="s">
        <v>717</v>
      </c>
      <c r="AK11" s="198">
        <v>65000</v>
      </c>
      <c r="AL11" s="199">
        <v>0.1</v>
      </c>
      <c r="AM11" s="200">
        <f t="shared" si="4"/>
        <v>72222.222222222219</v>
      </c>
      <c r="AN11" s="215">
        <f>VLOOKUP(Power20259[[#This Row],[ASABEtype]],$BC$6:$BM$52,4,FALSE)</f>
        <v>12000</v>
      </c>
      <c r="AO11" s="199"/>
      <c r="AP11" s="307">
        <f>VLOOKUP(Power20259[[#This Row],[ASABEtype]],ASABECoefficients8[],4,FALSE)/Power20259[[#This Row],[Use (hr/yr)]]*(1-Power20259[[#This Row],[Life used (%)]])</f>
        <v>30</v>
      </c>
      <c r="AQ11" s="201">
        <v>400</v>
      </c>
      <c r="AR11" s="202">
        <v>1.4999999999999999E-2</v>
      </c>
      <c r="AS11" s="203" t="s">
        <v>715</v>
      </c>
      <c r="AT11" s="201">
        <v>200</v>
      </c>
      <c r="AU11"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0.30803821036742995</v>
      </c>
      <c r="AV11" s="205">
        <f>Power20259[[#This Row],[TradeIn%]]*Power20259[[#This Row],[PriceL]]</f>
        <v>22247.204082092161</v>
      </c>
      <c r="AW11" s="206">
        <f>(Power20259[[#This Row],[PriceP]]-Power20259[[#This Row],[TradeIn$]])/Power20259[[#This Row],[Life (yr)]]/Power20259[[#This Row],[Use (hr/yr)]]</f>
        <v>3.5627329931589866</v>
      </c>
      <c r="AX11" s="308">
        <f>((Power20259[[#This Row],[PriceP]]+Power20259[[#This Row],[TradeIn$]])/2*($BP$7+$BP$8+$BP$9)+Power20259[[#This Row],[Shed (ft^2)]]*$BP$12)/Power20259[[#This Row],[Use (hr/yr)]]</f>
        <v>10.136331433163981</v>
      </c>
      <c r="AY11"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4.3333333333333321</v>
      </c>
      <c r="AZ11" s="208">
        <f>Power20259[[#This Row],[Fuel (gal/hph)]]*Power20259[[#This Row],[HP]]</f>
        <v>7.125</v>
      </c>
      <c r="BA11" s="206">
        <f t="shared" si="5"/>
        <v>13.699064426322968</v>
      </c>
      <c r="BB11" s="209" t="s">
        <v>718</v>
      </c>
      <c r="BC11" s="125" t="s">
        <v>462</v>
      </c>
      <c r="BD11" s="146">
        <v>0.04</v>
      </c>
      <c r="BE11" s="146">
        <v>2.1</v>
      </c>
      <c r="BF11" s="146">
        <v>3000</v>
      </c>
      <c r="BG11" s="146">
        <v>1.0136000000000001</v>
      </c>
      <c r="BH11" s="146">
        <v>0.1741</v>
      </c>
      <c r="BI11" s="146">
        <v>7.7000000000000002E-3</v>
      </c>
      <c r="BJ11" s="146">
        <v>1.2999999999999999E-3</v>
      </c>
      <c r="BK11" s="122">
        <f t="shared" si="6"/>
        <v>0</v>
      </c>
      <c r="BL11" s="146">
        <v>0</v>
      </c>
      <c r="BM11" s="147" t="s">
        <v>567</v>
      </c>
      <c r="BO11" s="125" t="s">
        <v>568</v>
      </c>
      <c r="BP11" s="156">
        <v>0.1</v>
      </c>
    </row>
    <row r="12" spans="1:71">
      <c r="A12" s="152"/>
      <c r="B12" s="100" t="str">
        <f>Implements7[[#This Row],[Implement type]]&amp;", "&amp;Implements7[[#This Row],[Width]]&amp;" "&amp;Implements7[[#This Row],[Width Unit]]&amp; ", per "&amp;Implements7[[#This Row],[Use basis]]</f>
        <v>Tandem disk, 21 Ft Folding, per acre</v>
      </c>
      <c r="C12" s="105" t="s">
        <v>449</v>
      </c>
      <c r="D12" s="106">
        <v>21</v>
      </c>
      <c r="E12" s="107" t="str">
        <f t="shared" si="0"/>
        <v>Ft Folding</v>
      </c>
      <c r="F12" s="106"/>
      <c r="G12" s="106"/>
      <c r="H12" s="108">
        <v>85500</v>
      </c>
      <c r="I12" s="109">
        <v>0.1</v>
      </c>
      <c r="J12" s="195">
        <f t="shared" si="1"/>
        <v>95000</v>
      </c>
      <c r="K12" s="306">
        <f>VLOOKUP(Implements7[[#This Row],[ASABEtype]],ASABECoefficients8[],4,FALSE)/Implements7[[#This Row],[Use (hr/yr)]]</f>
        <v>20</v>
      </c>
      <c r="L12" s="106">
        <v>100</v>
      </c>
      <c r="M12" s="111">
        <f t="shared" si="2"/>
        <v>1221.818181818182</v>
      </c>
      <c r="N12" s="111" t="s">
        <v>706</v>
      </c>
      <c r="O12" s="106" t="s">
        <v>450</v>
      </c>
      <c r="P12" s="106">
        <v>6</v>
      </c>
      <c r="Q12" s="109">
        <v>0.8</v>
      </c>
      <c r="R12" s="109">
        <v>1.02</v>
      </c>
      <c r="S12" s="106">
        <v>260</v>
      </c>
      <c r="T12"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0.17815437125462419</v>
      </c>
      <c r="U12" s="113">
        <f>Implements7[[#This Row],[TradeIn%]]*Implements7[[#This Row],[PriceL]]</f>
        <v>16924.6652691893</v>
      </c>
      <c r="V12" s="114">
        <f>(Implements7[[#This Row],[PriceP]]-Implements7[[#This Row],[TradeIn$]])/Implements7[[#This Row],[Life (yr)]]/Implements7[[#This Row],[Use (hr/yr)]]</f>
        <v>34.287667365405348</v>
      </c>
      <c r="W12" s="114">
        <f>((Implements7[[#This Row],[PriceP]]+Implements7[[#This Row],[TradeIn$]])/2*($BP$7+$BP$8+$BP$9)+Implements7[[#This Row],[Shed (ft^2)]]*$BP$12)/Implements7[[#This Row],[Use (hr/yr)]]</f>
        <v>47.842883685845464</v>
      </c>
      <c r="X12" s="114">
        <f>Implements7[[#This Row],[PriceL]]*(VLOOKUP(Implements7[[#This Row],[ASABEtype]],$BC$6:$BM$52,2)*(Implements7[[#This Row],[Life (yr)]]*Implements7[[#This Row],[Use (hr/yr)]]/1000)^VLOOKUP(Implements7[[#This Row],[ASABEtype]],$BC$6:$BM$52,3))/Implements7[[#This Row],[Life (yr)]]/Implements7[[#This Row],[Use (hr/yr)]]</f>
        <v>27.779031955383246</v>
      </c>
      <c r="Y12" s="114">
        <f>Implements7[[#This Row],[Depr ($/hr)]]+Implements7[[#This Row],[OH ($/hr)]]</f>
        <v>82.130551051250819</v>
      </c>
      <c r="Z12" s="114">
        <f>(Implements7[[#This Row],[PriceP]]-Implements7[[#This Row],[TradeIn$]])/Implements7[[#This Row],[Life (yr)]]/Implements7[[#This Row],[Use (ac/yr)]]</f>
        <v>2.8062822992519254</v>
      </c>
      <c r="AA12" s="114">
        <f>((Implements7[[#This Row],[PriceP]]+Implements7[[#This Row],[TradeIn$]])/2*($BP$7+$BP$8+$BP$9)+Implements7[[#This Row],[Shed (ft^2)]]*$BP$12)/Implements7[[#This Row],[Use (ac/yr)]]</f>
        <v>3.9157122064308036</v>
      </c>
      <c r="AB12"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2.2735814844435689</v>
      </c>
      <c r="AC12" s="115">
        <f>$BP$18/(Implements7[[#This Row],[Width]]*Implements7[[#This Row],[Speed]]*Implements7[[#This Row],[Efficiency]])</f>
        <v>8.1845238095238082E-2</v>
      </c>
      <c r="AD12" s="116">
        <f>IF(Implements7[[#This Row],[Use basis]]=$N$128,Implements7[[#This Row],[Ownership costs ($/hr)]],SUM(Implements7[[#This Row],[Depr ($/ac)2]:[OH ($/ac)]]))</f>
        <v>6.721994505682729</v>
      </c>
      <c r="AE12" s="118">
        <v>11</v>
      </c>
      <c r="AF12" s="100" t="s">
        <v>446</v>
      </c>
      <c r="AG12" s="116"/>
      <c r="AH12" s="131" t="str">
        <f>CONCATENATE(AI12&amp;" "&amp;AJ12)</f>
        <v>45 HP MFWD Cab loader</v>
      </c>
      <c r="AI12" s="132">
        <v>45</v>
      </c>
      <c r="AJ12" s="197" t="s">
        <v>843</v>
      </c>
      <c r="AK12" s="198">
        <v>48000</v>
      </c>
      <c r="AL12" s="199">
        <v>0.1</v>
      </c>
      <c r="AM12" s="200">
        <f>AK12/(1-AL12)</f>
        <v>53333.333333333328</v>
      </c>
      <c r="AN12" s="215">
        <f>VLOOKUP(Power20259[[#This Row],[ASABEtype]],$BC$6:$BM$52,4,FALSE)</f>
        <v>8000</v>
      </c>
      <c r="AO12" s="199"/>
      <c r="AP12" s="307">
        <f>VLOOKUP(Power20259[[#This Row],[ASABEtype]],ASABECoefficients8[],4,FALSE)/Power20259[[#This Row],[Use (hr/yr)]]*(1-Power20259[[#This Row],[Life used (%)]])</f>
        <v>20</v>
      </c>
      <c r="AQ12" s="201">
        <v>400</v>
      </c>
      <c r="AR12" s="202">
        <v>4.3999999999999997E-2</v>
      </c>
      <c r="AS12" s="203" t="s">
        <v>522</v>
      </c>
      <c r="AT12" s="201">
        <v>105</v>
      </c>
      <c r="AU12"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0.29592589900369304</v>
      </c>
      <c r="AV12" s="205">
        <f>Power20259[[#This Row],[TradeIn%]]*Power20259[[#This Row],[PriceL]]</f>
        <v>15782.714613530294</v>
      </c>
      <c r="AW12" s="206">
        <f>(Power20259[[#This Row],[PriceP]]-Power20259[[#This Row],[TradeIn$]])/Power20259[[#This Row],[Life (yr)]]/Power20259[[#This Row],[Use (hr/yr)]]</f>
        <v>4.0271606733087131</v>
      </c>
      <c r="AX12" s="308">
        <f>((Power20259[[#This Row],[PriceP]]+Power20259[[#This Row],[TradeIn$]])/2*($BP$7+$BP$8+$BP$9)+Power20259[[#This Row],[Shed (ft^2)]]*$BP$12)/Power20259[[#This Row],[Use (hr/yr)]]</f>
        <v>7.3103827819526206</v>
      </c>
      <c r="AY12"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2.9866666666666664</v>
      </c>
      <c r="AZ12" s="208">
        <f>Power20259[[#This Row],[Fuel (gal/hph)]]*Power20259[[#This Row],[HP]]</f>
        <v>1.98</v>
      </c>
      <c r="BA12" s="206">
        <f t="shared" si="5"/>
        <v>11.337543455261333</v>
      </c>
      <c r="BB12" s="209"/>
      <c r="BC12" s="125" t="s">
        <v>569</v>
      </c>
      <c r="BD12" s="146">
        <v>0.14000000000000001</v>
      </c>
      <c r="BE12" s="146">
        <v>2.2999999999999998</v>
      </c>
      <c r="BF12" s="146">
        <v>2000</v>
      </c>
      <c r="BG12" s="146">
        <v>1.054</v>
      </c>
      <c r="BH12" s="146">
        <v>0.1865</v>
      </c>
      <c r="BI12" s="146">
        <v>6.7999999999999996E-3</v>
      </c>
      <c r="BJ12" s="146">
        <v>2.8E-3</v>
      </c>
      <c r="BK12" s="122">
        <f t="shared" si="6"/>
        <v>7.1740899999999993E-3</v>
      </c>
      <c r="BL12" s="146">
        <v>8.4699999999999998E-2</v>
      </c>
      <c r="BM12" s="147"/>
      <c r="BO12" s="125" t="s">
        <v>570</v>
      </c>
      <c r="BP12" s="157">
        <f>3.75*0.15*126.3/73.3</f>
        <v>0.96921896316507516</v>
      </c>
    </row>
    <row r="13" spans="1:71">
      <c r="A13" s="152"/>
      <c r="B13" s="100" t="str">
        <f>Implements7[[#This Row],[Implement type]]&amp;", "&amp;Implements7[[#This Row],[Width]]&amp;" "&amp;Implements7[[#This Row],[Width Unit]]&amp; ", per "&amp;Implements7[[#This Row],[Use basis]]</f>
        <v>Tandem disk, 32 Ft Folding, per acre</v>
      </c>
      <c r="C13" s="105" t="s">
        <v>449</v>
      </c>
      <c r="D13" s="106">
        <v>32</v>
      </c>
      <c r="E13" s="107" t="str">
        <f t="shared" si="0"/>
        <v>Ft Folding</v>
      </c>
      <c r="F13" s="106"/>
      <c r="G13" s="106"/>
      <c r="H13" s="108">
        <v>123500</v>
      </c>
      <c r="I13" s="109">
        <v>0.1</v>
      </c>
      <c r="J13" s="195">
        <f t="shared" si="1"/>
        <v>137222.22222222222</v>
      </c>
      <c r="K13" s="306">
        <f>VLOOKUP(Implements7[[#This Row],[ASABEtype]],ASABECoefficients8[],4,FALSE)/Implements7[[#This Row],[Use (hr/yr)]]</f>
        <v>20</v>
      </c>
      <c r="L13" s="106">
        <v>100</v>
      </c>
      <c r="M13" s="111">
        <f t="shared" si="2"/>
        <v>1861.818181818182</v>
      </c>
      <c r="N13" s="111" t="s">
        <v>706</v>
      </c>
      <c r="O13" s="106" t="s">
        <v>451</v>
      </c>
      <c r="P13" s="106">
        <v>6</v>
      </c>
      <c r="Q13" s="109">
        <v>0.8</v>
      </c>
      <c r="R13" s="109">
        <v>1.02</v>
      </c>
      <c r="S13" s="106">
        <v>280</v>
      </c>
      <c r="T13"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0.21054767935982382</v>
      </c>
      <c r="U13" s="113">
        <f>Implements7[[#This Row],[TradeIn%]]*Implements7[[#This Row],[PriceL]]</f>
        <v>28891.820445486934</v>
      </c>
      <c r="V13" s="114">
        <f>(Implements7[[#This Row],[PriceP]]-Implements7[[#This Row],[TradeIn$]])/Implements7[[#This Row],[Life (yr)]]/Implements7[[#This Row],[Use (hr/yr)]]</f>
        <v>47.304089777256543</v>
      </c>
      <c r="W13" s="114">
        <f>((Implements7[[#This Row],[PriceP]]+Implements7[[#This Row],[TradeIn$]])/2*($BP$7+$BP$8+$BP$9)+Implements7[[#This Row],[Shed (ft^2)]]*$BP$12)/Implements7[[#This Row],[Use (hr/yr)]]</f>
        <v>70.147193643990178</v>
      </c>
      <c r="X13" s="114">
        <f>Implements7[[#This Row],[PriceL]]*(VLOOKUP(Implements7[[#This Row],[ASABEtype]],$BC$6:$BM$52,2)*(Implements7[[#This Row],[Life (yr)]]*Implements7[[#This Row],[Use (hr/yr)]]/1000)^VLOOKUP(Implements7[[#This Row],[ASABEtype]],$BC$6:$BM$52,3))/Implements7[[#This Row],[Life (yr)]]/Implements7[[#This Row],[Use (hr/yr)]]</f>
        <v>50.698426171696319</v>
      </c>
      <c r="Y13" s="114">
        <f>Implements7[[#This Row],[Depr ($/hr)]]+Implements7[[#This Row],[OH ($/hr)]]</f>
        <v>117.45128342124673</v>
      </c>
      <c r="Z13" s="114">
        <f>(Implements7[[#This Row],[PriceP]]-Implements7[[#This Row],[TradeIn$]])/Implements7[[#This Row],[Life (yr)]]/Implements7[[#This Row],[Use (ac/yr)]]</f>
        <v>2.5407470095206146</v>
      </c>
      <c r="AA13" s="114">
        <f>((Implements7[[#This Row],[PriceP]]+Implements7[[#This Row],[TradeIn$]])/2*($BP$7+$BP$8+$BP$9)+Implements7[[#This Row],[Shed (ft^2)]]*$BP$12)/Implements7[[#This Row],[Use (ac/yr)]]</f>
        <v>3.7676715336127531</v>
      </c>
      <c r="AB13"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2.7230599994563449</v>
      </c>
      <c r="AC13" s="115">
        <f>$BP$18/(Implements7[[#This Row],[Width]]*Implements7[[#This Row],[Speed]]*Implements7[[#This Row],[Efficiency]])</f>
        <v>5.3710937499999993E-2</v>
      </c>
      <c r="AD13" s="116">
        <f>IF(Implements7[[#This Row],[Use basis]]=$N$128,Implements7[[#This Row],[Ownership costs ($/hr)]],SUM(Implements7[[#This Row],[Depr ($/ac)2]:[OH ($/ac)]]))</f>
        <v>6.3084185431333673</v>
      </c>
      <c r="AE13" s="118">
        <v>12</v>
      </c>
      <c r="AF13" s="100" t="s">
        <v>446</v>
      </c>
      <c r="AG13" s="116"/>
      <c r="AH13" s="131" t="str">
        <f t="shared" si="3"/>
        <v>40 HP TWD</v>
      </c>
      <c r="AI13" s="132">
        <v>40</v>
      </c>
      <c r="AJ13" s="106" t="s">
        <v>521</v>
      </c>
      <c r="AK13" s="108">
        <v>33000</v>
      </c>
      <c r="AL13" s="109">
        <v>0</v>
      </c>
      <c r="AM13" s="133">
        <f t="shared" si="4"/>
        <v>33000</v>
      </c>
      <c r="AN13" s="215">
        <f>VLOOKUP(Power20259[[#This Row],[ASABEtype]],$BC$6:$BM$52,4,FALSE)</f>
        <v>8000</v>
      </c>
      <c r="AO13" s="199"/>
      <c r="AP13" s="307">
        <f>VLOOKUP(Power20259[[#This Row],[ASABEtype]],ASABECoefficients8[],4,FALSE)/Power20259[[#This Row],[Use (hr/yr)]]*(1-Power20259[[#This Row],[Life used (%)]])</f>
        <v>40</v>
      </c>
      <c r="AQ13" s="201">
        <v>200</v>
      </c>
      <c r="AR13" s="106">
        <v>4.3999999999999997E-2</v>
      </c>
      <c r="AS13" s="106" t="s">
        <v>522</v>
      </c>
      <c r="AT13" s="106">
        <v>92</v>
      </c>
      <c r="AU13"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0.16043703022416145</v>
      </c>
      <c r="AV13" s="135">
        <f>Power20259[[#This Row],[TradeIn%]]*Power20259[[#This Row],[PriceL]]</f>
        <v>5294.4219973973277</v>
      </c>
      <c r="AW13" s="136">
        <f>(Power20259[[#This Row],[PriceP]]-Power20259[[#This Row],[TradeIn$]])/Power20259[[#This Row],[Life (yr)]]/Power20259[[#This Row],[Use (hr/yr)]]</f>
        <v>3.4631972503253343</v>
      </c>
      <c r="AX13" s="308">
        <f>((Power20259[[#This Row],[PriceP]]+Power20259[[#This Row],[TradeIn$]])/2*($BP$7+$BP$8+$BP$9)+Power20259[[#This Row],[Shed (ft^2)]]*$BP$12)/Power20259[[#This Row],[Use (hr/yr)]]</f>
        <v>8.9184815899800931</v>
      </c>
      <c r="AY13"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1.8480000000000001</v>
      </c>
      <c r="AZ13" s="138">
        <f>Power20259[[#This Row],[Fuel (gal/hph)]]*Power20259[[#This Row],[HP]]</f>
        <v>1.7599999999999998</v>
      </c>
      <c r="BA13" s="137">
        <f t="shared" si="5"/>
        <v>12.381678840305428</v>
      </c>
      <c r="BB13" s="209"/>
      <c r="BC13" s="125" t="s">
        <v>571</v>
      </c>
      <c r="BD13" s="146">
        <v>0.11</v>
      </c>
      <c r="BE13" s="146">
        <v>1.8</v>
      </c>
      <c r="BF13" s="146">
        <v>3000</v>
      </c>
      <c r="BG13" s="146">
        <v>1.054</v>
      </c>
      <c r="BH13" s="146">
        <v>0.1865</v>
      </c>
      <c r="BI13" s="146">
        <v>6.7999999999999996E-3</v>
      </c>
      <c r="BJ13" s="146">
        <v>2.8E-3</v>
      </c>
      <c r="BK13" s="122">
        <f t="shared" si="6"/>
        <v>7.1740899999999993E-3</v>
      </c>
      <c r="BL13" s="146">
        <v>8.4699999999999998E-2</v>
      </c>
      <c r="BM13" s="147"/>
      <c r="BO13" s="122" t="s">
        <v>572</v>
      </c>
      <c r="BP13" s="158">
        <v>0</v>
      </c>
    </row>
    <row r="14" spans="1:71">
      <c r="A14" s="152"/>
      <c r="B14" s="100" t="str">
        <f>Implements7[[#This Row],[Implement type]]&amp;", "&amp;Implements7[[#This Row],[Width]]&amp;" "&amp;Implements7[[#This Row],[Width Unit]]&amp; ", per "&amp;Implements7[[#This Row],[Use basis]]</f>
        <v>Forage harvester, pull-type w/corn head, 7.5 Ft, per acre</v>
      </c>
      <c r="C14" s="107" t="s">
        <v>452</v>
      </c>
      <c r="D14" s="106">
        <v>7.5</v>
      </c>
      <c r="E14" s="107" t="s">
        <v>439</v>
      </c>
      <c r="F14" s="106">
        <v>3</v>
      </c>
      <c r="G14" s="107" t="s">
        <v>453</v>
      </c>
      <c r="H14" s="108">
        <v>94500</v>
      </c>
      <c r="I14" s="109">
        <v>0.1</v>
      </c>
      <c r="J14" s="195">
        <f t="shared" si="1"/>
        <v>105000</v>
      </c>
      <c r="K14" s="306">
        <f>VLOOKUP(Implements7[[#This Row],[ASABEtype]],ASABECoefficients8[],4,FALSE)/Implements7[[#This Row],[Use (hr/yr)]]</f>
        <v>12.5</v>
      </c>
      <c r="L14" s="106">
        <v>200</v>
      </c>
      <c r="M14" s="111">
        <f t="shared" si="2"/>
        <v>413.63636363636363</v>
      </c>
      <c r="N14" s="111" t="s">
        <v>706</v>
      </c>
      <c r="O14" s="106" t="s">
        <v>577</v>
      </c>
      <c r="P14" s="106">
        <v>3.5</v>
      </c>
      <c r="Q14" s="109">
        <v>0.65</v>
      </c>
      <c r="R14" s="109">
        <v>1.1100000000000001</v>
      </c>
      <c r="S14" s="106">
        <v>140</v>
      </c>
      <c r="T14"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0.38280781308829243</v>
      </c>
      <c r="U14" s="113">
        <f>Implements7[[#This Row],[TradeIn%]]*Implements7[[#This Row],[PriceL]]</f>
        <v>40194.820374270705</v>
      </c>
      <c r="V14" s="114">
        <f>(Implements7[[#This Row],[PriceP]]-Implements7[[#This Row],[TradeIn$]])/Implements7[[#This Row],[Life (yr)]]/Implements7[[#This Row],[Use (hr/yr)]]</f>
        <v>21.722071850291719</v>
      </c>
      <c r="W14" s="114">
        <f>((Implements7[[#This Row],[PriceP]]+Implements7[[#This Row],[TradeIn$]])/2*($BP$7+$BP$8+$BP$9)+Implements7[[#This Row],[Shed (ft^2)]]*$BP$12)/Implements7[[#This Row],[Use (hr/yr)]]</f>
        <v>30.479682282022946</v>
      </c>
      <c r="X14" s="114">
        <f>Implements7[[#This Row],[PriceL]]*(VLOOKUP(Implements7[[#This Row],[ASABEtype]],$BC$6:$BM$52,2)*(Implements7[[#This Row],[Life (yr)]]*Implements7[[#This Row],[Use (hr/yr)]]/1000)^VLOOKUP(Implements7[[#This Row],[ASABEtype]],$BC$6:$BM$52,3))/Implements7[[#This Row],[Life (yr)]]/Implements7[[#This Row],[Use (hr/yr)]]</f>
        <v>27.292578199233894</v>
      </c>
      <c r="Y14" s="114">
        <f>Implements7[[#This Row],[Depr ($/hr)]]+Implements7[[#This Row],[OH ($/hr)]]</f>
        <v>52.201754132314662</v>
      </c>
      <c r="Z14" s="114">
        <f>(Implements7[[#This Row],[PriceP]]-Implements7[[#This Row],[TradeIn$]])/Implements7[[#This Row],[Life (yr)]]/Implements7[[#This Row],[Use (ac/yr)]]</f>
        <v>10.502979795745446</v>
      </c>
      <c r="AA14" s="114">
        <f>((Implements7[[#This Row],[PriceP]]+Implements7[[#This Row],[TradeIn$]])/2*($BP$7+$BP$8+$BP$9)+Implements7[[#This Row],[Shed (ft^2)]]*$BP$12)/Implements7[[#This Row],[Use (ac/yr)]]</f>
        <v>14.737428795703403</v>
      </c>
      <c r="AB14"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13.196411436992213</v>
      </c>
      <c r="AC14" s="115">
        <f>$BP$18/(Implements7[[#This Row],[Width]]*Implements7[[#This Row],[Speed]]*Implements7[[#This Row],[Efficiency]])</f>
        <v>0.48351648351648352</v>
      </c>
      <c r="AD14" s="116">
        <f>IF(Implements7[[#This Row],[Use basis]]=$N$128,Implements7[[#This Row],[Ownership costs ($/hr)]],SUM(Implements7[[#This Row],[Depr ($/ac)2]:[OH ($/ac)]]))</f>
        <v>25.240408591448848</v>
      </c>
      <c r="AE14" s="118">
        <v>37</v>
      </c>
      <c r="AF14" s="100" t="s">
        <v>454</v>
      </c>
      <c r="AG14" s="116"/>
      <c r="AH14" s="131" t="str">
        <f t="shared" si="3"/>
        <v>60 HP TWD</v>
      </c>
      <c r="AI14" s="132">
        <v>60</v>
      </c>
      <c r="AJ14" s="106" t="s">
        <v>521</v>
      </c>
      <c r="AK14" s="108">
        <v>37000</v>
      </c>
      <c r="AL14" s="109">
        <v>0</v>
      </c>
      <c r="AM14" s="133">
        <f t="shared" si="4"/>
        <v>37000</v>
      </c>
      <c r="AN14" s="215">
        <f>VLOOKUP(Power20259[[#This Row],[ASABEtype]],$BC$6:$BM$52,4,FALSE)</f>
        <v>8000</v>
      </c>
      <c r="AO14" s="199"/>
      <c r="AP14" s="307">
        <f>VLOOKUP(Power20259[[#This Row],[ASABEtype]],ASABECoefficients8[],4,FALSE)/Power20259[[#This Row],[Use (hr/yr)]]*(1-Power20259[[#This Row],[Life used (%)]])</f>
        <v>40</v>
      </c>
      <c r="AQ14" s="201">
        <v>200</v>
      </c>
      <c r="AR14" s="106">
        <v>4.3999999999999997E-2</v>
      </c>
      <c r="AS14" s="106" t="s">
        <v>522</v>
      </c>
      <c r="AT14" s="106">
        <v>104</v>
      </c>
      <c r="AU14"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0.16043703022416145</v>
      </c>
      <c r="AV14" s="135">
        <f>Power20259[[#This Row],[TradeIn%]]*Power20259[[#This Row],[PriceL]]</f>
        <v>5936.1701182939732</v>
      </c>
      <c r="AW14" s="137">
        <f>(Power20259[[#This Row],[PriceP]]-Power20259[[#This Row],[TradeIn$]])/Power20259[[#This Row],[Life (yr)]]/Power20259[[#This Row],[Use (hr/yr)]]</f>
        <v>3.8829787352132534</v>
      </c>
      <c r="AX14" s="308">
        <f>((Power20259[[#This Row],[PriceP]]+Power20259[[#This Row],[TradeIn$]])/2*($BP$7+$BP$8+$BP$9)+Power20259[[#This Row],[Shed (ft^2)]]*$BP$12)/Power20259[[#This Row],[Use (hr/yr)]]</f>
        <v>10.003621499518381</v>
      </c>
      <c r="AY14"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2.0720000000000001</v>
      </c>
      <c r="AZ14" s="138">
        <f>Power20259[[#This Row],[Fuel (gal/hph)]]*Power20259[[#This Row],[HP]]</f>
        <v>2.6399999999999997</v>
      </c>
      <c r="BA14" s="137">
        <f t="shared" si="5"/>
        <v>13.886600234731635</v>
      </c>
      <c r="BB14" s="209"/>
      <c r="BC14" s="125" t="s">
        <v>442</v>
      </c>
      <c r="BD14" s="146">
        <v>0.63</v>
      </c>
      <c r="BE14" s="146">
        <v>1.3</v>
      </c>
      <c r="BF14" s="146">
        <v>1200</v>
      </c>
      <c r="BG14" s="146">
        <v>0.86350000000000005</v>
      </c>
      <c r="BH14" s="146">
        <v>0.1288</v>
      </c>
      <c r="BI14" s="146">
        <v>0</v>
      </c>
      <c r="BJ14" s="146">
        <v>1.6999999999999999E-3</v>
      </c>
      <c r="BK14" s="122">
        <f t="shared" si="6"/>
        <v>2.4617610000000005E-2</v>
      </c>
      <c r="BL14" s="146">
        <v>0.15690000000000001</v>
      </c>
      <c r="BM14" s="147"/>
      <c r="BO14" s="122" t="s">
        <v>573</v>
      </c>
      <c r="BP14" s="159">
        <v>116</v>
      </c>
    </row>
    <row r="15" spans="1:71">
      <c r="A15" s="152"/>
      <c r="B15" s="100" t="str">
        <f>Implements7[[#This Row],[Implement type]]&amp;", "&amp;Implements7[[#This Row],[Width]]&amp;" "&amp;Implements7[[#This Row],[Width Unit]]&amp; ", per "&amp;Implements7[[#This Row],[Use basis]]</f>
        <v>Forage harvester, pull-type w/pickup head, 12 Ft, per acre</v>
      </c>
      <c r="C15" s="107" t="s">
        <v>455</v>
      </c>
      <c r="D15" s="106">
        <v>12</v>
      </c>
      <c r="E15" s="107" t="s">
        <v>439</v>
      </c>
      <c r="F15" s="106"/>
      <c r="G15" s="107"/>
      <c r="H15" s="108">
        <v>83000</v>
      </c>
      <c r="I15" s="109">
        <v>0.1</v>
      </c>
      <c r="J15" s="195">
        <f t="shared" si="1"/>
        <v>92222.222222222219</v>
      </c>
      <c r="K15" s="306">
        <f>VLOOKUP(Implements7[[#This Row],[ASABEtype]],ASABECoefficients8[],4,FALSE)/Implements7[[#This Row],[Use (hr/yr)]]</f>
        <v>12.5</v>
      </c>
      <c r="L15" s="106">
        <v>200</v>
      </c>
      <c r="M15" s="111">
        <f t="shared" si="2"/>
        <v>661.81818181818187</v>
      </c>
      <c r="N15" s="111" t="s">
        <v>706</v>
      </c>
      <c r="O15" s="106" t="s">
        <v>577</v>
      </c>
      <c r="P15" s="106">
        <v>3.5</v>
      </c>
      <c r="Q15" s="109">
        <v>0.65</v>
      </c>
      <c r="R15" s="109">
        <v>1.1100000000000001</v>
      </c>
      <c r="S15" s="106">
        <v>140</v>
      </c>
      <c r="T15"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0.38280781308829243</v>
      </c>
      <c r="U15" s="113">
        <f>Implements7[[#This Row],[TradeIn%]]*Implements7[[#This Row],[PriceL]]</f>
        <v>35303.38720703141</v>
      </c>
      <c r="V15" s="114">
        <f>(Implements7[[#This Row],[PriceP]]-Implements7[[#This Row],[TradeIn$]])/Implements7[[#This Row],[Life (yr)]]/Implements7[[#This Row],[Use (hr/yr)]]</f>
        <v>19.078645117187435</v>
      </c>
      <c r="W15" s="114">
        <f>((Implements7[[#This Row],[PriceP]]+Implements7[[#This Row],[TradeIn$]])/2*($BP$7+$BP$8+$BP$9)+Implements7[[#This Row],[Shed (ft^2)]]*$BP$12)/Implements7[[#This Row],[Use (hr/yr)]]</f>
        <v>26.853077693771251</v>
      </c>
      <c r="X15" s="114">
        <f>Implements7[[#This Row],[PriceL]]*(VLOOKUP(Implements7[[#This Row],[ASABEtype]],$BC$6:$BM$52,2)*(Implements7[[#This Row],[Life (yr)]]*Implements7[[#This Row],[Use (hr/yr)]]/1000)^VLOOKUP(Implements7[[#This Row],[ASABEtype]],$BC$6:$BM$52,3))/Implements7[[#This Row],[Life (yr)]]/Implements7[[#This Row],[Use (hr/yr)]]</f>
        <v>23.971259159115483</v>
      </c>
      <c r="Y15" s="114">
        <f>Implements7[[#This Row],[Depr ($/hr)]]+Implements7[[#This Row],[OH ($/hr)]]</f>
        <v>45.931722810958689</v>
      </c>
      <c r="Z15" s="114">
        <f>(Implements7[[#This Row],[PriceP]]-Implements7[[#This Row],[TradeIn$]])/Implements7[[#This Row],[Life (yr)]]/Implements7[[#This Row],[Use (ac/yr)]]</f>
        <v>5.7655246233258728</v>
      </c>
      <c r="AA15" s="114">
        <f>((Implements7[[#This Row],[PriceP]]+Implements7[[#This Row],[TradeIn$]])/2*($BP$7+$BP$8+$BP$9)+Implements7[[#This Row],[Shed (ft^2)]]*$BP$12)/Implements7[[#This Row],[Use (ac/yr)]]</f>
        <v>8.1149410613044992</v>
      </c>
      <c r="AB15"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7.2440618337986349</v>
      </c>
      <c r="AC15" s="115">
        <f>$BP$18/(Implements7[[#This Row],[Width]]*Implements7[[#This Row],[Speed]]*Implements7[[#This Row],[Efficiency]])</f>
        <v>0.30219780219780218</v>
      </c>
      <c r="AD15" s="116">
        <f>IF(Implements7[[#This Row],[Use basis]]=$N$128,Implements7[[#This Row],[Ownership costs ($/hr)]],SUM(Implements7[[#This Row],[Depr ($/ac)2]:[OH ($/ac)]]))</f>
        <v>13.880465684630373</v>
      </c>
      <c r="AE15" s="118">
        <v>38</v>
      </c>
      <c r="AF15" s="100" t="s">
        <v>454</v>
      </c>
      <c r="AG15" s="116"/>
      <c r="AH15" s="131" t="str">
        <f t="shared" si="3"/>
        <v>75 HP TWD</v>
      </c>
      <c r="AI15" s="132">
        <v>75</v>
      </c>
      <c r="AJ15" s="106" t="s">
        <v>521</v>
      </c>
      <c r="AK15" s="108">
        <v>65000</v>
      </c>
      <c r="AL15" s="109">
        <v>0.05</v>
      </c>
      <c r="AM15" s="133">
        <f t="shared" si="4"/>
        <v>68421.052631578947</v>
      </c>
      <c r="AN15" s="215">
        <f>VLOOKUP(Power20259[[#This Row],[ASABEtype]],$BC$6:$BM$52,4,FALSE)</f>
        <v>8000</v>
      </c>
      <c r="AO15" s="199"/>
      <c r="AP15" s="307">
        <f>VLOOKUP(Power20259[[#This Row],[ASABEtype]],ASABECoefficients8[],4,FALSE)/Power20259[[#This Row],[Use (hr/yr)]]*(1-Power20259[[#This Row],[Life used (%)]])</f>
        <v>40</v>
      </c>
      <c r="AQ15" s="201">
        <v>200</v>
      </c>
      <c r="AR15" s="106">
        <v>4.3999999999999997E-2</v>
      </c>
      <c r="AS15" s="106" t="s">
        <v>522</v>
      </c>
      <c r="AT15" s="106">
        <v>115</v>
      </c>
      <c r="AU15"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0.16043703022416145</v>
      </c>
      <c r="AV15" s="135">
        <f>Power20259[[#This Row],[TradeIn%]]*Power20259[[#This Row],[PriceL]]</f>
        <v>10977.270489021572</v>
      </c>
      <c r="AW15" s="137">
        <f>(Power20259[[#This Row],[PriceP]]-Power20259[[#This Row],[TradeIn$]])/Power20259[[#This Row],[Life (yr)]]/Power20259[[#This Row],[Use (hr/yr)]]</f>
        <v>6.7528411888723046</v>
      </c>
      <c r="AX15" s="308">
        <f>((Power20259[[#This Row],[PriceP]]+Power20259[[#This Row],[TradeIn$]])/2*($BP$7+$BP$8+$BP$9)+Power20259[[#This Row],[Shed (ft^2)]]*$BP$12)/Power20259[[#This Row],[Use (hr/yr)]]</f>
        <v>17.367271999515939</v>
      </c>
      <c r="AY15"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3.8315789473684214</v>
      </c>
      <c r="AZ15" s="138">
        <f>Power20259[[#This Row],[Fuel (gal/hph)]]*Power20259[[#This Row],[HP]]</f>
        <v>3.3</v>
      </c>
      <c r="BA15" s="137">
        <f t="shared" si="5"/>
        <v>24.120113188388245</v>
      </c>
      <c r="BB15" s="209"/>
      <c r="BC15" s="125" t="s">
        <v>448</v>
      </c>
      <c r="BD15" s="146">
        <v>0.27</v>
      </c>
      <c r="BE15" s="146">
        <v>1.4</v>
      </c>
      <c r="BF15" s="146">
        <v>2000</v>
      </c>
      <c r="BG15" s="146">
        <v>0.69269999999999998</v>
      </c>
      <c r="BH15" s="146">
        <v>7.0300000000000001E-2</v>
      </c>
      <c r="BI15" s="146">
        <v>0</v>
      </c>
      <c r="BJ15" s="146">
        <v>1.1999999999999999E-3</v>
      </c>
      <c r="BK15" s="122">
        <f t="shared" si="6"/>
        <v>1.4957290000000002E-2</v>
      </c>
      <c r="BL15" s="146">
        <v>0.12230000000000001</v>
      </c>
      <c r="BM15" s="147"/>
      <c r="BO15" s="100" t="s">
        <v>574</v>
      </c>
      <c r="BP15" s="160">
        <v>124.92</v>
      </c>
    </row>
    <row r="16" spans="1:71">
      <c r="A16" s="152"/>
      <c r="B16" s="100" t="str">
        <f>Implements7[[#This Row],[Implement type]]&amp;", "&amp;Implements7[[#This Row],[Width]]&amp;" "&amp;Implements7[[#This Row],[Width Unit]]&amp; ", per "&amp;Implements7[[#This Row],[Use basis]]</f>
        <v>Forage harvester, self-prop corn head, 15 Ft, per acre</v>
      </c>
      <c r="C16" s="105" t="s">
        <v>456</v>
      </c>
      <c r="D16" s="106">
        <v>15</v>
      </c>
      <c r="E16" s="107" t="s">
        <v>439</v>
      </c>
      <c r="F16" s="106">
        <v>6</v>
      </c>
      <c r="G16" s="107" t="s">
        <v>453</v>
      </c>
      <c r="H16" s="108">
        <v>107500</v>
      </c>
      <c r="I16" s="109">
        <v>0.1</v>
      </c>
      <c r="J16" s="195">
        <f t="shared" si="1"/>
        <v>119444.44444444444</v>
      </c>
      <c r="K16" s="306">
        <f>VLOOKUP(Implements7[[#This Row],[ASABEtype]],ASABECoefficients8[],4,FALSE)/Implements7[[#This Row],[Use (hr/yr)]]</f>
        <v>20</v>
      </c>
      <c r="L16" s="106">
        <v>200</v>
      </c>
      <c r="M16" s="111">
        <f t="shared" si="2"/>
        <v>1018.1818181818181</v>
      </c>
      <c r="N16" s="111" t="s">
        <v>706</v>
      </c>
      <c r="O16" s="106" t="s">
        <v>457</v>
      </c>
      <c r="P16" s="106">
        <v>4</v>
      </c>
      <c r="Q16" s="109">
        <v>0.7</v>
      </c>
      <c r="R16" s="109">
        <v>1.1100000000000001</v>
      </c>
      <c r="S16" s="106">
        <v>300</v>
      </c>
      <c r="T16"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0.22858854315593269</v>
      </c>
      <c r="U16" s="113">
        <f>Implements7[[#This Row],[TradeIn%]]*Implements7[[#This Row],[PriceL]]</f>
        <v>27303.631543625292</v>
      </c>
      <c r="V16" s="114">
        <f>(Implements7[[#This Row],[PriceP]]-Implements7[[#This Row],[TradeIn$]])/Implements7[[#This Row],[Life (yr)]]/Implements7[[#This Row],[Use (hr/yr)]]</f>
        <v>20.049092114093678</v>
      </c>
      <c r="W16" s="114">
        <f>((Implements7[[#This Row],[PriceP]]+Implements7[[#This Row],[TradeIn$]])/2*($BP$7+$BP$8+$BP$9)+Implements7[[#This Row],[Shed (ft^2)]]*$BP$12)/Implements7[[#This Row],[Use (hr/yr)]]</f>
        <v>31.279131923774706</v>
      </c>
      <c r="X16" s="114">
        <f>Implements7[[#This Row],[PriceL]]*(VLOOKUP(Implements7[[#This Row],[ASABEtype]],$BC$6:$BM$52,2)*(Implements7[[#This Row],[Life (yr)]]*Implements7[[#This Row],[Use (hr/yr)]]/1000)^VLOOKUP(Implements7[[#This Row],[ASABEtype]],$BC$6:$BM$52,3))/Implements7[[#This Row],[Life (yr)]]/Implements7[[#This Row],[Use (hr/yr)]]</f>
        <v>14.333333333333332</v>
      </c>
      <c r="Y16" s="114">
        <f>Implements7[[#This Row],[Depr ($/hr)]]+Implements7[[#This Row],[OH ($/hr)]]</f>
        <v>51.328224037868381</v>
      </c>
      <c r="Z16" s="114">
        <f>(Implements7[[#This Row],[PriceP]]-Implements7[[#This Row],[TradeIn$]])/Implements7[[#This Row],[Life (yr)]]/Implements7[[#This Row],[Use (ac/yr)]]</f>
        <v>3.9382145224112586</v>
      </c>
      <c r="AA16" s="114">
        <f>((Implements7[[#This Row],[PriceP]]+Implements7[[#This Row],[TradeIn$]])/2*($BP$7+$BP$8+$BP$9)+Implements7[[#This Row],[Shed (ft^2)]]*$BP$12)/Implements7[[#This Row],[Use (ac/yr)]]</f>
        <v>6.1441151993128891</v>
      </c>
      <c r="AB16"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2.8154761904761907</v>
      </c>
      <c r="AC16" s="115">
        <f>$BP$18/(Implements7[[#This Row],[Width]]*Implements7[[#This Row],[Speed]]*Implements7[[#This Row],[Efficiency]])</f>
        <v>0.19642857142857142</v>
      </c>
      <c r="AD16" s="116">
        <f>IF(Implements7[[#This Row],[Use basis]]=$N$128,Implements7[[#This Row],[Ownership costs ($/hr)]],SUM(Implements7[[#This Row],[Depr ($/ac)2]:[OH ($/ac)]]))</f>
        <v>10.082329721724147</v>
      </c>
      <c r="AE16" s="118">
        <v>39</v>
      </c>
      <c r="AF16" s="100" t="s">
        <v>454</v>
      </c>
      <c r="AG16" s="116"/>
      <c r="AH16" s="131" t="str">
        <f t="shared" si="3"/>
        <v>105 HP MFWD</v>
      </c>
      <c r="AI16" s="132">
        <v>105</v>
      </c>
      <c r="AJ16" s="106" t="s">
        <v>523</v>
      </c>
      <c r="AK16" s="108">
        <v>120000</v>
      </c>
      <c r="AL16" s="109">
        <v>0.1</v>
      </c>
      <c r="AM16" s="133">
        <f t="shared" si="4"/>
        <v>133333.33333333334</v>
      </c>
      <c r="AN16" s="215">
        <f>VLOOKUP(Power20259[[#This Row],[ASABEtype]],$BC$6:$BM$52,4,FALSE)</f>
        <v>8000</v>
      </c>
      <c r="AO16" s="199"/>
      <c r="AP16" s="307">
        <f>VLOOKUP(Power20259[[#This Row],[ASABEtype]],ASABECoefficients8[],4,FALSE)/Power20259[[#This Row],[Use (hr/yr)]]*(1-Power20259[[#This Row],[Life used (%)]])</f>
        <v>17.777777777777779</v>
      </c>
      <c r="AQ16" s="106">
        <v>450</v>
      </c>
      <c r="AR16" s="106">
        <v>4.3999999999999997E-2</v>
      </c>
      <c r="AS16" s="106" t="s">
        <v>524</v>
      </c>
      <c r="AT16" s="106">
        <v>127</v>
      </c>
      <c r="AU16"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0.18298839443424203</v>
      </c>
      <c r="AV16" s="135">
        <f>Power20259[[#This Row],[TradeIn%]]*Power20259[[#This Row],[PriceL]]</f>
        <v>24398.452591232272</v>
      </c>
      <c r="AW16" s="137">
        <f>(Power20259[[#This Row],[PriceP]]-Power20259[[#This Row],[TradeIn$]])/Power20259[[#This Row],[Life (yr)]]/Power20259[[#This Row],[Use (hr/yr)]]</f>
        <v>11.950193426095964</v>
      </c>
      <c r="AX16" s="308">
        <f>((Power20259[[#This Row],[PriceP]]+Power20259[[#This Row],[TradeIn$]])/2*($BP$7+$BP$8+$BP$9)+Power20259[[#This Row],[Shed (ft^2)]]*$BP$12)/Power20259[[#This Row],[Use (hr/yr)]]</f>
        <v>14.472716301075536</v>
      </c>
      <c r="AY16"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5.333333333333333</v>
      </c>
      <c r="AZ16" s="138">
        <f>Power20259[[#This Row],[Fuel (gal/hph)]]*Power20259[[#This Row],[HP]]</f>
        <v>4.62</v>
      </c>
      <c r="BA16" s="137">
        <f t="shared" si="5"/>
        <v>26.422909727171501</v>
      </c>
      <c r="BB16" s="209"/>
      <c r="BC16" s="125" t="s">
        <v>575</v>
      </c>
      <c r="BD16" s="146">
        <v>0.22</v>
      </c>
      <c r="BE16" s="146">
        <v>1.8</v>
      </c>
      <c r="BF16" s="146">
        <v>1500</v>
      </c>
      <c r="BG16" s="146">
        <v>0.65290000000000004</v>
      </c>
      <c r="BH16" s="146">
        <v>0.15110000000000001</v>
      </c>
      <c r="BI16" s="146">
        <v>0</v>
      </c>
      <c r="BJ16" s="146">
        <v>7.7999999999999996E-3</v>
      </c>
      <c r="BK16" s="122">
        <f t="shared" si="6"/>
        <v>1.525225E-2</v>
      </c>
      <c r="BL16" s="146">
        <v>0.1235</v>
      </c>
      <c r="BM16" s="147"/>
      <c r="BO16" s="100" t="s">
        <v>576</v>
      </c>
      <c r="BP16" s="160">
        <v>68.61</v>
      </c>
    </row>
    <row r="17" spans="1:68">
      <c r="A17" s="164"/>
      <c r="B17" s="100" t="str">
        <f>Implements7[[#This Row],[Implement type]]&amp;", "&amp;Implements7[[#This Row],[Width]]&amp;" "&amp;Implements7[[#This Row],[Width Unit]]&amp; ", per "&amp;Implements7[[#This Row],[Use basis]]</f>
        <v>Forage harvester, self-prop corn head, 20 Ft Folding, per acre</v>
      </c>
      <c r="C17" s="105" t="s">
        <v>456</v>
      </c>
      <c r="D17" s="106">
        <v>20</v>
      </c>
      <c r="E17" s="107" t="s">
        <v>458</v>
      </c>
      <c r="F17" s="106">
        <v>8</v>
      </c>
      <c r="G17" s="107" t="s">
        <v>453</v>
      </c>
      <c r="H17" s="108">
        <v>141000</v>
      </c>
      <c r="I17" s="109">
        <v>0.1</v>
      </c>
      <c r="J17" s="195">
        <f t="shared" si="1"/>
        <v>156666.66666666666</v>
      </c>
      <c r="K17" s="306">
        <f>VLOOKUP(Implements7[[#This Row],[ASABEtype]],ASABECoefficients8[],4,FALSE)/Implements7[[#This Row],[Use (hr/yr)]]</f>
        <v>20</v>
      </c>
      <c r="L17" s="106">
        <v>200</v>
      </c>
      <c r="M17" s="111">
        <f t="shared" si="2"/>
        <v>1357.5757575757575</v>
      </c>
      <c r="N17" s="111" t="s">
        <v>706</v>
      </c>
      <c r="O17" s="106" t="s">
        <v>457</v>
      </c>
      <c r="P17" s="106">
        <v>4</v>
      </c>
      <c r="Q17" s="109">
        <v>0.7</v>
      </c>
      <c r="R17" s="109">
        <v>1.1100000000000001</v>
      </c>
      <c r="S17" s="106">
        <v>300</v>
      </c>
      <c r="T17"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0.22858854315593269</v>
      </c>
      <c r="U17" s="113">
        <f>Implements7[[#This Row],[TradeIn%]]*Implements7[[#This Row],[PriceL]]</f>
        <v>35812.205094429453</v>
      </c>
      <c r="V17" s="114">
        <f>(Implements7[[#This Row],[PriceP]]-Implements7[[#This Row],[TradeIn$]])/Implements7[[#This Row],[Life (yr)]]/Implements7[[#This Row],[Use (hr/yr)]]</f>
        <v>26.296948726392635</v>
      </c>
      <c r="W17" s="114">
        <f>((Implements7[[#This Row],[PriceP]]+Implements7[[#This Row],[TradeIn$]])/2*($BP$7+$BP$8+$BP$9)+Implements7[[#This Row],[Shed (ft^2)]]*$BP$12)/Implements7[[#This Row],[Use (hr/yr)]]</f>
        <v>40.573528821890129</v>
      </c>
      <c r="X17" s="114">
        <f>Implements7[[#This Row],[PriceL]]*(VLOOKUP(Implements7[[#This Row],[ASABEtype]],$BC$6:$BM$52,2)*(Implements7[[#This Row],[Life (yr)]]*Implements7[[#This Row],[Use (hr/yr)]]/1000)^VLOOKUP(Implements7[[#This Row],[ASABEtype]],$BC$6:$BM$52,3))/Implements7[[#This Row],[Life (yr)]]/Implements7[[#This Row],[Use (hr/yr)]]</f>
        <v>18.799999999999997</v>
      </c>
      <c r="Y17" s="114">
        <f>Implements7[[#This Row],[Depr ($/hr)]]+Implements7[[#This Row],[OH ($/hr)]]</f>
        <v>66.870477548282764</v>
      </c>
      <c r="Z17" s="114">
        <f>(Implements7[[#This Row],[PriceP]]-Implements7[[#This Row],[TradeIn$]])/Implements7[[#This Row],[Life (yr)]]/Implements7[[#This Row],[Use (ac/yr)]]</f>
        <v>3.8741040534417723</v>
      </c>
      <c r="AA17" s="114">
        <f>((Implements7[[#This Row],[PriceP]]+Implements7[[#This Row],[TradeIn$]])/2*($BP$7+$BP$8+$BP$9)+Implements7[[#This Row],[Shed (ft^2)]]*$BP$12)/Implements7[[#This Row],[Use (ac/yr)]]</f>
        <v>5.9773502282248856</v>
      </c>
      <c r="AB17"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2.7696428571428564</v>
      </c>
      <c r="AC17" s="115">
        <f>$BP$18/(Implements7[[#This Row],[Width]]*Implements7[[#This Row],[Speed]]*Implements7[[#This Row],[Efficiency]])</f>
        <v>0.14732142857142858</v>
      </c>
      <c r="AD17" s="116">
        <f>IF(Implements7[[#This Row],[Use basis]]=$N$128,Implements7[[#This Row],[Ownership costs ($/hr)]],SUM(Implements7[[#This Row],[Depr ($/ac)2]:[OH ($/ac)]]))</f>
        <v>9.8514542816666584</v>
      </c>
      <c r="AE17" s="118">
        <v>40</v>
      </c>
      <c r="AF17" s="100" t="s">
        <v>454</v>
      </c>
      <c r="AG17" s="116"/>
      <c r="AH17" s="131" t="str">
        <f>CONCATENATE(AI17&amp;" "&amp;AJ17)</f>
        <v>130 HP MFWD</v>
      </c>
      <c r="AI17" s="132">
        <v>130</v>
      </c>
      <c r="AJ17" s="106" t="s">
        <v>523</v>
      </c>
      <c r="AK17" s="108">
        <v>185000</v>
      </c>
      <c r="AL17" s="109">
        <v>0.1</v>
      </c>
      <c r="AM17" s="133">
        <f>AK17/(1-AL17)</f>
        <v>205555.55555555556</v>
      </c>
      <c r="AN17" s="215">
        <f>VLOOKUP(Power20259[[#This Row],[ASABEtype]],$BC$6:$BM$52,4,FALSE)</f>
        <v>8000</v>
      </c>
      <c r="AO17" s="199"/>
      <c r="AP17" s="307">
        <f>VLOOKUP(Power20259[[#This Row],[ASABEtype]],ASABECoefficients8[],4,FALSE)/Power20259[[#This Row],[Use (hr/yr)]]*(1-Power20259[[#This Row],[Life used (%)]])</f>
        <v>17.777777777777779</v>
      </c>
      <c r="AQ17" s="106">
        <v>450</v>
      </c>
      <c r="AR17" s="106">
        <v>4.3999999999999997E-2</v>
      </c>
      <c r="AS17" s="106" t="s">
        <v>524</v>
      </c>
      <c r="AT17" s="106">
        <v>130</v>
      </c>
      <c r="AU17"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0.18298839443424203</v>
      </c>
      <c r="AV17" s="135">
        <f>Power20259[[#This Row],[TradeIn%]]*Power20259[[#This Row],[PriceL]]</f>
        <v>37614.281078149754</v>
      </c>
      <c r="AW17" s="137">
        <f>(Power20259[[#This Row],[PriceP]]-Power20259[[#This Row],[TradeIn$]])/Power20259[[#This Row],[Life (yr)]]/Power20259[[#This Row],[Use (hr/yr)]]</f>
        <v>18.423214865231284</v>
      </c>
      <c r="AX17" s="308">
        <f>((Power20259[[#This Row],[PriceP]]+Power20259[[#This Row],[TradeIn$]])/2*($BP$7+$BP$8+$BP$9)+Power20259[[#This Row],[Shed (ft^2)]]*$BP$12)/Power20259[[#This Row],[Use (hr/yr)]]</f>
        <v>22.170400895376854</v>
      </c>
      <c r="AY17"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8.2222222222222214</v>
      </c>
      <c r="AZ17" s="138">
        <f>Power20259[[#This Row],[Fuel (gal/hph)]]*Power20259[[#This Row],[HP]]</f>
        <v>5.72</v>
      </c>
      <c r="BA17" s="137">
        <f t="shared" si="5"/>
        <v>40.593615760608138</v>
      </c>
      <c r="BB17" s="209"/>
      <c r="BC17" s="125" t="s">
        <v>577</v>
      </c>
      <c r="BD17" s="146">
        <v>0.15</v>
      </c>
      <c r="BE17" s="146">
        <v>1.6</v>
      </c>
      <c r="BF17" s="146">
        <v>2500</v>
      </c>
      <c r="BG17" s="146">
        <v>0.65290000000000004</v>
      </c>
      <c r="BH17" s="146">
        <v>0.15110000000000001</v>
      </c>
      <c r="BI17" s="146">
        <v>0</v>
      </c>
      <c r="BJ17" s="146">
        <v>7.7999999999999996E-3</v>
      </c>
      <c r="BK17" s="122">
        <f t="shared" si="6"/>
        <v>1.525225E-2</v>
      </c>
      <c r="BL17" s="146">
        <v>0.1235</v>
      </c>
      <c r="BM17" s="147"/>
      <c r="BO17" s="122" t="s">
        <v>578</v>
      </c>
      <c r="BP17" s="165">
        <f>BP14*BP16/BP15</f>
        <v>63.71085494716619</v>
      </c>
    </row>
    <row r="18" spans="1:68">
      <c r="B18" s="100" t="str">
        <f>Implements7[[#This Row],[Implement type]]&amp;", "&amp;Implements7[[#This Row],[Width]]&amp;" "&amp;Implements7[[#This Row],[Width Unit]]&amp; ", per "&amp;Implements7[[#This Row],[Use basis]]</f>
        <v>Forage harvester, self-prop pickup head (2X windrows), 24 Ft Folding, per acre</v>
      </c>
      <c r="C18" s="107" t="s">
        <v>459</v>
      </c>
      <c r="D18" s="106">
        <v>24</v>
      </c>
      <c r="E18" s="107" t="s">
        <v>458</v>
      </c>
      <c r="F18" s="106"/>
      <c r="G18" s="107"/>
      <c r="H18" s="108">
        <v>35000</v>
      </c>
      <c r="I18" s="109">
        <v>0.1</v>
      </c>
      <c r="J18" s="195">
        <f t="shared" si="1"/>
        <v>38888.888888888891</v>
      </c>
      <c r="K18" s="306">
        <f>VLOOKUP(Implements7[[#This Row],[ASABEtype]],ASABECoefficients8[],4,FALSE)/Implements7[[#This Row],[Use (hr/yr)]]</f>
        <v>20</v>
      </c>
      <c r="L18" s="106">
        <v>200</v>
      </c>
      <c r="M18" s="111">
        <f t="shared" si="2"/>
        <v>1629.0909090909088</v>
      </c>
      <c r="N18" s="111" t="s">
        <v>706</v>
      </c>
      <c r="O18" s="106" t="s">
        <v>457</v>
      </c>
      <c r="P18" s="106">
        <v>4</v>
      </c>
      <c r="Q18" s="109">
        <v>0.7</v>
      </c>
      <c r="R18" s="109">
        <v>1.1100000000000001</v>
      </c>
      <c r="S18" s="106">
        <v>300</v>
      </c>
      <c r="T18"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0.22858854315593269</v>
      </c>
      <c r="U18" s="113">
        <f>Implements7[[#This Row],[TradeIn%]]*Implements7[[#This Row],[PriceL]]</f>
        <v>8889.5544560640501</v>
      </c>
      <c r="V18" s="114">
        <f>(Implements7[[#This Row],[PriceP]]-Implements7[[#This Row],[TradeIn$]])/Implements7[[#This Row],[Life (yr)]]/Implements7[[#This Row],[Use (hr/yr)]]</f>
        <v>6.5276113859839882</v>
      </c>
      <c r="W18" s="114">
        <f>((Implements7[[#This Row],[PriceP]]+Implements7[[#This Row],[TradeIn$]])/2*($BP$7+$BP$8+$BP$9)+Implements7[[#This Row],[Shed (ft^2)]]*$BP$12)/Implements7[[#This Row],[Use (hr/yr)]]</f>
        <v>11.164392368151782</v>
      </c>
      <c r="X18" s="114">
        <f>Implements7[[#This Row],[PriceL]]*(VLOOKUP(Implements7[[#This Row],[ASABEtype]],$BC$6:$BM$52,2)*(Implements7[[#This Row],[Life (yr)]]*Implements7[[#This Row],[Use (hr/yr)]]/1000)^VLOOKUP(Implements7[[#This Row],[ASABEtype]],$BC$6:$BM$52,3))/Implements7[[#This Row],[Life (yr)]]/Implements7[[#This Row],[Use (hr/yr)]]</f>
        <v>4.666666666666667</v>
      </c>
      <c r="Y18" s="114">
        <f>Implements7[[#This Row],[Depr ($/hr)]]+Implements7[[#This Row],[OH ($/hr)]]</f>
        <v>17.692003754135769</v>
      </c>
      <c r="Z18" s="114">
        <f>(Implements7[[#This Row],[PriceP]]-Implements7[[#This Row],[TradeIn$]])/Implements7[[#This Row],[Life (yr)]]/Implements7[[#This Row],[Use (ac/yr)]]</f>
        <v>0.80138086211857018</v>
      </c>
      <c r="AA18" s="114">
        <f>((Implements7[[#This Row],[PriceP]]+Implements7[[#This Row],[TradeIn$]])/2*($BP$7+$BP$8+$BP$9)+Implements7[[#This Row],[Shed (ft^2)]]*$BP$12)/Implements7[[#This Row],[Use (ac/yr)]]</f>
        <v>1.3706285273400629</v>
      </c>
      <c r="AB18"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0.57291666666666685</v>
      </c>
      <c r="AC18" s="115">
        <f>$BP$18/(Implements7[[#This Row],[Width]]*Implements7[[#This Row],[Speed]]*Implements7[[#This Row],[Efficiency]])</f>
        <v>0.12276785714285716</v>
      </c>
      <c r="AD18" s="116">
        <f>IF(Implements7[[#This Row],[Use basis]]=$N$128,Implements7[[#This Row],[Ownership costs ($/hr)]],SUM(Implements7[[#This Row],[Depr ($/ac)2]:[OH ($/ac)]]))</f>
        <v>2.172009389458633</v>
      </c>
      <c r="AE18" s="118">
        <v>42</v>
      </c>
      <c r="AF18" s="100" t="s">
        <v>454</v>
      </c>
      <c r="AG18" s="116"/>
      <c r="AH18" s="131" t="str">
        <f t="shared" si="3"/>
        <v>160 HP MFWD</v>
      </c>
      <c r="AI18" s="132">
        <v>160</v>
      </c>
      <c r="AJ18" s="106" t="s">
        <v>523</v>
      </c>
      <c r="AK18" s="108">
        <v>260000</v>
      </c>
      <c r="AL18" s="109">
        <v>0.1</v>
      </c>
      <c r="AM18" s="133">
        <f t="shared" si="4"/>
        <v>288888.88888888888</v>
      </c>
      <c r="AN18" s="215">
        <f>VLOOKUP(Power20259[[#This Row],[ASABEtype]],$BC$6:$BM$52,4,FALSE)</f>
        <v>8000</v>
      </c>
      <c r="AO18" s="199"/>
      <c r="AP18" s="307">
        <f>VLOOKUP(Power20259[[#This Row],[ASABEtype]],ASABECoefficients8[],4,FALSE)/Power20259[[#This Row],[Use (hr/yr)]]*(1-Power20259[[#This Row],[Life used (%)]])</f>
        <v>16</v>
      </c>
      <c r="AQ18" s="106">
        <v>500</v>
      </c>
      <c r="AR18" s="106">
        <v>4.3999999999999997E-2</v>
      </c>
      <c r="AS18" s="106" t="s">
        <v>524</v>
      </c>
      <c r="AT18" s="106">
        <v>200</v>
      </c>
      <c r="AU18"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0.20936899110935328</v>
      </c>
      <c r="AV18" s="135">
        <f>Power20259[[#This Row],[TradeIn%]]*Power20259[[#This Row],[PriceL]]</f>
        <v>60484.375209368722</v>
      </c>
      <c r="AW18" s="137">
        <f>(Power20259[[#This Row],[PriceP]]-Power20259[[#This Row],[TradeIn$]])/Power20259[[#This Row],[Life (yr)]]/Power20259[[#This Row],[Use (hr/yr)]]</f>
        <v>24.939453098828913</v>
      </c>
      <c r="AX18" s="308">
        <f>((Power20259[[#This Row],[PriceP]]+Power20259[[#This Row],[TradeIn$]])/2*($BP$7+$BP$8+$BP$9)+Power20259[[#This Row],[Shed (ft^2)]]*$BP$12)/Power20259[[#This Row],[Use (hr/yr)]]</f>
        <v>28.750554791295158</v>
      </c>
      <c r="AY18"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11.555555555555555</v>
      </c>
      <c r="AZ18" s="138">
        <f>Power20259[[#This Row],[Fuel (gal/hph)]]*Power20259[[#This Row],[HP]]</f>
        <v>7.0399999999999991</v>
      </c>
      <c r="BA18" s="137">
        <f t="shared" si="5"/>
        <v>53.690007890124072</v>
      </c>
      <c r="BB18" s="209"/>
      <c r="BC18" s="125" t="s">
        <v>457</v>
      </c>
      <c r="BD18" s="146">
        <v>0.03</v>
      </c>
      <c r="BE18" s="146">
        <v>2</v>
      </c>
      <c r="BF18" s="146">
        <v>4000</v>
      </c>
      <c r="BG18" s="146">
        <v>0.65290000000000004</v>
      </c>
      <c r="BH18" s="146">
        <v>0.15110000000000001</v>
      </c>
      <c r="BI18" s="146">
        <v>0</v>
      </c>
      <c r="BJ18" s="146">
        <v>7.7999999999999996E-3</v>
      </c>
      <c r="BK18" s="122">
        <f t="shared" si="6"/>
        <v>1.525225E-2</v>
      </c>
      <c r="BL18" s="146">
        <v>0.1235</v>
      </c>
      <c r="BM18" s="147"/>
      <c r="BO18" s="122" t="s">
        <v>579</v>
      </c>
      <c r="BP18" s="146">
        <v>8.25</v>
      </c>
    </row>
    <row r="19" spans="1:68">
      <c r="B19" s="100" t="str">
        <f>Implements7[[#This Row],[Implement type]]&amp;", "&amp;Implements7[[#This Row],[Width]]&amp;" "&amp;Implements7[[#This Row],[Width Unit]]&amp; ", per "&amp;Implements7[[#This Row],[Use basis]]</f>
        <v>Forage harvester, self-prop pickup head, 12 Ft, per acre</v>
      </c>
      <c r="C19" s="107" t="s">
        <v>460</v>
      </c>
      <c r="D19" s="106">
        <v>12</v>
      </c>
      <c r="E19" s="107" t="s">
        <v>439</v>
      </c>
      <c r="F19" s="106"/>
      <c r="G19" s="107"/>
      <c r="H19" s="108">
        <v>35000</v>
      </c>
      <c r="I19" s="109">
        <v>0.1</v>
      </c>
      <c r="J19" s="195">
        <f t="shared" si="1"/>
        <v>38888.888888888891</v>
      </c>
      <c r="K19" s="306">
        <f>VLOOKUP(Implements7[[#This Row],[ASABEtype]],ASABECoefficients8[],4,FALSE)/Implements7[[#This Row],[Use (hr/yr)]]</f>
        <v>20</v>
      </c>
      <c r="L19" s="106">
        <v>200</v>
      </c>
      <c r="M19" s="111">
        <f t="shared" si="2"/>
        <v>814.54545454545439</v>
      </c>
      <c r="N19" s="111" t="s">
        <v>706</v>
      </c>
      <c r="O19" s="106" t="s">
        <v>457</v>
      </c>
      <c r="P19" s="106">
        <v>4</v>
      </c>
      <c r="Q19" s="109">
        <v>0.7</v>
      </c>
      <c r="R19" s="109">
        <v>1.1100000000000001</v>
      </c>
      <c r="S19" s="106">
        <v>300</v>
      </c>
      <c r="T19"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0.22858854315593269</v>
      </c>
      <c r="U19" s="113">
        <f>Implements7[[#This Row],[TradeIn%]]*Implements7[[#This Row],[PriceL]]</f>
        <v>8889.5544560640501</v>
      </c>
      <c r="V19" s="114">
        <f>(Implements7[[#This Row],[PriceP]]-Implements7[[#This Row],[TradeIn$]])/Implements7[[#This Row],[Life (yr)]]/Implements7[[#This Row],[Use (hr/yr)]]</f>
        <v>6.5276113859839882</v>
      </c>
      <c r="W19" s="114">
        <f>((Implements7[[#This Row],[PriceP]]+Implements7[[#This Row],[TradeIn$]])/2*($BP$7+$BP$8+$BP$9)+Implements7[[#This Row],[Shed (ft^2)]]*$BP$12)/Implements7[[#This Row],[Use (hr/yr)]]</f>
        <v>11.164392368151782</v>
      </c>
      <c r="X19" s="114">
        <f>Implements7[[#This Row],[PriceL]]*(VLOOKUP(Implements7[[#This Row],[ASABEtype]],$BC$6:$BM$52,2)*(Implements7[[#This Row],[Life (yr)]]*Implements7[[#This Row],[Use (hr/yr)]]/1000)^VLOOKUP(Implements7[[#This Row],[ASABEtype]],$BC$6:$BM$52,3))/Implements7[[#This Row],[Life (yr)]]/Implements7[[#This Row],[Use (hr/yr)]]</f>
        <v>4.666666666666667</v>
      </c>
      <c r="Y19" s="114">
        <f>Implements7[[#This Row],[Depr ($/hr)]]+Implements7[[#This Row],[OH ($/hr)]]</f>
        <v>17.692003754135769</v>
      </c>
      <c r="Z19" s="114">
        <f>(Implements7[[#This Row],[PriceP]]-Implements7[[#This Row],[TradeIn$]])/Implements7[[#This Row],[Life (yr)]]/Implements7[[#This Row],[Use (ac/yr)]]</f>
        <v>1.6027617242371404</v>
      </c>
      <c r="AA19" s="114">
        <f>((Implements7[[#This Row],[PriceP]]+Implements7[[#This Row],[TradeIn$]])/2*($BP$7+$BP$8+$BP$9)+Implements7[[#This Row],[Shed (ft^2)]]*$BP$12)/Implements7[[#This Row],[Use (ac/yr)]]</f>
        <v>2.7412570546801258</v>
      </c>
      <c r="AB19"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1.1458333333333337</v>
      </c>
      <c r="AC19" s="115">
        <f>$BP$18/(Implements7[[#This Row],[Width]]*Implements7[[#This Row],[Speed]]*Implements7[[#This Row],[Efficiency]])</f>
        <v>0.24553571428571433</v>
      </c>
      <c r="AD19" s="116">
        <f>IF(Implements7[[#This Row],[Use basis]]=$N$128,Implements7[[#This Row],[Ownership costs ($/hr)]],SUM(Implements7[[#This Row],[Depr ($/ac)2]:[OH ($/ac)]]))</f>
        <v>4.344018778917266</v>
      </c>
      <c r="AE19" s="118">
        <v>41</v>
      </c>
      <c r="AF19" s="100" t="s">
        <v>454</v>
      </c>
      <c r="AG19" s="116"/>
      <c r="AH19" s="131" t="str">
        <f t="shared" si="3"/>
        <v>200 HP MFWD</v>
      </c>
      <c r="AI19" s="132">
        <v>200</v>
      </c>
      <c r="AJ19" s="106" t="s">
        <v>523</v>
      </c>
      <c r="AK19" s="108">
        <v>325000</v>
      </c>
      <c r="AL19" s="109">
        <v>0.1</v>
      </c>
      <c r="AM19" s="133">
        <f t="shared" si="4"/>
        <v>361111.11111111112</v>
      </c>
      <c r="AN19" s="215">
        <f>VLOOKUP(Power20259[[#This Row],[ASABEtype]],$BC$6:$BM$52,4,FALSE)</f>
        <v>8000</v>
      </c>
      <c r="AO19" s="199"/>
      <c r="AP19" s="307">
        <f>VLOOKUP(Power20259[[#This Row],[ASABEtype]],ASABECoefficients8[],4,FALSE)/Power20259[[#This Row],[Use (hr/yr)]]*(1-Power20259[[#This Row],[Life used (%)]])</f>
        <v>16</v>
      </c>
      <c r="AQ19" s="106">
        <v>500</v>
      </c>
      <c r="AR19" s="106">
        <v>4.3999999999999997E-2</v>
      </c>
      <c r="AS19" s="106" t="s">
        <v>524</v>
      </c>
      <c r="AT19" s="106">
        <v>210</v>
      </c>
      <c r="AU19"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0.20936899110935328</v>
      </c>
      <c r="AV19" s="135">
        <f>Power20259[[#This Row],[TradeIn%]]*Power20259[[#This Row],[PriceL]]</f>
        <v>75605.469011710913</v>
      </c>
      <c r="AW19" s="137">
        <f>(Power20259[[#This Row],[PriceP]]-Power20259[[#This Row],[TradeIn$]])/Power20259[[#This Row],[Life (yr)]]/Power20259[[#This Row],[Use (hr/yr)]]</f>
        <v>31.174316373536136</v>
      </c>
      <c r="AX19" s="308">
        <f>((Power20259[[#This Row],[PriceP]]+Power20259[[#This Row],[TradeIn$]])/2*($BP$7+$BP$8+$BP$9)+Power20259[[#This Row],[Shed (ft^2)]]*$BP$12)/Power20259[[#This Row],[Use (hr/yr)]]</f>
        <v>35.860655972065736</v>
      </c>
      <c r="AY19"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14.444444444444445</v>
      </c>
      <c r="AZ19" s="138">
        <f>Power20259[[#This Row],[Fuel (gal/hph)]]*Power20259[[#This Row],[HP]]</f>
        <v>8.7999999999999989</v>
      </c>
      <c r="BA19" s="137">
        <f t="shared" si="5"/>
        <v>67.034972345601872</v>
      </c>
      <c r="BB19" s="209"/>
      <c r="BC19" s="125" t="s">
        <v>580</v>
      </c>
      <c r="BD19" s="146">
        <v>0.16</v>
      </c>
      <c r="BE19" s="146">
        <v>1.6</v>
      </c>
      <c r="BF19" s="146">
        <v>2000</v>
      </c>
      <c r="BG19" s="146">
        <v>0.80910000000000004</v>
      </c>
      <c r="BH19" s="146">
        <v>0.1109</v>
      </c>
      <c r="BI19" s="146">
        <v>0</v>
      </c>
      <c r="BJ19" s="146">
        <v>1.4E-3</v>
      </c>
      <c r="BK19" s="122">
        <f t="shared" si="6"/>
        <v>1.605289E-2</v>
      </c>
      <c r="BL19" s="146">
        <v>0.12670000000000001</v>
      </c>
      <c r="BM19" s="147"/>
    </row>
    <row r="20" spans="1:68">
      <c r="B20" s="100" t="str">
        <f>Implements7[[#This Row],[Implement type]]&amp;", "&amp;Implements7[[#This Row],[Width]]&amp;" "&amp;Implements7[[#This Row],[Width Unit]]&amp; ", per "&amp;Implements7[[#This Row],[Use basis]]</f>
        <v>Combine belt pickup hd, 23 Ft, per acre</v>
      </c>
      <c r="C20" s="107" t="s">
        <v>461</v>
      </c>
      <c r="D20" s="106">
        <v>23</v>
      </c>
      <c r="E20" s="107" t="s">
        <v>439</v>
      </c>
      <c r="F20" s="106"/>
      <c r="G20" s="107"/>
      <c r="H20" s="108">
        <v>56000</v>
      </c>
      <c r="I20" s="109">
        <v>0.2</v>
      </c>
      <c r="J20" s="195">
        <f t="shared" si="1"/>
        <v>70000</v>
      </c>
      <c r="K20" s="306">
        <f>VLOOKUP(Implements7[[#This Row],[ASABEtype]],ASABECoefficients8[],4,FALSE)/Implements7[[#This Row],[Use (hr/yr)]]</f>
        <v>30</v>
      </c>
      <c r="L20" s="108">
        <v>100</v>
      </c>
      <c r="M20" s="111">
        <f t="shared" si="2"/>
        <v>878.18181818181802</v>
      </c>
      <c r="N20" s="111" t="s">
        <v>706</v>
      </c>
      <c r="O20" s="106" t="s">
        <v>462</v>
      </c>
      <c r="P20" s="106">
        <v>4.5</v>
      </c>
      <c r="Q20" s="109">
        <v>0.7</v>
      </c>
      <c r="R20" s="109">
        <v>1.1100000000000001</v>
      </c>
      <c r="S20" s="106">
        <v>75</v>
      </c>
      <c r="T20"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4.3347921998773851E-3</v>
      </c>
      <c r="U20" s="113">
        <f>Implements7[[#This Row],[TradeIn%]]*Implements7[[#This Row],[PriceL]]</f>
        <v>303.43545399141698</v>
      </c>
      <c r="V20" s="114">
        <f>(Implements7[[#This Row],[PriceP]]-Implements7[[#This Row],[TradeIn$]])/Implements7[[#This Row],[Life (yr)]]/Implements7[[#This Row],[Use (hr/yr)]]</f>
        <v>18.565521515336194</v>
      </c>
      <c r="W20" s="114">
        <f>((Implements7[[#This Row],[PriceP]]+Implements7[[#This Row],[TradeIn$]])/2*($BP$7+$BP$8+$BP$9)+Implements7[[#This Row],[Shed (ft^2)]]*$BP$12)/Implements7[[#This Row],[Use (hr/yr)]]</f>
        <v>25.641184410765007</v>
      </c>
      <c r="X20" s="114">
        <f>Implements7[[#This Row],[PriceL]]*(VLOOKUP(Implements7[[#This Row],[ASABEtype]],$BC$6:$BM$52,2)*(Implements7[[#This Row],[Life (yr)]]*Implements7[[#This Row],[Use (hr/yr)]]/1000)^VLOOKUP(Implements7[[#This Row],[ASABEtype]],$BC$6:$BM$52,3))/Implements7[[#This Row],[Life (yr)]]/Implements7[[#This Row],[Use (hr/yr)]]</f>
        <v>9.3754346618848032</v>
      </c>
      <c r="Y20" s="114">
        <f>Implements7[[#This Row],[Depr ($/hr)]]+Implements7[[#This Row],[OH ($/hr)]]</f>
        <v>44.206705926101201</v>
      </c>
      <c r="Z20" s="114">
        <f>(Implements7[[#This Row],[PriceP]]-Implements7[[#This Row],[TradeIn$]])/Implements7[[#This Row],[Life (yr)]]/Implements7[[#This Row],[Use (ac/yr)]]</f>
        <v>2.1140863009182005</v>
      </c>
      <c r="AA20" s="114">
        <f>((Implements7[[#This Row],[PriceP]]+Implements7[[#This Row],[TradeIn$]])/2*($BP$7+$BP$8+$BP$9)+Implements7[[#This Row],[Shed (ft^2)]]*$BP$12)/Implements7[[#This Row],[Use (ac/yr)]]</f>
        <v>2.9198036078510885</v>
      </c>
      <c r="AB20"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1.067596079510692</v>
      </c>
      <c r="AC20" s="115">
        <f>$BP$18/(Implements7[[#This Row],[Width]]*Implements7[[#This Row],[Speed]]*Implements7[[#This Row],[Efficiency]])</f>
        <v>0.11387163561076606</v>
      </c>
      <c r="AD20" s="116">
        <f>IF(Implements7[[#This Row],[Use basis]]=$N$128,Implements7[[#This Row],[Ownership costs ($/hr)]],SUM(Implements7[[#This Row],[Depr ($/ac)2]:[OH ($/ac)]]))</f>
        <v>5.0338899087692894</v>
      </c>
      <c r="AE20" s="118">
        <v>53</v>
      </c>
      <c r="AF20" s="100" t="s">
        <v>463</v>
      </c>
      <c r="AG20" s="116"/>
      <c r="AH20" s="131" t="str">
        <f t="shared" si="3"/>
        <v>280 HP MFWD</v>
      </c>
      <c r="AI20" s="132">
        <v>280</v>
      </c>
      <c r="AJ20" s="106" t="s">
        <v>523</v>
      </c>
      <c r="AK20" s="108">
        <v>360000</v>
      </c>
      <c r="AL20" s="109">
        <v>0.1</v>
      </c>
      <c r="AM20" s="133">
        <f t="shared" si="4"/>
        <v>400000</v>
      </c>
      <c r="AN20" s="215">
        <f>VLOOKUP(Power20259[[#This Row],[ASABEtype]],$BC$6:$BM$52,4,FALSE)</f>
        <v>8000</v>
      </c>
      <c r="AO20" s="199"/>
      <c r="AP20" s="307">
        <f>VLOOKUP(Power20259[[#This Row],[ASABEtype]],ASABECoefficients8[],4,FALSE)/Power20259[[#This Row],[Use (hr/yr)]]*(1-Power20259[[#This Row],[Life used (%)]])</f>
        <v>16</v>
      </c>
      <c r="AQ20" s="106">
        <v>500</v>
      </c>
      <c r="AR20" s="106">
        <v>4.3999999999999997E-2</v>
      </c>
      <c r="AS20" s="106" t="s">
        <v>524</v>
      </c>
      <c r="AT20" s="106">
        <v>250</v>
      </c>
      <c r="AU20"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0.20936899110935328</v>
      </c>
      <c r="AV20" s="135">
        <f>Power20259[[#This Row],[TradeIn%]]*Power20259[[#This Row],[PriceL]]</f>
        <v>83747.596443741306</v>
      </c>
      <c r="AW20" s="137">
        <f>(Power20259[[#This Row],[PriceP]]-Power20259[[#This Row],[TradeIn$]])/Power20259[[#This Row],[Life (yr)]]/Power20259[[#This Row],[Use (hr/yr)]]</f>
        <v>34.531550444532336</v>
      </c>
      <c r="AX20" s="308">
        <f>((Power20259[[#This Row],[PriceP]]+Power20259[[#This Row],[TradeIn$]])/2*($BP$7+$BP$8+$BP$9)+Power20259[[#This Row],[Shed (ft^2)]]*$BP$12)/Power20259[[#This Row],[Use (hr/yr)]]</f>
        <v>39.756271766853637</v>
      </c>
      <c r="AY20"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16</v>
      </c>
      <c r="AZ20" s="138">
        <f>Power20259[[#This Row],[Fuel (gal/hph)]]*Power20259[[#This Row],[HP]]</f>
        <v>12.319999999999999</v>
      </c>
      <c r="BA20" s="137">
        <f t="shared" si="5"/>
        <v>74.287822211385972</v>
      </c>
      <c r="BB20" s="209"/>
      <c r="BC20" s="125" t="s">
        <v>526</v>
      </c>
      <c r="BD20" s="146">
        <v>3.0000000000000001E-3</v>
      </c>
      <c r="BE20" s="146">
        <v>2</v>
      </c>
      <c r="BF20" s="146">
        <v>10000</v>
      </c>
      <c r="BG20" s="146">
        <v>0.86409999999999998</v>
      </c>
      <c r="BH20" s="146">
        <v>0.15640000000000001</v>
      </c>
      <c r="BI20" s="146">
        <v>3.3999999999999998E-3</v>
      </c>
      <c r="BJ20" s="146">
        <v>4.5999999999999999E-3</v>
      </c>
      <c r="BK20" s="122">
        <f t="shared" si="6"/>
        <v>7.3959999999999989E-3</v>
      </c>
      <c r="BL20" s="146">
        <v>8.5999999999999993E-2</v>
      </c>
      <c r="BM20" s="147"/>
    </row>
    <row r="21" spans="1:68">
      <c r="B21" s="100" t="str">
        <f>Implements7[[#This Row],[Implement type]]&amp;", "&amp;Implements7[[#This Row],[Width]]&amp;" "&amp;Implements7[[#This Row],[Width Unit]]&amp; ", per "&amp;Implements7[[#This Row],[Use basis]]</f>
        <v>Combine chopping corn hd, 20 Ft, per acre</v>
      </c>
      <c r="C21" s="107" t="s">
        <v>464</v>
      </c>
      <c r="D21" s="106">
        <v>20</v>
      </c>
      <c r="E21" s="107" t="s">
        <v>439</v>
      </c>
      <c r="F21" s="106">
        <v>8</v>
      </c>
      <c r="G21" s="107" t="s">
        <v>453</v>
      </c>
      <c r="H21" s="108">
        <v>112500</v>
      </c>
      <c r="I21" s="109">
        <v>0.2</v>
      </c>
      <c r="J21" s="195">
        <f t="shared" si="1"/>
        <v>140625</v>
      </c>
      <c r="K21" s="306">
        <f>VLOOKUP(Implements7[[#This Row],[ASABEtype]],ASABECoefficients8[],4,FALSE)/Implements7[[#This Row],[Use (hr/yr)]]</f>
        <v>15</v>
      </c>
      <c r="L21" s="106">
        <v>200</v>
      </c>
      <c r="M21" s="111">
        <f t="shared" si="2"/>
        <v>1527.272727272727</v>
      </c>
      <c r="N21" s="111" t="s">
        <v>706</v>
      </c>
      <c r="O21" s="106" t="s">
        <v>462</v>
      </c>
      <c r="P21" s="106">
        <v>4.5</v>
      </c>
      <c r="Q21" s="109">
        <v>0.7</v>
      </c>
      <c r="R21" s="109">
        <v>1.1100000000000001</v>
      </c>
      <c r="S21" s="106">
        <v>160</v>
      </c>
      <c r="T21"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1" s="113">
        <f>Implements7[[#This Row],[TradeIn%]]*Implements7[[#This Row],[PriceL]]</f>
        <v>13798.314005813845</v>
      </c>
      <c r="V21" s="114">
        <f>(Implements7[[#This Row],[PriceP]]-Implements7[[#This Row],[TradeIn$]])/Implements7[[#This Row],[Life (yr)]]/Implements7[[#This Row],[Use (hr/yr)]]</f>
        <v>32.900561998062045</v>
      </c>
      <c r="W21" s="114">
        <f>((Implements7[[#This Row],[PriceP]]+Implements7[[#This Row],[TradeIn$]])/2*($BP$7+$BP$8+$BP$9)+Implements7[[#This Row],[Shed (ft^2)]]*$BP$12)/Implements7[[#This Row],[Use (hr/yr)]]</f>
        <v>28.718877144318377</v>
      </c>
      <c r="X21" s="114">
        <f>Implements7[[#This Row],[PriceL]]*(VLOOKUP(Implements7[[#This Row],[ASABEtype]],$BC$6:$BM$52,2)*(Implements7[[#This Row],[Life (yr)]]*Implements7[[#This Row],[Use (hr/yr)]]/1000)^VLOOKUP(Implements7[[#This Row],[ASABEtype]],$BC$6:$BM$52,3))/Implements7[[#This Row],[Life (yr)]]/Implements7[[#This Row],[Use (hr/yr)]]</f>
        <v>18.834578561822148</v>
      </c>
      <c r="Y21" s="114">
        <f>Implements7[[#This Row],[Depr ($/hr)]]+Implements7[[#This Row],[OH ($/hr)]]</f>
        <v>61.619439142380422</v>
      </c>
      <c r="Z21" s="114">
        <f>(Implements7[[#This Row],[PriceP]]-Implements7[[#This Row],[TradeIn$]])/Implements7[[#This Row],[Life (yr)]]/Implements7[[#This Row],[Use (ac/yr)]]</f>
        <v>4.30840692831765</v>
      </c>
      <c r="AA21" s="114">
        <f>((Implements7[[#This Row],[PriceP]]+Implements7[[#This Row],[TradeIn$]])/2*($BP$7+$BP$8+$BP$9)+Implements7[[#This Row],[Shed (ft^2)]]*$BP$12)/Implements7[[#This Row],[Use (ac/yr)]]</f>
        <v>3.7608053403274071</v>
      </c>
      <c r="AB21"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2.4664329069052817</v>
      </c>
      <c r="AC21" s="115">
        <f>$BP$18/(Implements7[[#This Row],[Width]]*Implements7[[#This Row],[Speed]]*Implements7[[#This Row],[Efficiency]])</f>
        <v>0.13095238095238096</v>
      </c>
      <c r="AD21" s="116">
        <f>IF(Implements7[[#This Row],[Use basis]]=$N$128,Implements7[[#This Row],[Ownership costs ($/hr)]],SUM(Implements7[[#This Row],[Depr ($/ac)2]:[OH ($/ac)]]))</f>
        <v>8.0692122686450567</v>
      </c>
      <c r="AE21" s="118">
        <v>48</v>
      </c>
      <c r="AF21" s="100" t="s">
        <v>463</v>
      </c>
      <c r="AG21" s="116"/>
      <c r="AH21" s="131" t="str">
        <f>CONCATENATE(AI21&amp;" "&amp;AJ21)</f>
        <v>340 HP MFWD</v>
      </c>
      <c r="AI21" s="132">
        <v>340</v>
      </c>
      <c r="AJ21" s="106" t="s">
        <v>523</v>
      </c>
      <c r="AK21" s="108">
        <v>420000</v>
      </c>
      <c r="AL21" s="109">
        <v>0.1</v>
      </c>
      <c r="AM21" s="133">
        <f t="shared" si="4"/>
        <v>466666.66666666663</v>
      </c>
      <c r="AN21" s="215">
        <f>VLOOKUP(Power20259[[#This Row],[ASABEtype]],$BC$6:$BM$52,4,FALSE)</f>
        <v>8000</v>
      </c>
      <c r="AO21" s="199"/>
      <c r="AP21" s="307">
        <f>VLOOKUP(Power20259[[#This Row],[ASABEtype]],ASABECoefficients8[],4,FALSE)/Power20259[[#This Row],[Use (hr/yr)]]*(1-Power20259[[#This Row],[Life used (%)]])</f>
        <v>16</v>
      </c>
      <c r="AQ21" s="106">
        <v>500</v>
      </c>
      <c r="AR21" s="106">
        <v>4.3999999999999997E-2</v>
      </c>
      <c r="AS21" s="106" t="s">
        <v>524</v>
      </c>
      <c r="AT21" s="106">
        <v>250</v>
      </c>
      <c r="AU21"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0.20936899110935328</v>
      </c>
      <c r="AV21" s="135">
        <f>Power20259[[#This Row],[TradeIn%]]*Power20259[[#This Row],[PriceL]]</f>
        <v>97705.529184364859</v>
      </c>
      <c r="AW21" s="137">
        <f>(Power20259[[#This Row],[PriceP]]-Power20259[[#This Row],[TradeIn$]])/Power20259[[#This Row],[Life (yr)]]/Power20259[[#This Row],[Use (hr/yr)]]</f>
        <v>40.286808851954397</v>
      </c>
      <c r="AX21" s="308">
        <f>((Power20259[[#This Row],[PriceP]]+Power20259[[#This Row],[TradeIn$]])/2*($BP$7+$BP$8+$BP$9)+Power20259[[#This Row],[Shed (ft^2)]]*$BP$12)/Power20259[[#This Row],[Use (hr/yr)]]</f>
        <v>46.301548814398821</v>
      </c>
      <c r="AY21"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18.666666666666664</v>
      </c>
      <c r="AZ21" s="138">
        <f>Power20259[[#This Row],[Fuel (gal/hph)]]*Power20259[[#This Row],[HP]]</f>
        <v>14.959999999999999</v>
      </c>
      <c r="BA21" s="137">
        <f t="shared" si="5"/>
        <v>86.588357666353218</v>
      </c>
      <c r="BB21" s="209"/>
      <c r="BC21" s="125" t="s">
        <v>496</v>
      </c>
      <c r="BD21" s="146">
        <v>0.32</v>
      </c>
      <c r="BE21" s="146">
        <v>2.1</v>
      </c>
      <c r="BF21" s="146">
        <v>1500</v>
      </c>
      <c r="BG21" s="146">
        <v>1.2211000000000001</v>
      </c>
      <c r="BH21" s="146">
        <v>0.17369999999999999</v>
      </c>
      <c r="BI21" s="146">
        <v>0</v>
      </c>
      <c r="BJ21" s="146">
        <v>-1.6999999999999999E-3</v>
      </c>
      <c r="BK21" s="122">
        <f t="shared" si="6"/>
        <v>1.5976960000000002E-2</v>
      </c>
      <c r="BL21" s="146">
        <v>0.12640000000000001</v>
      </c>
      <c r="BM21" s="147"/>
    </row>
    <row r="22" spans="1:68">
      <c r="B22" s="100" t="str">
        <f>Implements7[[#This Row],[Implement type]]&amp;", "&amp;Implements7[[#This Row],[Width]]&amp;" "&amp;Implements7[[#This Row],[Width Unit]]&amp; ", per "&amp;Implements7[[#This Row],[Use basis]]</f>
        <v>Combine chopping corn hd, 22 Ft, per acre</v>
      </c>
      <c r="C22" s="107" t="s">
        <v>464</v>
      </c>
      <c r="D22" s="106">
        <v>22</v>
      </c>
      <c r="E22" s="107" t="s">
        <v>439</v>
      </c>
      <c r="F22" s="106">
        <v>12</v>
      </c>
      <c r="G22" s="107" t="s">
        <v>453</v>
      </c>
      <c r="H22" s="108">
        <v>160000</v>
      </c>
      <c r="I22" s="109">
        <v>0.2</v>
      </c>
      <c r="J22" s="195">
        <f t="shared" si="1"/>
        <v>200000</v>
      </c>
      <c r="K22" s="306">
        <f>VLOOKUP(Implements7[[#This Row],[ASABEtype]],ASABECoefficients8[],4,FALSE)/Implements7[[#This Row],[Use (hr/yr)]]</f>
        <v>15</v>
      </c>
      <c r="L22" s="106">
        <v>200</v>
      </c>
      <c r="M22" s="111">
        <f t="shared" si="2"/>
        <v>1680</v>
      </c>
      <c r="N22" s="111" t="s">
        <v>706</v>
      </c>
      <c r="O22" s="106" t="s">
        <v>462</v>
      </c>
      <c r="P22" s="106">
        <v>4.5</v>
      </c>
      <c r="Q22" s="109">
        <v>0.7</v>
      </c>
      <c r="R22" s="109">
        <v>1.1100000000000001</v>
      </c>
      <c r="S22" s="106">
        <v>160</v>
      </c>
      <c r="T22"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2" s="113">
        <f>Implements7[[#This Row],[TradeIn%]]*Implements7[[#This Row],[PriceL]]</f>
        <v>19624.268808268582</v>
      </c>
      <c r="V22" s="114">
        <f>(Implements7[[#This Row],[PriceP]]-Implements7[[#This Row],[TradeIn$]])/Implements7[[#This Row],[Life (yr)]]/Implements7[[#This Row],[Use (hr/yr)]]</f>
        <v>46.791910397243804</v>
      </c>
      <c r="W22" s="114">
        <f>((Implements7[[#This Row],[PriceP]]+Implements7[[#This Row],[TradeIn$]])/2*($BP$7+$BP$8+$BP$9)+Implements7[[#This Row],[Shed (ft^2)]]*$BP$12)/Implements7[[#This Row],[Use (hr/yr)]]</f>
        <v>40.517244644361483</v>
      </c>
      <c r="X22" s="114">
        <f>Implements7[[#This Row],[PriceL]]*(VLOOKUP(Implements7[[#This Row],[ASABEtype]],$BC$6:$BM$52,2)*(Implements7[[#This Row],[Life (yr)]]*Implements7[[#This Row],[Use (hr/yr)]]/1000)^VLOOKUP(Implements7[[#This Row],[ASABEtype]],$BC$6:$BM$52,3))/Implements7[[#This Row],[Life (yr)]]/Implements7[[#This Row],[Use (hr/yr)]]</f>
        <v>26.786956176813714</v>
      </c>
      <c r="Y22" s="114">
        <f>Implements7[[#This Row],[Depr ($/hr)]]+Implements7[[#This Row],[OH ($/hr)]]</f>
        <v>87.309155041605294</v>
      </c>
      <c r="Z22" s="114">
        <f>(Implements7[[#This Row],[PriceP]]-Implements7[[#This Row],[TradeIn$]])/Implements7[[#This Row],[Life (yr)]]/Implements7[[#This Row],[Use (ac/yr)]]</f>
        <v>5.5704655234814044</v>
      </c>
      <c r="AA22" s="114">
        <f>((Implements7[[#This Row],[PriceP]]+Implements7[[#This Row],[TradeIn$]])/2*($BP$7+$BP$8+$BP$9)+Implements7[[#This Row],[Shed (ft^2)]]*$BP$12)/Implements7[[#This Row],[Use (ac/yr)]]</f>
        <v>4.8234815052811291</v>
      </c>
      <c r="AB22"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3.188923354382585</v>
      </c>
      <c r="AC22" s="115">
        <f>$BP$18/(Implements7[[#This Row],[Width]]*Implements7[[#This Row],[Speed]]*Implements7[[#This Row],[Efficiency]])</f>
        <v>0.11904761904761905</v>
      </c>
      <c r="AD22" s="116">
        <f>IF(Implements7[[#This Row],[Use basis]]=$N$128,Implements7[[#This Row],[Ownership costs ($/hr)]],SUM(Implements7[[#This Row],[Depr ($/ac)2]:[OH ($/ac)]]))</f>
        <v>10.393947028762533</v>
      </c>
      <c r="AE22" s="118">
        <v>52</v>
      </c>
      <c r="AF22" s="100" t="s">
        <v>463</v>
      </c>
      <c r="AG22" s="116"/>
      <c r="AH22" s="131" t="str">
        <f>CONCATENATE(AI22&amp;" "&amp;AJ22)</f>
        <v>350 HP 4WD</v>
      </c>
      <c r="AI22" s="132">
        <v>350</v>
      </c>
      <c r="AJ22" s="106" t="s">
        <v>525</v>
      </c>
      <c r="AK22" s="108">
        <v>425000</v>
      </c>
      <c r="AL22" s="109">
        <v>0.1</v>
      </c>
      <c r="AM22" s="133">
        <f t="shared" si="4"/>
        <v>472222.22222222219</v>
      </c>
      <c r="AN22" s="215">
        <f>VLOOKUP(Power20259[[#This Row],[ASABEtype]],$BC$6:$BM$52,4,FALSE)</f>
        <v>10000</v>
      </c>
      <c r="AO22" s="199"/>
      <c r="AP22" s="307">
        <f>VLOOKUP(Power20259[[#This Row],[ASABEtype]],ASABECoefficients8[],4,FALSE)/Power20259[[#This Row],[Use (hr/yr)]]*(1-Power20259[[#This Row],[Life used (%)]])</f>
        <v>20</v>
      </c>
      <c r="AQ22" s="106">
        <v>500</v>
      </c>
      <c r="AR22" s="106">
        <v>4.3999999999999997E-2</v>
      </c>
      <c r="AS22" s="106" t="s">
        <v>526</v>
      </c>
      <c r="AT22" s="106">
        <v>250</v>
      </c>
      <c r="AU22"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0.14754507950180037</v>
      </c>
      <c r="AV22" s="135">
        <f>Power20259[[#This Row],[TradeIn%]]*Power20259[[#This Row],[PriceL]]</f>
        <v>69674.065320294612</v>
      </c>
      <c r="AW22" s="137">
        <f>(Power20259[[#This Row],[PriceP]]-Power20259[[#This Row],[TradeIn$]])/Power20259[[#This Row],[Life (yr)]]/Power20259[[#This Row],[Use (hr/yr)]]</f>
        <v>35.532593467970536</v>
      </c>
      <c r="AX22" s="308">
        <f>((Power20259[[#This Row],[PriceP]]+Power20259[[#This Row],[TradeIn$]])/2*($BP$7+$BP$8+$BP$9)+Power20259[[#This Row],[Shed (ft^2)]]*$BP$12)/Power20259[[#This Row],[Use (hr/yr)]]</f>
        <v>44.263264262428599</v>
      </c>
      <c r="AY22"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14.166666666666666</v>
      </c>
      <c r="AZ22" s="138">
        <f>Power20259[[#This Row],[Fuel (gal/hph)]]*Power20259[[#This Row],[HP]]</f>
        <v>15.399999999999999</v>
      </c>
      <c r="BA22" s="137">
        <f t="shared" si="5"/>
        <v>79.795857730399135</v>
      </c>
      <c r="BB22" s="209"/>
      <c r="BC22" s="125" t="s">
        <v>581</v>
      </c>
      <c r="BD22" s="146">
        <v>0.18</v>
      </c>
      <c r="BE22" s="146">
        <v>1.7</v>
      </c>
      <c r="BF22" s="146">
        <v>2000</v>
      </c>
      <c r="BG22" s="146">
        <v>0.71940000000000004</v>
      </c>
      <c r="BH22" s="146">
        <v>0.11020000000000001</v>
      </c>
      <c r="BI22" s="146">
        <v>0</v>
      </c>
      <c r="BJ22" s="146">
        <v>3.0000000000000001E-3</v>
      </c>
      <c r="BK22" s="122">
        <f t="shared" si="6"/>
        <v>1.4713690000000001E-2</v>
      </c>
      <c r="BL22" s="146">
        <v>0.12130000000000001</v>
      </c>
      <c r="BM22" s="147"/>
    </row>
    <row r="23" spans="1:68">
      <c r="B23" s="100" t="str">
        <f>Implements7[[#This Row],[Implement type]]&amp;", "&amp;Implements7[[#This Row],[Width]]&amp;" "&amp;Implements7[[#This Row],[Width Unit]]&amp; ", per "&amp;Implements7[[#This Row],[Use basis]]</f>
        <v>Combine chopping corn hd, 30 Ft, per acre</v>
      </c>
      <c r="C23" s="107" t="s">
        <v>464</v>
      </c>
      <c r="D23" s="106">
        <v>30</v>
      </c>
      <c r="E23" s="107" t="s">
        <v>439</v>
      </c>
      <c r="F23" s="106">
        <v>12</v>
      </c>
      <c r="G23" s="107" t="s">
        <v>453</v>
      </c>
      <c r="H23" s="108">
        <v>169500</v>
      </c>
      <c r="I23" s="109">
        <v>0.2</v>
      </c>
      <c r="J23" s="195">
        <f t="shared" si="1"/>
        <v>211875</v>
      </c>
      <c r="K23" s="306">
        <f>VLOOKUP(Implements7[[#This Row],[ASABEtype]],ASABECoefficients8[],4,FALSE)/Implements7[[#This Row],[Use (hr/yr)]]</f>
        <v>15</v>
      </c>
      <c r="L23" s="106">
        <v>200</v>
      </c>
      <c r="M23" s="111">
        <f t="shared" si="2"/>
        <v>2290.909090909091</v>
      </c>
      <c r="N23" s="111" t="s">
        <v>706</v>
      </c>
      <c r="O23" s="106" t="s">
        <v>462</v>
      </c>
      <c r="P23" s="106">
        <v>4.5</v>
      </c>
      <c r="Q23" s="109">
        <v>0.7</v>
      </c>
      <c r="R23" s="109">
        <v>1.1100000000000001</v>
      </c>
      <c r="S23" s="106">
        <v>160</v>
      </c>
      <c r="T23"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3" s="113">
        <f>Implements7[[#This Row],[TradeIn%]]*Implements7[[#This Row],[PriceL]]</f>
        <v>20789.459768759527</v>
      </c>
      <c r="V23" s="114">
        <f>(Implements7[[#This Row],[PriceP]]-Implements7[[#This Row],[TradeIn$]])/Implements7[[#This Row],[Life (yr)]]/Implements7[[#This Row],[Use (hr/yr)]]</f>
        <v>49.57018007708016</v>
      </c>
      <c r="W23" s="114">
        <f>((Implements7[[#This Row],[PriceP]]+Implements7[[#This Row],[TradeIn$]])/2*($BP$7+$BP$8+$BP$9)+Implements7[[#This Row],[Shed (ft^2)]]*$BP$12)/Implements7[[#This Row],[Use (hr/yr)]]</f>
        <v>42.876918144370102</v>
      </c>
      <c r="X23" s="114">
        <f>Implements7[[#This Row],[PriceL]]*(VLOOKUP(Implements7[[#This Row],[ASABEtype]],$BC$6:$BM$52,2)*(Implements7[[#This Row],[Life (yr)]]*Implements7[[#This Row],[Use (hr/yr)]]/1000)^VLOOKUP(Implements7[[#This Row],[ASABEtype]],$BC$6:$BM$52,3))/Implements7[[#This Row],[Life (yr)]]/Implements7[[#This Row],[Use (hr/yr)]]</f>
        <v>28.377431699812032</v>
      </c>
      <c r="Y23" s="114">
        <f>Implements7[[#This Row],[Depr ($/hr)]]+Implements7[[#This Row],[OH ($/hr)]]</f>
        <v>92.447098221450261</v>
      </c>
      <c r="Z23" s="114">
        <f>(Implements7[[#This Row],[PriceP]]-Implements7[[#This Row],[TradeIn$]])/Implements7[[#This Row],[Life (yr)]]/Implements7[[#This Row],[Use (ac/yr)]]</f>
        <v>4.3275554035546167</v>
      </c>
      <c r="AA23" s="114">
        <f>((Implements7[[#This Row],[PriceP]]+Implements7[[#This Row],[TradeIn$]])/2*($BP$7+$BP$8+$BP$9)+Implements7[[#This Row],[Shed (ft^2)]]*$BP$12)/Implements7[[#This Row],[Use (ac/yr)]]</f>
        <v>3.7432230126037389</v>
      </c>
      <c r="AB23"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2.477394830935971</v>
      </c>
      <c r="AC23" s="115">
        <f>$BP$18/(Implements7[[#This Row],[Width]]*Implements7[[#This Row],[Speed]]*Implements7[[#This Row],[Efficiency]])</f>
        <v>8.7301587301587297E-2</v>
      </c>
      <c r="AD23" s="116">
        <f>IF(Implements7[[#This Row],[Use basis]]=$N$128,Implements7[[#This Row],[Ownership costs ($/hr)]],SUM(Implements7[[#This Row],[Depr ($/ac)2]:[OH ($/ac)]]))</f>
        <v>8.0707784161583547</v>
      </c>
      <c r="AE23" s="118">
        <v>51</v>
      </c>
      <c r="AF23" s="100" t="s">
        <v>463</v>
      </c>
      <c r="AG23" s="116"/>
      <c r="AH23" s="131" t="str">
        <f t="shared" si="3"/>
        <v>425 HP 4WD</v>
      </c>
      <c r="AI23" s="132">
        <v>425</v>
      </c>
      <c r="AJ23" s="106" t="s">
        <v>525</v>
      </c>
      <c r="AK23" s="108">
        <v>460000</v>
      </c>
      <c r="AL23" s="109">
        <v>0.1</v>
      </c>
      <c r="AM23" s="133">
        <f t="shared" si="4"/>
        <v>511111.11111111112</v>
      </c>
      <c r="AN23" s="215">
        <f>VLOOKUP(Power20259[[#This Row],[ASABEtype]],$BC$6:$BM$52,4,FALSE)</f>
        <v>10000</v>
      </c>
      <c r="AO23" s="199"/>
      <c r="AP23" s="307">
        <f>VLOOKUP(Power20259[[#This Row],[ASABEtype]],ASABECoefficients8[],4,FALSE)/Power20259[[#This Row],[Use (hr/yr)]]*(1-Power20259[[#This Row],[Life used (%)]])</f>
        <v>20</v>
      </c>
      <c r="AQ23" s="106">
        <v>500</v>
      </c>
      <c r="AR23" s="106">
        <v>4.3999999999999997E-2</v>
      </c>
      <c r="AS23" s="106" t="s">
        <v>526</v>
      </c>
      <c r="AT23" s="106">
        <v>250</v>
      </c>
      <c r="AU23"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0.14754507950180037</v>
      </c>
      <c r="AV23" s="135">
        <f>Power20259[[#This Row],[TradeIn%]]*Power20259[[#This Row],[PriceL]]</f>
        <v>75411.929523142418</v>
      </c>
      <c r="AW23" s="137">
        <f>(Power20259[[#This Row],[PriceP]]-Power20259[[#This Row],[TradeIn$]])/Power20259[[#This Row],[Life (yr)]]/Power20259[[#This Row],[Use (hr/yr)]]</f>
        <v>38.45880704768576</v>
      </c>
      <c r="AX23" s="308">
        <f>((Power20259[[#This Row],[PriceP]]+Power20259[[#This Row],[TradeIn$]])/2*($BP$7+$BP$8+$BP$9)+Power20259[[#This Row],[Shed (ft^2)]]*$BP$12)/Power20259[[#This Row],[Use (hr/yr)]]</f>
        <v>47.868565244380633</v>
      </c>
      <c r="AY23"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15.333333333333334</v>
      </c>
      <c r="AZ23" s="138">
        <f>Power20259[[#This Row],[Fuel (gal/hph)]]*Power20259[[#This Row],[HP]]</f>
        <v>18.7</v>
      </c>
      <c r="BA23" s="137">
        <f t="shared" si="5"/>
        <v>86.3273722920664</v>
      </c>
      <c r="BB23" s="209"/>
      <c r="BC23" s="125" t="s">
        <v>715</v>
      </c>
      <c r="BD23" s="146">
        <v>5.0000000000000001E-3</v>
      </c>
      <c r="BE23" s="146">
        <v>2</v>
      </c>
      <c r="BF23" s="146">
        <v>12000</v>
      </c>
      <c r="BG23" s="146">
        <v>0.86409999999999998</v>
      </c>
      <c r="BH23" s="146">
        <v>0.08</v>
      </c>
      <c r="BI23" s="146"/>
      <c r="BJ23" s="146">
        <v>2E-3</v>
      </c>
      <c r="BK23" s="122">
        <f t="shared" si="6"/>
        <v>7.3959999999999989E-3</v>
      </c>
      <c r="BL23" s="146">
        <v>8.5999999999999993E-2</v>
      </c>
      <c r="BM23" s="147" t="s">
        <v>583</v>
      </c>
    </row>
    <row r="24" spans="1:68">
      <c r="B24" s="100" t="str">
        <f>Implements7[[#This Row],[Implement type]]&amp;", "&amp;Implements7[[#This Row],[Width]]&amp;" "&amp;Implements7[[#This Row],[Width Unit]]&amp; ", per "&amp;Implements7[[#This Row],[Use basis]]</f>
        <v>Combine corn hd, 15 Ft, per acre</v>
      </c>
      <c r="C24" s="107" t="s">
        <v>466</v>
      </c>
      <c r="D24" s="106">
        <v>15</v>
      </c>
      <c r="E24" s="107" t="s">
        <v>439</v>
      </c>
      <c r="F24" s="106">
        <v>6</v>
      </c>
      <c r="G24" s="107" t="s">
        <v>453</v>
      </c>
      <c r="H24" s="108">
        <v>64000</v>
      </c>
      <c r="I24" s="109">
        <v>0.2</v>
      </c>
      <c r="J24" s="195">
        <f t="shared" si="1"/>
        <v>80000</v>
      </c>
      <c r="K24" s="306">
        <f>VLOOKUP(Implements7[[#This Row],[ASABEtype]],ASABECoefficients8[],4,FALSE)/Implements7[[#This Row],[Use (hr/yr)]]</f>
        <v>15</v>
      </c>
      <c r="L24" s="106">
        <v>200</v>
      </c>
      <c r="M24" s="111">
        <f t="shared" si="2"/>
        <v>1145.4545454545455</v>
      </c>
      <c r="N24" s="111" t="s">
        <v>706</v>
      </c>
      <c r="O24" s="106" t="s">
        <v>462</v>
      </c>
      <c r="P24" s="106">
        <v>4.5</v>
      </c>
      <c r="Q24" s="109">
        <v>0.7</v>
      </c>
      <c r="R24" s="109">
        <v>1.1100000000000001</v>
      </c>
      <c r="S24" s="106">
        <v>120</v>
      </c>
      <c r="T24"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4" s="113">
        <f>Implements7[[#This Row],[TradeIn%]]*Implements7[[#This Row],[PriceL]]</f>
        <v>7849.707523307432</v>
      </c>
      <c r="V24" s="114">
        <f>(Implements7[[#This Row],[PriceP]]-Implements7[[#This Row],[TradeIn$]])/Implements7[[#This Row],[Life (yr)]]/Implements7[[#This Row],[Use (hr/yr)]]</f>
        <v>18.716764158897526</v>
      </c>
      <c r="W24" s="114">
        <f>((Implements7[[#This Row],[PriceP]]+Implements7[[#This Row],[TradeIn$]])/2*($BP$7+$BP$8+$BP$9)+Implements7[[#This Row],[Shed (ft^2)]]*$BP$12)/Implements7[[#This Row],[Use (hr/yr)]]</f>
        <v>16.478279167430813</v>
      </c>
      <c r="X24" s="114">
        <f>Implements7[[#This Row],[PriceL]]*(VLOOKUP(Implements7[[#This Row],[ASABEtype]],$BC$6:$BM$52,2)*(Implements7[[#This Row],[Life (yr)]]*Implements7[[#This Row],[Use (hr/yr)]]/1000)^VLOOKUP(Implements7[[#This Row],[ASABEtype]],$BC$6:$BM$52,3))/Implements7[[#This Row],[Life (yr)]]/Implements7[[#This Row],[Use (hr/yr)]]</f>
        <v>10.714782470725488</v>
      </c>
      <c r="Y24" s="114">
        <f>Implements7[[#This Row],[Depr ($/hr)]]+Implements7[[#This Row],[OH ($/hr)]]</f>
        <v>35.195043326328339</v>
      </c>
      <c r="Z24" s="114">
        <f>(Implements7[[#This Row],[PriceP]]-Implements7[[#This Row],[TradeIn$]])/Implements7[[#This Row],[Life (yr)]]/Implements7[[#This Row],[Use (ac/yr)]]</f>
        <v>3.2680064404424249</v>
      </c>
      <c r="AA24" s="114">
        <f>((Implements7[[#This Row],[PriceP]]+Implements7[[#This Row],[TradeIn$]])/2*($BP$7+$BP$8+$BP$9)+Implements7[[#This Row],[Shed (ft^2)]]*$BP$12)/Implements7[[#This Row],[Use (ac/yr)]]</f>
        <v>2.8771598546307766</v>
      </c>
      <c r="AB24"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1.8708350345711169</v>
      </c>
      <c r="AC24" s="115">
        <f>$BP$18/(Implements7[[#This Row],[Width]]*Implements7[[#This Row],[Speed]]*Implements7[[#This Row],[Efficiency]])</f>
        <v>0.17460317460317459</v>
      </c>
      <c r="AD24" s="116">
        <f>IF(Implements7[[#This Row],[Use basis]]=$N$128,Implements7[[#This Row],[Ownership costs ($/hr)]],SUM(Implements7[[#This Row],[Depr ($/ac)2]:[OH ($/ac)]]))</f>
        <v>6.1451662950732011</v>
      </c>
      <c r="AE24" s="118">
        <v>46</v>
      </c>
      <c r="AF24" s="100" t="s">
        <v>463</v>
      </c>
      <c r="AG24" s="116"/>
      <c r="AH24" s="131" t="str">
        <f t="shared" si="3"/>
        <v>500 HP 4WD</v>
      </c>
      <c r="AI24" s="132">
        <v>500</v>
      </c>
      <c r="AJ24" s="106" t="s">
        <v>525</v>
      </c>
      <c r="AK24" s="108">
        <v>510000</v>
      </c>
      <c r="AL24" s="109">
        <v>0.1</v>
      </c>
      <c r="AM24" s="133">
        <f t="shared" si="4"/>
        <v>566666.66666666663</v>
      </c>
      <c r="AN24" s="215">
        <f>VLOOKUP(Power20259[[#This Row],[ASABEtype]],$BC$6:$BM$52,4,FALSE)</f>
        <v>10000</v>
      </c>
      <c r="AO24" s="199"/>
      <c r="AP24" s="307">
        <f>VLOOKUP(Power20259[[#This Row],[ASABEtype]],ASABECoefficients8[],4,FALSE)/Power20259[[#This Row],[Use (hr/yr)]]*(1-Power20259[[#This Row],[Life used (%)]])</f>
        <v>20</v>
      </c>
      <c r="AQ24" s="106">
        <v>500</v>
      </c>
      <c r="AR24" s="106">
        <v>4.3999999999999997E-2</v>
      </c>
      <c r="AS24" s="106" t="s">
        <v>526</v>
      </c>
      <c r="AT24" s="106">
        <v>250</v>
      </c>
      <c r="AU24"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0.14754507950180037</v>
      </c>
      <c r="AV24" s="135">
        <f>Power20259[[#This Row],[TradeIn%]]*Power20259[[#This Row],[PriceL]]</f>
        <v>83608.878384353535</v>
      </c>
      <c r="AW24" s="137">
        <f>(Power20259[[#This Row],[PriceP]]-Power20259[[#This Row],[TradeIn$]])/Power20259[[#This Row],[Life (yr)]]/Power20259[[#This Row],[Use (hr/yr)]]</f>
        <v>42.639112161564647</v>
      </c>
      <c r="AX24" s="308">
        <f>((Power20259[[#This Row],[PriceP]]+Power20259[[#This Row],[TradeIn$]])/2*($BP$7+$BP$8+$BP$9)+Power20259[[#This Row],[Shed (ft^2)]]*$BP$12)/Power20259[[#This Row],[Use (hr/yr)]]</f>
        <v>53.018995218597823</v>
      </c>
      <c r="AY24"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16.999999999999996</v>
      </c>
      <c r="AZ24" s="138">
        <f>Power20259[[#This Row],[Fuel (gal/hph)]]*Power20259[[#This Row],[HP]]</f>
        <v>22</v>
      </c>
      <c r="BA24" s="137">
        <f t="shared" si="5"/>
        <v>95.658107380162477</v>
      </c>
      <c r="BB24" s="209"/>
      <c r="BC24" s="125" t="s">
        <v>483</v>
      </c>
      <c r="BD24" s="146">
        <v>0.1</v>
      </c>
      <c r="BE24" s="146">
        <v>1.8</v>
      </c>
      <c r="BF24" s="146">
        <v>3000</v>
      </c>
      <c r="BG24" s="146">
        <v>0.80910000000000004</v>
      </c>
      <c r="BH24" s="146">
        <v>0.1109</v>
      </c>
      <c r="BI24" s="146">
        <v>0</v>
      </c>
      <c r="BJ24" s="146">
        <v>1.4E-3</v>
      </c>
      <c r="BK24" s="122">
        <f t="shared" si="6"/>
        <v>1.605289E-2</v>
      </c>
      <c r="BL24" s="146">
        <v>0.12670000000000001</v>
      </c>
      <c r="BM24" s="147"/>
    </row>
    <row r="25" spans="1:68">
      <c r="B25" s="100" t="str">
        <f>Implements7[[#This Row],[Implement type]]&amp;", "&amp;Implements7[[#This Row],[Width]]&amp;" "&amp;Implements7[[#This Row],[Width Unit]]&amp; ", per "&amp;Implements7[[#This Row],[Use basis]]</f>
        <v>Combine corn hd, 20 Ft, per acre</v>
      </c>
      <c r="C25" s="107" t="s">
        <v>466</v>
      </c>
      <c r="D25" s="106">
        <v>20</v>
      </c>
      <c r="E25" s="107" t="s">
        <v>439</v>
      </c>
      <c r="F25" s="106">
        <v>8</v>
      </c>
      <c r="G25" s="107" t="s">
        <v>453</v>
      </c>
      <c r="H25" s="108">
        <v>83000</v>
      </c>
      <c r="I25" s="109">
        <v>0.2</v>
      </c>
      <c r="J25" s="195">
        <f t="shared" si="1"/>
        <v>103750</v>
      </c>
      <c r="K25" s="306">
        <f>VLOOKUP(Implements7[[#This Row],[ASABEtype]],ASABECoefficients8[],4,FALSE)/Implements7[[#This Row],[Use (hr/yr)]]</f>
        <v>15</v>
      </c>
      <c r="L25" s="106">
        <v>200</v>
      </c>
      <c r="M25" s="111">
        <f t="shared" si="2"/>
        <v>1527.272727272727</v>
      </c>
      <c r="N25" s="111" t="s">
        <v>706</v>
      </c>
      <c r="O25" s="106" t="s">
        <v>462</v>
      </c>
      <c r="P25" s="106">
        <v>4.5</v>
      </c>
      <c r="Q25" s="109">
        <v>0.7</v>
      </c>
      <c r="R25" s="109">
        <v>1.1100000000000001</v>
      </c>
      <c r="S25" s="106">
        <v>160</v>
      </c>
      <c r="T25"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5" s="113">
        <f>Implements7[[#This Row],[TradeIn%]]*Implements7[[#This Row],[PriceL]]</f>
        <v>10180.089444289326</v>
      </c>
      <c r="V25" s="114">
        <f>(Implements7[[#This Row],[PriceP]]-Implements7[[#This Row],[TradeIn$]])/Implements7[[#This Row],[Life (yr)]]/Implements7[[#This Row],[Use (hr/yr)]]</f>
        <v>24.273303518570224</v>
      </c>
      <c r="W25" s="114">
        <f>((Implements7[[#This Row],[PriceP]]+Implements7[[#This Row],[TradeIn$]])/2*($BP$7+$BP$8+$BP$9)+Implements7[[#This Row],[Shed (ft^2)]]*$BP$12)/Implements7[[#This Row],[Use (hr/yr)]]</f>
        <v>21.391469960081075</v>
      </c>
      <c r="X25" s="114">
        <f>Implements7[[#This Row],[PriceL]]*(VLOOKUP(Implements7[[#This Row],[ASABEtype]],$BC$6:$BM$52,2)*(Implements7[[#This Row],[Life (yr)]]*Implements7[[#This Row],[Use (hr/yr)]]/1000)^VLOOKUP(Implements7[[#This Row],[ASABEtype]],$BC$6:$BM$52,3))/Implements7[[#This Row],[Life (yr)]]/Implements7[[#This Row],[Use (hr/yr)]]</f>
        <v>13.895733516722116</v>
      </c>
      <c r="Y25" s="114">
        <f>Implements7[[#This Row],[Depr ($/hr)]]+Implements7[[#This Row],[OH ($/hr)]]</f>
        <v>45.664773478651298</v>
      </c>
      <c r="Z25" s="114">
        <f>(Implements7[[#This Row],[PriceP]]-Implements7[[#This Row],[TradeIn$]])/Implements7[[#This Row],[Life (yr)]]/Implements7[[#This Row],[Use (ac/yr)]]</f>
        <v>3.1786468893365774</v>
      </c>
      <c r="AA25" s="114">
        <f>((Implements7[[#This Row],[PriceP]]+Implements7[[#This Row],[TradeIn$]])/2*($BP$7+$BP$8+$BP$9)+Implements7[[#This Row],[Shed (ft^2)]]*$BP$12)/Implements7[[#This Row],[Use (ac/yr)]]</f>
        <v>2.8012639233439511</v>
      </c>
      <c r="AB25"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1.8196793890945631</v>
      </c>
      <c r="AC25" s="115">
        <f>$BP$18/(Implements7[[#This Row],[Width]]*Implements7[[#This Row],[Speed]]*Implements7[[#This Row],[Efficiency]])</f>
        <v>0.13095238095238096</v>
      </c>
      <c r="AD25" s="116">
        <f>IF(Implements7[[#This Row],[Use basis]]=$N$128,Implements7[[#This Row],[Ownership costs ($/hr)]],SUM(Implements7[[#This Row],[Depr ($/ac)2]:[OH ($/ac)]]))</f>
        <v>5.9799108126805285</v>
      </c>
      <c r="AE25" s="118">
        <v>47</v>
      </c>
      <c r="AF25" s="100" t="s">
        <v>463</v>
      </c>
      <c r="AG25" s="116"/>
      <c r="AH25" s="131" t="str">
        <f t="shared" si="3"/>
        <v>575 HP Tracked 4WD</v>
      </c>
      <c r="AI25" s="132">
        <v>575</v>
      </c>
      <c r="AJ25" s="106" t="s">
        <v>527</v>
      </c>
      <c r="AK25" s="108">
        <v>660000</v>
      </c>
      <c r="AL25" s="109">
        <v>0.1</v>
      </c>
      <c r="AM25" s="133">
        <f>AK25/(1-AL25)</f>
        <v>733333.33333333337</v>
      </c>
      <c r="AN25" s="215">
        <f>VLOOKUP(Power20259[[#This Row],[ASABEtype]],$BC$6:$BM$52,4,FALSE)</f>
        <v>10000</v>
      </c>
      <c r="AO25" s="199"/>
      <c r="AP25" s="307">
        <f>VLOOKUP(Power20259[[#This Row],[ASABEtype]],ASABECoefficients8[],4,FALSE)/Power20259[[#This Row],[Use (hr/yr)]]*(1-Power20259[[#This Row],[Life used (%)]])</f>
        <v>20</v>
      </c>
      <c r="AQ25" s="106">
        <v>500</v>
      </c>
      <c r="AR25" s="106">
        <v>4.3999999999999997E-2</v>
      </c>
      <c r="AS25" s="106" t="s">
        <v>526</v>
      </c>
      <c r="AT25" s="106">
        <v>250</v>
      </c>
      <c r="AU25"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0.14754507950180037</v>
      </c>
      <c r="AV25" s="135">
        <f>Power20259[[#This Row],[TradeIn%]]*Power20259[[#This Row],[PriceL]]</f>
        <v>108199.72496798694</v>
      </c>
      <c r="AW25" s="137">
        <f>(Power20259[[#This Row],[PriceP]]-Power20259[[#This Row],[TradeIn$]])/Power20259[[#This Row],[Life (yr)]]/Power20259[[#This Row],[Use (hr/yr)]]</f>
        <v>55.180027503201309</v>
      </c>
      <c r="AX25" s="308">
        <f>((Power20259[[#This Row],[PriceP]]+Power20259[[#This Row],[TradeIn$]])/2*($BP$7+$BP$8+$BP$9)+Power20259[[#This Row],[Shed (ft^2)]]*$BP$12)/Power20259[[#This Row],[Use (hr/yr)]]</f>
        <v>68.470285141249377</v>
      </c>
      <c r="AY25"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22</v>
      </c>
      <c r="AZ25" s="138">
        <f>Power20259[[#This Row],[Fuel (gal/hph)]]*Power20259[[#This Row],[HP]]</f>
        <v>25.299999999999997</v>
      </c>
      <c r="BA25" s="137">
        <f t="shared" si="5"/>
        <v>123.65031264445068</v>
      </c>
      <c r="BB25" s="209"/>
      <c r="BC25" s="125" t="s">
        <v>488</v>
      </c>
      <c r="BD25" s="146">
        <v>0.43</v>
      </c>
      <c r="BE25" s="146">
        <v>1.8</v>
      </c>
      <c r="BF25" s="146">
        <v>1500</v>
      </c>
      <c r="BG25" s="146">
        <v>0.80910000000000004</v>
      </c>
      <c r="BH25" s="146">
        <v>0.1109</v>
      </c>
      <c r="BI25" s="146">
        <v>0</v>
      </c>
      <c r="BJ25" s="146">
        <v>1.4E-3</v>
      </c>
      <c r="BK25" s="122">
        <f t="shared" si="6"/>
        <v>1.605289E-2</v>
      </c>
      <c r="BL25" s="146">
        <v>0.12670000000000001</v>
      </c>
      <c r="BM25" s="147"/>
    </row>
    <row r="26" spans="1:68">
      <c r="B26" s="100" t="str">
        <f>Implements7[[#This Row],[Implement type]]&amp;", "&amp;Implements7[[#This Row],[Width]]&amp;" "&amp;Implements7[[#This Row],[Width Unit]]&amp; ", per "&amp;Implements7[[#This Row],[Use basis]]</f>
        <v>Combine corn hd, 22 Ft, per acre</v>
      </c>
      <c r="C26" s="107" t="s">
        <v>466</v>
      </c>
      <c r="D26" s="106">
        <v>22</v>
      </c>
      <c r="E26" s="107" t="s">
        <v>439</v>
      </c>
      <c r="F26" s="106">
        <v>12</v>
      </c>
      <c r="G26" s="107" t="s">
        <v>453</v>
      </c>
      <c r="H26" s="108">
        <v>121500</v>
      </c>
      <c r="I26" s="109">
        <v>0.2</v>
      </c>
      <c r="J26" s="195">
        <f t="shared" si="1"/>
        <v>151875</v>
      </c>
      <c r="K26" s="306">
        <f>VLOOKUP(Implements7[[#This Row],[ASABEtype]],ASABECoefficients8[],4,FALSE)/Implements7[[#This Row],[Use (hr/yr)]]</f>
        <v>15</v>
      </c>
      <c r="L26" s="106">
        <v>200</v>
      </c>
      <c r="M26" s="111">
        <f t="shared" si="2"/>
        <v>1680</v>
      </c>
      <c r="N26" s="111" t="s">
        <v>706</v>
      </c>
      <c r="O26" s="106" t="s">
        <v>462</v>
      </c>
      <c r="P26" s="106">
        <v>4.5</v>
      </c>
      <c r="Q26" s="109">
        <v>0.7</v>
      </c>
      <c r="R26" s="109">
        <v>1.1100000000000001</v>
      </c>
      <c r="S26" s="106">
        <v>160</v>
      </c>
      <c r="T26"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6" s="113">
        <f>Implements7[[#This Row],[TradeIn%]]*Implements7[[#This Row],[PriceL]]</f>
        <v>14902.179126278954</v>
      </c>
      <c r="V26" s="114">
        <f>(Implements7[[#This Row],[PriceP]]-Implements7[[#This Row],[TradeIn$]])/Implements7[[#This Row],[Life (yr)]]/Implements7[[#This Row],[Use (hr/yr)]]</f>
        <v>35.532606957907021</v>
      </c>
      <c r="W26" s="114">
        <f>((Implements7[[#This Row],[PriceP]]+Implements7[[#This Row],[TradeIn$]])/2*($BP$7+$BP$8+$BP$9)+Implements7[[#This Row],[Shed (ft^2)]]*$BP$12)/Implements7[[#This Row],[Use (hr/yr)]]</f>
        <v>30.954357302221279</v>
      </c>
      <c r="X26" s="114">
        <f>Implements7[[#This Row],[PriceL]]*(VLOOKUP(Implements7[[#This Row],[ASABEtype]],$BC$6:$BM$52,2)*(Implements7[[#This Row],[Life (yr)]]*Implements7[[#This Row],[Use (hr/yr)]]/1000)^VLOOKUP(Implements7[[#This Row],[ASABEtype]],$BC$6:$BM$52,3))/Implements7[[#This Row],[Life (yr)]]/Implements7[[#This Row],[Use (hr/yr)]]</f>
        <v>20.341344846767917</v>
      </c>
      <c r="Y26" s="114">
        <f>Implements7[[#This Row],[Depr ($/hr)]]+Implements7[[#This Row],[OH ($/hr)]]</f>
        <v>66.486964260128303</v>
      </c>
      <c r="Z26" s="114">
        <f>(Implements7[[#This Row],[PriceP]]-Implements7[[#This Row],[TradeIn$]])/Implements7[[#This Row],[Life (yr)]]/Implements7[[#This Row],[Use (ac/yr)]]</f>
        <v>4.2300722568936928</v>
      </c>
      <c r="AA26" s="114">
        <f>((Implements7[[#This Row],[PriceP]]+Implements7[[#This Row],[TradeIn$]])/2*($BP$7+$BP$8+$BP$9)+Implements7[[#This Row],[Shed (ft^2)]]*$BP$12)/Implements7[[#This Row],[Use (ac/yr)]]</f>
        <v>3.6850425359787238</v>
      </c>
      <c r="AB26"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2.4215886722342761</v>
      </c>
      <c r="AC26" s="115">
        <f>$BP$18/(Implements7[[#This Row],[Width]]*Implements7[[#This Row],[Speed]]*Implements7[[#This Row],[Efficiency]])</f>
        <v>0.11904761904761905</v>
      </c>
      <c r="AD26" s="116">
        <f>IF(Implements7[[#This Row],[Use basis]]=$N$128,Implements7[[#This Row],[Ownership costs ($/hr)]],SUM(Implements7[[#This Row],[Depr ($/ac)2]:[OH ($/ac)]]))</f>
        <v>7.9151147928724166</v>
      </c>
      <c r="AE26" s="118">
        <v>50</v>
      </c>
      <c r="AF26" s="100" t="s">
        <v>463</v>
      </c>
      <c r="AG26" s="116"/>
      <c r="AH26" s="131" t="str">
        <f t="shared" si="3"/>
        <v>275 HP Combine</v>
      </c>
      <c r="AI26" s="132">
        <v>275</v>
      </c>
      <c r="AJ26" s="106" t="s">
        <v>528</v>
      </c>
      <c r="AK26" s="108">
        <v>441000</v>
      </c>
      <c r="AL26" s="109">
        <v>0.2</v>
      </c>
      <c r="AM26" s="133">
        <f t="shared" si="4"/>
        <v>551250</v>
      </c>
      <c r="AN26" s="215">
        <f>VLOOKUP(Power20259[[#This Row],[ASABEtype]],$BC$6:$BM$52,4,FALSE)</f>
        <v>3000</v>
      </c>
      <c r="AO26" s="199"/>
      <c r="AP26" s="307">
        <f>VLOOKUP(Power20259[[#This Row],[ASABEtype]],ASABECoefficients8[],4,FALSE)/Power20259[[#This Row],[Use (hr/yr)]]*(1-Power20259[[#This Row],[Life used (%)]])</f>
        <v>7.5</v>
      </c>
      <c r="AQ26" s="106">
        <v>400</v>
      </c>
      <c r="AR26" s="216">
        <v>3.7999999999999999E-2</v>
      </c>
      <c r="AS26" s="106" t="s">
        <v>462</v>
      </c>
      <c r="AT26" s="106">
        <v>400</v>
      </c>
      <c r="AU26"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0.21681281031475025</v>
      </c>
      <c r="AV26" s="135">
        <f>Power20259[[#This Row],[TradeIn%]]*Power20259[[#This Row],[PriceL]]</f>
        <v>119518.06168600607</v>
      </c>
      <c r="AW26" s="137">
        <f>(Power20259[[#This Row],[PriceP]]-Power20259[[#This Row],[TradeIn$]])/Power20259[[#This Row],[Life (yr)]]/Power20259[[#This Row],[Use (hr/yr)]]</f>
        <v>107.16064610466465</v>
      </c>
      <c r="AX26" s="308">
        <f>((Power20259[[#This Row],[PriceP]]+Power20259[[#This Row],[TradeIn$]])/2*($BP$7+$BP$8+$BP$9)+Power20259[[#This Row],[Shed (ft^2)]]*$BP$12)/Power20259[[#This Row],[Use (hr/yr)]]</f>
        <v>62.976529537179488</v>
      </c>
      <c r="AY26"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73.831547962342796</v>
      </c>
      <c r="AZ26" s="138">
        <f>Power20259[[#This Row],[Fuel (gal/hph)]]*Power20259[[#This Row],[HP]]</f>
        <v>10.45</v>
      </c>
      <c r="BA26" s="137">
        <f t="shared" si="5"/>
        <v>170.13717564184412</v>
      </c>
      <c r="BB26" s="209"/>
      <c r="BC26" s="125" t="s">
        <v>712</v>
      </c>
      <c r="BD26" s="146">
        <v>0.04</v>
      </c>
      <c r="BE26" s="146">
        <v>2</v>
      </c>
      <c r="BF26" s="146">
        <v>7500</v>
      </c>
      <c r="BG26" s="146">
        <v>0.84930000000000005</v>
      </c>
      <c r="BH26" s="146">
        <v>9.6600000000000005E-2</v>
      </c>
      <c r="BI26" s="146">
        <v>5.8999999999999999E-3</v>
      </c>
      <c r="BJ26" s="146">
        <v>3.8E-3</v>
      </c>
      <c r="BK26" s="122">
        <f t="shared" si="6"/>
        <v>1.1278440000000001E-2</v>
      </c>
      <c r="BL26" s="146">
        <v>0.1062</v>
      </c>
      <c r="BM26" s="147"/>
    </row>
    <row r="27" spans="1:68">
      <c r="B27" s="100" t="str">
        <f>Implements7[[#This Row],[Implement type]]&amp;", "&amp;Implements7[[#This Row],[Width]]&amp;" "&amp;Implements7[[#This Row],[Width Unit]]&amp; ", per "&amp;Implements7[[#This Row],[Use basis]]</f>
        <v>Combine corn hd, 30 Ft, per acre</v>
      </c>
      <c r="C27" s="107" t="s">
        <v>466</v>
      </c>
      <c r="D27" s="106">
        <v>30</v>
      </c>
      <c r="E27" s="107" t="s">
        <v>439</v>
      </c>
      <c r="F27" s="106">
        <v>12</v>
      </c>
      <c r="G27" s="107" t="s">
        <v>453</v>
      </c>
      <c r="H27" s="108">
        <v>129000</v>
      </c>
      <c r="I27" s="109">
        <v>0.2</v>
      </c>
      <c r="J27" s="195">
        <f t="shared" si="1"/>
        <v>161250</v>
      </c>
      <c r="K27" s="306">
        <f>VLOOKUP(Implements7[[#This Row],[ASABEtype]],ASABECoefficients8[],4,FALSE)/Implements7[[#This Row],[Use (hr/yr)]]</f>
        <v>15</v>
      </c>
      <c r="L27" s="106">
        <v>200</v>
      </c>
      <c r="M27" s="111">
        <f t="shared" si="2"/>
        <v>2290.909090909091</v>
      </c>
      <c r="N27" s="111" t="s">
        <v>706</v>
      </c>
      <c r="O27" s="106" t="s">
        <v>462</v>
      </c>
      <c r="P27" s="106">
        <v>4.5</v>
      </c>
      <c r="Q27" s="109">
        <v>0.7</v>
      </c>
      <c r="R27" s="109">
        <v>1.1100000000000001</v>
      </c>
      <c r="S27" s="106">
        <v>160</v>
      </c>
      <c r="T27"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7" s="113">
        <f>Implements7[[#This Row],[TradeIn%]]*Implements7[[#This Row],[PriceL]]</f>
        <v>15822.066726666542</v>
      </c>
      <c r="V27" s="114">
        <f>(Implements7[[#This Row],[PriceP]]-Implements7[[#This Row],[TradeIn$]])/Implements7[[#This Row],[Life (yr)]]/Implements7[[#This Row],[Use (hr/yr)]]</f>
        <v>37.725977757777819</v>
      </c>
      <c r="W27" s="114">
        <f>((Implements7[[#This Row],[PriceP]]+Implements7[[#This Row],[TradeIn$]])/2*($BP$7+$BP$8+$BP$9)+Implements7[[#This Row],[Shed (ft^2)]]*$BP$12)/Implements7[[#This Row],[Use (hr/yr)]]</f>
        <v>32.817257433807036</v>
      </c>
      <c r="X27" s="114">
        <f>Implements7[[#This Row],[PriceL]]*(VLOOKUP(Implements7[[#This Row],[ASABEtype]],$BC$6:$BM$52,2)*(Implements7[[#This Row],[Life (yr)]]*Implements7[[#This Row],[Use (hr/yr)]]/1000)^VLOOKUP(Implements7[[#This Row],[ASABEtype]],$BC$6:$BM$52,3))/Implements7[[#This Row],[Life (yr)]]/Implements7[[#This Row],[Use (hr/yr)]]</f>
        <v>21.596983417556061</v>
      </c>
      <c r="Y27" s="114">
        <f>Implements7[[#This Row],[Depr ($/hr)]]+Implements7[[#This Row],[OH ($/hr)]]</f>
        <v>70.543235191584856</v>
      </c>
      <c r="Z27" s="114">
        <f>(Implements7[[#This Row],[PriceP]]-Implements7[[#This Row],[TradeIn$]])/Implements7[[#This Row],[Life (yr)]]/Implements7[[#This Row],[Use (ac/yr)]]</f>
        <v>3.293537740758381</v>
      </c>
      <c r="AA27" s="114">
        <f>((Implements7[[#This Row],[PriceP]]+Implements7[[#This Row],[TradeIn$]])/2*($BP$7+$BP$8+$BP$9)+Implements7[[#This Row],[Shed (ft^2)]]*$BP$12)/Implements7[[#This Row],[Use (ac/yr)]]</f>
        <v>2.8649986648561696</v>
      </c>
      <c r="AB27"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1.8854509332787037</v>
      </c>
      <c r="AC27" s="115">
        <f>$BP$18/(Implements7[[#This Row],[Width]]*Implements7[[#This Row],[Speed]]*Implements7[[#This Row],[Efficiency]])</f>
        <v>8.7301587301587297E-2</v>
      </c>
      <c r="AD27" s="116">
        <f>IF(Implements7[[#This Row],[Use basis]]=$N$128,Implements7[[#This Row],[Ownership costs ($/hr)]],SUM(Implements7[[#This Row],[Depr ($/ac)2]:[OH ($/ac)]]))</f>
        <v>6.1585364056145506</v>
      </c>
      <c r="AE27" s="118">
        <v>49</v>
      </c>
      <c r="AF27" s="100" t="s">
        <v>463</v>
      </c>
      <c r="AG27" s="116"/>
      <c r="AH27" s="131" t="str">
        <f t="shared" si="3"/>
        <v>375 HP Combine</v>
      </c>
      <c r="AI27" s="132">
        <v>375</v>
      </c>
      <c r="AJ27" s="106" t="s">
        <v>528</v>
      </c>
      <c r="AK27" s="108">
        <v>490000</v>
      </c>
      <c r="AL27" s="109">
        <v>0.2</v>
      </c>
      <c r="AM27" s="133">
        <f t="shared" si="4"/>
        <v>612500</v>
      </c>
      <c r="AN27" s="215">
        <f>VLOOKUP(Power20259[[#This Row],[ASABEtype]],$BC$6:$BM$52,4,FALSE)</f>
        <v>3000</v>
      </c>
      <c r="AO27" s="199"/>
      <c r="AP27" s="307">
        <f>VLOOKUP(Power20259[[#This Row],[ASABEtype]],ASABECoefficients8[],4,FALSE)/Power20259[[#This Row],[Use (hr/yr)]]*(1-Power20259[[#This Row],[Life used (%)]])</f>
        <v>7.5</v>
      </c>
      <c r="AQ27" s="106">
        <v>400</v>
      </c>
      <c r="AR27" s="216">
        <v>3.7999999999999999E-2</v>
      </c>
      <c r="AS27" s="106" t="s">
        <v>462</v>
      </c>
      <c r="AT27" s="106">
        <v>500</v>
      </c>
      <c r="AU27"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0.21681281031475025</v>
      </c>
      <c r="AV27" s="135">
        <f>Power20259[[#This Row],[TradeIn%]]*Power20259[[#This Row],[PriceL]]</f>
        <v>132797.84631778454</v>
      </c>
      <c r="AW27" s="137">
        <f>(Power20259[[#This Row],[PriceP]]-Power20259[[#This Row],[TradeIn$]])/Power20259[[#This Row],[Life (yr)]]/Power20259[[#This Row],[Use (hr/yr)]]</f>
        <v>119.0673845607385</v>
      </c>
      <c r="AX27" s="308">
        <f>((Power20259[[#This Row],[PriceP]]+Power20259[[#This Row],[TradeIn$]])/2*($BP$7+$BP$8+$BP$9)+Power20259[[#This Row],[Shed (ft^2)]]*$BP$12)/Power20259[[#This Row],[Use (hr/yr)]]</f>
        <v>70.108535452861247</v>
      </c>
      <c r="AY27"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82.035053291492005</v>
      </c>
      <c r="AZ27" s="138">
        <f>Power20259[[#This Row],[Fuel (gal/hph)]]*Power20259[[#This Row],[HP]]</f>
        <v>14.25</v>
      </c>
      <c r="BA27" s="137">
        <f t="shared" si="5"/>
        <v>189.17592001359975</v>
      </c>
      <c r="BB27" s="209"/>
      <c r="BC27" s="125" t="s">
        <v>582</v>
      </c>
      <c r="BD27" s="146">
        <v>0.16</v>
      </c>
      <c r="BE27" s="146">
        <v>1.6</v>
      </c>
      <c r="BF27" s="146">
        <v>2000</v>
      </c>
      <c r="BG27" s="146">
        <v>0.86350000000000005</v>
      </c>
      <c r="BH27" s="146">
        <v>0.1288</v>
      </c>
      <c r="BI27" s="146">
        <v>0</v>
      </c>
      <c r="BJ27" s="146">
        <v>1.6999999999999999E-3</v>
      </c>
      <c r="BK27" s="122">
        <f t="shared" si="6"/>
        <v>2.4617610000000005E-2</v>
      </c>
      <c r="BL27" s="146">
        <v>0.15690000000000001</v>
      </c>
      <c r="BM27" s="147" t="s">
        <v>583</v>
      </c>
    </row>
    <row r="28" spans="1:68">
      <c r="B28" s="100" t="str">
        <f>Implements7[[#This Row],[Implement type]]&amp;", "&amp;Implements7[[#This Row],[Width]]&amp;" "&amp;Implements7[[#This Row],[Width Unit]]&amp; ", per "&amp;Implements7[[#This Row],[Use basis]]</f>
        <v>Combine platform, 25 Ft, per acre</v>
      </c>
      <c r="C28" s="107" t="s">
        <v>467</v>
      </c>
      <c r="D28" s="106">
        <v>25</v>
      </c>
      <c r="E28" s="107" t="s">
        <v>439</v>
      </c>
      <c r="F28" s="106"/>
      <c r="G28" s="106"/>
      <c r="H28" s="108">
        <v>36000</v>
      </c>
      <c r="I28" s="109">
        <v>0.2</v>
      </c>
      <c r="J28" s="195">
        <f t="shared" si="1"/>
        <v>45000</v>
      </c>
      <c r="K28" s="306">
        <f>VLOOKUP(Implements7[[#This Row],[ASABEtype]],ASABECoefficients8[],4,FALSE)/Implements7[[#This Row],[Use (hr/yr)]]</f>
        <v>15.000000000000002</v>
      </c>
      <c r="L28" s="106">
        <v>199.99999999999997</v>
      </c>
      <c r="M28" s="111">
        <f t="shared" si="2"/>
        <v>1909.0909090909088</v>
      </c>
      <c r="N28" s="111" t="s">
        <v>706</v>
      </c>
      <c r="O28" s="106" t="s">
        <v>462</v>
      </c>
      <c r="P28" s="106">
        <v>4.5</v>
      </c>
      <c r="Q28" s="109">
        <v>0.7</v>
      </c>
      <c r="R28" s="109">
        <v>1.1100000000000001</v>
      </c>
      <c r="S28" s="106">
        <v>108</v>
      </c>
      <c r="T28"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8" s="113">
        <f>Implements7[[#This Row],[TradeIn%]]*Implements7[[#This Row],[PriceL]]</f>
        <v>4415.4604818604303</v>
      </c>
      <c r="V28" s="114">
        <f>(Implements7[[#This Row],[PriceP]]-Implements7[[#This Row],[TradeIn$]])/Implements7[[#This Row],[Life (yr)]]/Implements7[[#This Row],[Use (hr/yr)]]</f>
        <v>10.528179839379856</v>
      </c>
      <c r="W28" s="114">
        <f>((Implements7[[#This Row],[PriceP]]+Implements7[[#This Row],[TradeIn$]])/2*($BP$7+$BP$8+$BP$9)+Implements7[[#This Row],[Shed (ft^2)]]*$BP$12)/Implements7[[#This Row],[Use (hr/yr)]]</f>
        <v>9.465298871720762</v>
      </c>
      <c r="X28" s="114">
        <f>Implements7[[#This Row],[PriceL]]*(VLOOKUP(Implements7[[#This Row],[ASABEtype]],$BC$6:$BM$52,2)*(Implements7[[#This Row],[Life (yr)]]*Implements7[[#This Row],[Use (hr/yr)]]/1000)^VLOOKUP(Implements7[[#This Row],[ASABEtype]],$BC$6:$BM$52,3))/Implements7[[#This Row],[Life (yr)]]/Implements7[[#This Row],[Use (hr/yr)]]</f>
        <v>6.0270651397830868</v>
      </c>
      <c r="Y28" s="114">
        <f>Implements7[[#This Row],[Depr ($/hr)]]+Implements7[[#This Row],[OH ($/hr)]]</f>
        <v>19.993478711100618</v>
      </c>
      <c r="Z28" s="114">
        <f>(Implements7[[#This Row],[PriceP]]-Implements7[[#This Row],[TradeIn$]])/Implements7[[#This Row],[Life (yr)]]/Implements7[[#This Row],[Use (ac/yr)]]</f>
        <v>1.1029521736493182</v>
      </c>
      <c r="AA28" s="114">
        <f>((Implements7[[#This Row],[PriceP]]+Implements7[[#This Row],[TradeIn$]])/2*($BP$7+$BP$8+$BP$9)+Implements7[[#This Row],[Shed (ft^2)]]*$BP$12)/Implements7[[#This Row],[Use (ac/yr)]]</f>
        <v>0.9916027389421751</v>
      </c>
      <c r="AB28"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0.63140682416775196</v>
      </c>
      <c r="AC28" s="115">
        <f>$BP$18/(Implements7[[#This Row],[Width]]*Implements7[[#This Row],[Speed]]*Implements7[[#This Row],[Efficiency]])</f>
        <v>0.10476190476190476</v>
      </c>
      <c r="AD28" s="116">
        <f>IF(Implements7[[#This Row],[Use basis]]=$N$128,Implements7[[#This Row],[Ownership costs ($/hr)]],SUM(Implements7[[#This Row],[Depr ($/ac)2]:[OH ($/ac)]]))</f>
        <v>2.0945549125914935</v>
      </c>
      <c r="AE28" s="118">
        <v>43</v>
      </c>
      <c r="AF28" s="100" t="s">
        <v>463</v>
      </c>
      <c r="AG28" s="116"/>
      <c r="AH28" s="131" t="str">
        <f t="shared" si="3"/>
        <v>440 HP Combine</v>
      </c>
      <c r="AI28" s="132">
        <v>440</v>
      </c>
      <c r="AJ28" s="106" t="s">
        <v>528</v>
      </c>
      <c r="AK28" s="108">
        <v>570000</v>
      </c>
      <c r="AL28" s="109">
        <v>0.2</v>
      </c>
      <c r="AM28" s="133">
        <f t="shared" si="4"/>
        <v>712500</v>
      </c>
      <c r="AN28" s="215">
        <f>VLOOKUP(Power20259[[#This Row],[ASABEtype]],$BC$6:$BM$52,4,FALSE)</f>
        <v>3000</v>
      </c>
      <c r="AO28" s="199"/>
      <c r="AP28" s="307">
        <f>VLOOKUP(Power20259[[#This Row],[ASABEtype]],ASABECoefficients8[],4,FALSE)/Power20259[[#This Row],[Use (hr/yr)]]*(1-Power20259[[#This Row],[Life used (%)]])</f>
        <v>7.5</v>
      </c>
      <c r="AQ28" s="106">
        <v>400</v>
      </c>
      <c r="AR28" s="216">
        <v>3.7999999999999999E-2</v>
      </c>
      <c r="AS28" s="106" t="s">
        <v>462</v>
      </c>
      <c r="AT28" s="106">
        <v>500</v>
      </c>
      <c r="AU28"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0.21681281031475025</v>
      </c>
      <c r="AV28" s="135">
        <f>Power20259[[#This Row],[TradeIn%]]*Power20259[[#This Row],[PriceL]]</f>
        <v>154479.12734925956</v>
      </c>
      <c r="AW28" s="137">
        <f>(Power20259[[#This Row],[PriceP]]-Power20259[[#This Row],[TradeIn$]])/Power20259[[#This Row],[Life (yr)]]/Power20259[[#This Row],[Use (hr/yr)]]</f>
        <v>138.5069575502468</v>
      </c>
      <c r="AX28" s="308">
        <f>((Power20259[[#This Row],[PriceP]]+Power20259[[#This Row],[TradeIn$]])/2*($BP$7+$BP$8+$BP$9)+Power20259[[#This Row],[Shed (ft^2)]]*$BP$12)/Power20259[[#This Row],[Use (hr/yr)]]</f>
        <v>81.35702716696818</v>
      </c>
      <c r="AY28"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95.428531379898871</v>
      </c>
      <c r="AZ28" s="138">
        <f>Power20259[[#This Row],[Fuel (gal/hph)]]*Power20259[[#This Row],[HP]]</f>
        <v>16.72</v>
      </c>
      <c r="BA28" s="137">
        <f t="shared" si="5"/>
        <v>219.86398471721498</v>
      </c>
      <c r="BB28" s="209"/>
      <c r="BC28" s="125" t="s">
        <v>524</v>
      </c>
      <c r="BD28" s="146">
        <v>5.0000000000000001E-3</v>
      </c>
      <c r="BE28" s="146">
        <v>2</v>
      </c>
      <c r="BF28" s="146">
        <v>8000</v>
      </c>
      <c r="BG28" s="146">
        <v>0.86409999999999998</v>
      </c>
      <c r="BH28" s="146">
        <v>0.15640000000000001</v>
      </c>
      <c r="BI28" s="146">
        <v>3.3999999999999998E-3</v>
      </c>
      <c r="BJ28" s="146">
        <v>4.5999999999999999E-3</v>
      </c>
      <c r="BK28" s="122">
        <f t="shared" si="6"/>
        <v>7.3959999999999989E-3</v>
      </c>
      <c r="BL28" s="146">
        <v>8.5999999999999993E-2</v>
      </c>
      <c r="BM28" s="147" t="s">
        <v>583</v>
      </c>
    </row>
    <row r="29" spans="1:68">
      <c r="B29" s="100" t="str">
        <f>Implements7[[#This Row],[Implement type]]&amp;", "&amp;Implements7[[#This Row],[Width]]&amp;" "&amp;Implements7[[#This Row],[Width Unit]]&amp; ", per "&amp;Implements7[[#This Row],[Use basis]]</f>
        <v>Draper platform, 35 Ft, per acre</v>
      </c>
      <c r="C29" s="107" t="s">
        <v>784</v>
      </c>
      <c r="D29" s="106">
        <v>35</v>
      </c>
      <c r="E29" s="107" t="s">
        <v>439</v>
      </c>
      <c r="F29" s="106"/>
      <c r="G29" s="106"/>
      <c r="H29" s="108">
        <v>110000</v>
      </c>
      <c r="I29" s="109">
        <v>0.1</v>
      </c>
      <c r="J29" s="195">
        <f t="shared" si="1"/>
        <v>122222.22222222222</v>
      </c>
      <c r="K29" s="306">
        <f>VLOOKUP(Implements7[[#This Row],[ASABEtype]],ASABECoefficients8[],4,FALSE)/Implements7[[#This Row],[Use (hr/yr)]]</f>
        <v>15</v>
      </c>
      <c r="L29" s="106">
        <v>200</v>
      </c>
      <c r="M29" s="111">
        <f t="shared" si="2"/>
        <v>2672.7272727272725</v>
      </c>
      <c r="N29" s="111" t="s">
        <v>706</v>
      </c>
      <c r="O29" s="106" t="s">
        <v>462</v>
      </c>
      <c r="P29" s="106">
        <v>4.5</v>
      </c>
      <c r="Q29" s="109">
        <v>0.7</v>
      </c>
      <c r="R29" s="109">
        <v>1.1100000000000001</v>
      </c>
      <c r="S29" s="106">
        <v>108</v>
      </c>
      <c r="T29"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29" s="113">
        <f>Implements7[[#This Row],[TradeIn%]]*Implements7[[#This Row],[PriceL]]</f>
        <v>11992.608716164132</v>
      </c>
      <c r="V29" s="114">
        <f>(Implements7[[#This Row],[PriceP]]-Implements7[[#This Row],[TradeIn$]])/Implements7[[#This Row],[Life (yr)]]/Implements7[[#This Row],[Use (hr/yr)]]</f>
        <v>32.669130427945291</v>
      </c>
      <c r="W29" s="114">
        <f>((Implements7[[#This Row],[PriceP]]+Implements7[[#This Row],[TradeIn$]])/2*($BP$7+$BP$8+$BP$9)+Implements7[[#This Row],[Shed (ft^2)]]*$BP$12)/Implements7[[#This Row],[Use (hr/yr)]]</f>
        <v>27.514242918560452</v>
      </c>
      <c r="X29" s="114">
        <f>Implements7[[#This Row],[PriceL]]*(VLOOKUP(Implements7[[#This Row],[ASABEtype]],$BC$6:$BM$52,2)*(Implements7[[#This Row],[Life (yr)]]*Implements7[[#This Row],[Use (hr/yr)]]/1000)^VLOOKUP(Implements7[[#This Row],[ASABEtype]],$BC$6:$BM$52,3))/Implements7[[#This Row],[Life (yr)]]/Implements7[[#This Row],[Use (hr/yr)]]</f>
        <v>16.369806552497273</v>
      </c>
      <c r="Y29" s="114">
        <f>Implements7[[#This Row],[Depr ($/hr)]]+Implements7[[#This Row],[OH ($/hr)]]</f>
        <v>60.183373346505746</v>
      </c>
      <c r="Z29" s="114">
        <f>(Implements7[[#This Row],[PriceP]]-Implements7[[#This Row],[TradeIn$]])/Implements7[[#This Row],[Life (yr)]]/Implements7[[#This Row],[Use (ac/yr)]]</f>
        <v>2.4446288075333209</v>
      </c>
      <c r="AA29" s="114">
        <f>((Implements7[[#This Row],[PriceP]]+Implements7[[#This Row],[TradeIn$]])/2*($BP$7+$BP$8+$BP$9)+Implements7[[#This Row],[Shed (ft^2)]]*$BP$12)/Implements7[[#This Row],[Use (ac/yr)]]</f>
        <v>2.0588889258786733</v>
      </c>
      <c r="AB29"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1.2249515107310887</v>
      </c>
      <c r="AC29" s="115">
        <f>$BP$18/(Implements7[[#This Row],[Width]]*Implements7[[#This Row],[Speed]]*Implements7[[#This Row],[Efficiency]])</f>
        <v>7.4829931972789115E-2</v>
      </c>
      <c r="AD29" s="116">
        <f>IF(Implements7[[#This Row],[Use basis]]=$N$128,Implements7[[#This Row],[Ownership costs ($/hr)]],SUM(Implements7[[#This Row],[Depr ($/ac)2]:[OH ($/ac)]]))</f>
        <v>4.5035177334119947</v>
      </c>
      <c r="AE29" s="118">
        <v>44</v>
      </c>
      <c r="AF29" s="100" t="s">
        <v>463</v>
      </c>
      <c r="AG29" s="116"/>
      <c r="AH29" s="131" t="str">
        <f t="shared" si="3"/>
        <v>400 HP SP Forage Harvester Base Unit</v>
      </c>
      <c r="AI29" s="132">
        <v>400</v>
      </c>
      <c r="AJ29" s="106" t="s">
        <v>529</v>
      </c>
      <c r="AK29" s="108">
        <v>521000</v>
      </c>
      <c r="AL29" s="109">
        <v>0.1</v>
      </c>
      <c r="AM29" s="133">
        <f t="shared" si="4"/>
        <v>578888.88888888888</v>
      </c>
      <c r="AN29" s="215">
        <f>VLOOKUP(Power20259[[#This Row],[ASABEtype]],$BC$6:$BM$52,4,FALSE)</f>
        <v>4000</v>
      </c>
      <c r="AO29" s="199"/>
      <c r="AP29" s="307">
        <f>VLOOKUP(Power20259[[#This Row],[ASABEtype]],ASABECoefficients8[],4,FALSE)/Power20259[[#This Row],[Use (hr/yr)]]*(1-Power20259[[#This Row],[Life used (%)]])</f>
        <v>11.428571428571429</v>
      </c>
      <c r="AQ29" s="106">
        <v>350</v>
      </c>
      <c r="AR29" s="106">
        <v>4.3999999999999997E-2</v>
      </c>
      <c r="AS29" s="106" t="s">
        <v>457</v>
      </c>
      <c r="AT29" s="106">
        <v>500</v>
      </c>
      <c r="AU29"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0.41217679614235048</v>
      </c>
      <c r="AV29" s="135">
        <f>Power20259[[#This Row],[TradeIn%]]*Power20259[[#This Row],[PriceL]]</f>
        <v>238604.56754462732</v>
      </c>
      <c r="AW29" s="137">
        <f>(Power20259[[#This Row],[PriceP]]-Power20259[[#This Row],[TradeIn$]])/Power20259[[#This Row],[Life (yr)]]/Power20259[[#This Row],[Use (hr/yr)]]</f>
        <v>70.598858113843164</v>
      </c>
      <c r="AX29" s="308">
        <f>((Power20259[[#This Row],[PriceP]]+Power20259[[#This Row],[TradeIn$]])/2*($BP$7+$BP$8+$BP$9)+Power20259[[#This Row],[Shed (ft^2)]]*$BP$12)/Power20259[[#This Row],[Use (hr/yr)]]</f>
        <v>97.420318844092279</v>
      </c>
      <c r="AY29"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69.466666666666654</v>
      </c>
      <c r="AZ29" s="138">
        <f>Power20259[[#This Row],[Fuel (gal/hph)]]*Power20259[[#This Row],[HP]]</f>
        <v>17.599999999999998</v>
      </c>
      <c r="BA29" s="137">
        <f t="shared" si="5"/>
        <v>168.01917695793543</v>
      </c>
      <c r="BB29" s="209"/>
      <c r="BC29" s="125" t="s">
        <v>584</v>
      </c>
      <c r="BD29" s="146">
        <v>0.28999999999999998</v>
      </c>
      <c r="BE29" s="146">
        <v>1.8</v>
      </c>
      <c r="BF29" s="146">
        <v>2000</v>
      </c>
      <c r="BG29" s="146">
        <v>0.69269999999999998</v>
      </c>
      <c r="BH29" s="146">
        <v>7.0300000000000001E-2</v>
      </c>
      <c r="BI29" s="146">
        <v>0</v>
      </c>
      <c r="BJ29" s="146">
        <v>1.1999999999999999E-3</v>
      </c>
      <c r="BK29" s="122">
        <f t="shared" si="6"/>
        <v>1.4957290000000002E-2</v>
      </c>
      <c r="BL29" s="146">
        <v>0.12230000000000001</v>
      </c>
      <c r="BM29" s="147"/>
    </row>
    <row r="30" spans="1:68">
      <c r="B30" s="100" t="str">
        <f>Implements7[[#This Row],[Implement type]]&amp;", "&amp;Implements7[[#This Row],[Width]]&amp;" "&amp;Implements7[[#This Row],[Width Unit]]&amp; ", per "&amp;Implements7[[#This Row],[Use basis]]</f>
        <v>Draper platform, 45 Ft, per acre</v>
      </c>
      <c r="C30" s="107" t="s">
        <v>784</v>
      </c>
      <c r="D30" s="106">
        <v>45</v>
      </c>
      <c r="E30" s="107" t="s">
        <v>439</v>
      </c>
      <c r="F30" s="106"/>
      <c r="G30" s="106"/>
      <c r="H30" s="108">
        <v>125000</v>
      </c>
      <c r="I30" s="109">
        <v>0.1</v>
      </c>
      <c r="J30" s="195">
        <f t="shared" si="1"/>
        <v>138888.88888888888</v>
      </c>
      <c r="K30" s="306">
        <f>VLOOKUP(Implements7[[#This Row],[ASABEtype]],ASABECoefficients8[],4,FALSE)/Implements7[[#This Row],[Use (hr/yr)]]</f>
        <v>15</v>
      </c>
      <c r="L30" s="106">
        <v>200</v>
      </c>
      <c r="M30" s="111">
        <f t="shared" si="2"/>
        <v>3436.3636363636365</v>
      </c>
      <c r="N30" s="111" t="s">
        <v>706</v>
      </c>
      <c r="O30" s="106" t="s">
        <v>462</v>
      </c>
      <c r="P30" s="106">
        <v>4.5</v>
      </c>
      <c r="Q30" s="109">
        <v>0.7</v>
      </c>
      <c r="R30" s="109">
        <v>1.1100000000000001</v>
      </c>
      <c r="S30" s="106">
        <v>108</v>
      </c>
      <c r="T30"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9.8121344041342901E-2</v>
      </c>
      <c r="U30" s="113">
        <f>Implements7[[#This Row],[TradeIn%]]*Implements7[[#This Row],[PriceL]]</f>
        <v>13627.964450186513</v>
      </c>
      <c r="V30" s="114">
        <f>(Implements7[[#This Row],[PriceP]]-Implements7[[#This Row],[TradeIn$]])/Implements7[[#This Row],[Life (yr)]]/Implements7[[#This Row],[Use (hr/yr)]]</f>
        <v>37.12401184993783</v>
      </c>
      <c r="W30" s="114">
        <f>((Implements7[[#This Row],[PriceP]]+Implements7[[#This Row],[TradeIn$]])/2*($BP$7+$BP$8+$BP$9)+Implements7[[#This Row],[Shed (ft^2)]]*$BP$12)/Implements7[[#This Row],[Use (hr/yr)]]</f>
        <v>31.194815374712906</v>
      </c>
      <c r="X30" s="114">
        <f>Implements7[[#This Row],[PriceL]]*(VLOOKUP(Implements7[[#This Row],[ASABEtype]],$BC$6:$BM$52,2)*(Implements7[[#This Row],[Life (yr)]]*Implements7[[#This Row],[Use (hr/yr)]]/1000)^VLOOKUP(Implements7[[#This Row],[ASABEtype]],$BC$6:$BM$52,3))/Implements7[[#This Row],[Life (yr)]]/Implements7[[#This Row],[Use (hr/yr)]]</f>
        <v>18.602052900565081</v>
      </c>
      <c r="Y30" s="114">
        <f>Implements7[[#This Row],[Depr ($/hr)]]+Implements7[[#This Row],[OH ($/hr)]]</f>
        <v>68.318827224650732</v>
      </c>
      <c r="Z30" s="114">
        <f>(Implements7[[#This Row],[PriceP]]-Implements7[[#This Row],[TradeIn$]])/Implements7[[#This Row],[Life (yr)]]/Implements7[[#This Row],[Use (ac/yr)]]</f>
        <v>2.1606567743350058</v>
      </c>
      <c r="AA30" s="114">
        <f>((Implements7[[#This Row],[PriceP]]+Implements7[[#This Row],[TradeIn$]])/2*($BP$7+$BP$8+$BP$9)+Implements7[[#This Row],[Shed (ft^2)]]*$BP$12)/Implements7[[#This Row],[Use (ac/yr)]]</f>
        <v>1.8155712651949309</v>
      </c>
      <c r="AB30"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1.0826591635249516</v>
      </c>
      <c r="AC30" s="115">
        <f>$BP$18/(Implements7[[#This Row],[Width]]*Implements7[[#This Row],[Speed]]*Implements7[[#This Row],[Efficiency]])</f>
        <v>5.8201058201058198E-2</v>
      </c>
      <c r="AD30" s="116">
        <f>IF(Implements7[[#This Row],[Use basis]]=$N$128,Implements7[[#This Row],[Ownership costs ($/hr)]],SUM(Implements7[[#This Row],[Depr ($/ac)2]:[OH ($/ac)]]))</f>
        <v>3.9762280395299365</v>
      </c>
      <c r="AE30" s="118">
        <v>45</v>
      </c>
      <c r="AF30" s="100" t="s">
        <v>463</v>
      </c>
      <c r="AG30" s="116"/>
      <c r="AH30" s="131" t="str">
        <f t="shared" si="3"/>
        <v>625 HP SP Forage Harvester Base Unit</v>
      </c>
      <c r="AI30" s="132">
        <v>625</v>
      </c>
      <c r="AJ30" s="106" t="s">
        <v>529</v>
      </c>
      <c r="AK30" s="108">
        <v>622000</v>
      </c>
      <c r="AL30" s="109">
        <v>0.1</v>
      </c>
      <c r="AM30" s="133">
        <f t="shared" si="4"/>
        <v>691111.11111111112</v>
      </c>
      <c r="AN30" s="215">
        <f>VLOOKUP(Power20259[[#This Row],[ASABEtype]],$BC$6:$BM$52,4,FALSE)</f>
        <v>4000</v>
      </c>
      <c r="AO30" s="199"/>
      <c r="AP30" s="307">
        <f>VLOOKUP(Power20259[[#This Row],[ASABEtype]],ASABECoefficients8[],4,FALSE)/Power20259[[#This Row],[Use (hr/yr)]]*(1-Power20259[[#This Row],[Life used (%)]])</f>
        <v>11.428571428571429</v>
      </c>
      <c r="AQ30" s="106">
        <v>350</v>
      </c>
      <c r="AR30" s="106">
        <v>4.3999999999999997E-2</v>
      </c>
      <c r="AS30" s="106" t="s">
        <v>457</v>
      </c>
      <c r="AT30" s="106">
        <v>500</v>
      </c>
      <c r="AU30" s="204">
        <f>(VLOOKUP(Power20259[[#This Row],[ASABEtype]],ASABECoefficients8[#Data],5)-VLOOKUP(Power20259[[#This Row],[ASABEtype]],ASABECoefficients8[#Data],6)*MIN(Power20259[[#This Row],[Lifespan (hours)]]/Power20259[[#This Row],[Use (hr/yr)]],Power20259[[#This Row],[Life (yr)]])^0.5-VLOOKUP(Power20259[[#This Row],[ASABEtype]],ASABECoefficients8[#Data],7)*Power20259[[#This Row],[Use (hr/yr)]]^0.5+VLOOKUP(Power20259[[#This Row],[ASABEtype]],ASABECoefficients8[#Data],8)*$BP$17)^2+0.25*VLOOKUP(Power20259[[#This Row],[ASABEtype]],ASABECoefficients8[#Data],9)</f>
        <v>0.41217679614235048</v>
      </c>
      <c r="AV30" s="135">
        <f>Power20259[[#This Row],[TradeIn%]]*Power20259[[#This Row],[PriceL]]</f>
        <v>284859.96355615777</v>
      </c>
      <c r="AW30" s="137">
        <f>(Power20259[[#This Row],[PriceP]]-Power20259[[#This Row],[TradeIn$]])/Power20259[[#This Row],[Life (yr)]]/Power20259[[#This Row],[Use (hr/yr)]]</f>
        <v>84.285009110960559</v>
      </c>
      <c r="AX30" s="308">
        <f>((Power20259[[#This Row],[PriceP]]+Power20259[[#This Row],[TradeIn$]])/2*($BP$7+$BP$8+$BP$9)+Power20259[[#This Row],[Shed (ft^2)]]*$BP$12)/Power20259[[#This Row],[Use (hr/yr)]]</f>
        <v>116.03760819697861</v>
      </c>
      <c r="AY30" s="207">
        <f>Power20259[[#This Row],[PriceL]]*(VLOOKUP(Power20259[[#This Row],[ASABEtype]],ASABECoefficients8[#Data],2)*(Power20259[[#This Row],[Life (yr)]]*Power20259[[#This Row],[Use (hr/yr)]]/1000)^VLOOKUP(Power20259[[#This Row],[ASABEtype]],ASABECoefficients8[#Data],3))/Power20259[[#This Row],[Life (yr)]]/Power20259[[#This Row],[Use (hr/yr)]]+Power20259[[#This Row],[Fuel (gal/hr)]]*$BP$10*$BP$11*(10*Power20259[[#This Row],[Life used (%)]])</f>
        <v>82.933333333333323</v>
      </c>
      <c r="AZ30" s="138">
        <f>Power20259[[#This Row],[Fuel (gal/hph)]]*Power20259[[#This Row],[HP]]</f>
        <v>27.5</v>
      </c>
      <c r="BA30" s="137">
        <f t="shared" si="5"/>
        <v>200.32261730793917</v>
      </c>
      <c r="BB30" s="209"/>
      <c r="BC30" s="125" t="s">
        <v>585</v>
      </c>
      <c r="BD30" s="146">
        <v>0.46</v>
      </c>
      <c r="BE30" s="146">
        <v>1.7</v>
      </c>
      <c r="BF30" s="146">
        <v>2000</v>
      </c>
      <c r="BG30" s="146">
        <v>0.90229999999999999</v>
      </c>
      <c r="BH30" s="146">
        <v>9.4299999999999995E-2</v>
      </c>
      <c r="BI30" s="146">
        <v>0</v>
      </c>
      <c r="BJ30" s="146">
        <v>-4.0000000000000002E-4</v>
      </c>
      <c r="BK30" s="122">
        <f t="shared" si="6"/>
        <v>1.1513290000000001E-2</v>
      </c>
      <c r="BL30" s="146">
        <v>0.10730000000000001</v>
      </c>
      <c r="BM30" s="147"/>
    </row>
    <row r="31" spans="1:68">
      <c r="B31" s="100" t="str">
        <f>Implements7[[#This Row],[Implement type]]&amp;", "&amp;Implements7[[#This Row],[Width]]&amp;" "&amp;Implements7[[#This Row],[Width Unit]]&amp; ", per "&amp;Implements7[[#This Row],[Use basis]]</f>
        <v>Grain cart, 1000 Bu, per hour</v>
      </c>
      <c r="C31" s="107" t="s">
        <v>719</v>
      </c>
      <c r="D31" s="106">
        <v>1000</v>
      </c>
      <c r="E31" s="107" t="s">
        <v>805</v>
      </c>
      <c r="F31" s="106"/>
      <c r="G31" s="107"/>
      <c r="H31" s="108">
        <v>131500</v>
      </c>
      <c r="I31" s="109">
        <v>0.1</v>
      </c>
      <c r="J31" s="195">
        <f t="shared" si="1"/>
        <v>146111.11111111109</v>
      </c>
      <c r="K31" s="306">
        <f>VLOOKUP(Implements7[[#This Row],[ASABEtype]],ASABECoefficients8[],4,FALSE)/Implements7[[#This Row],[Use (hr/yr)]]</f>
        <v>15</v>
      </c>
      <c r="L31" s="106">
        <v>200</v>
      </c>
      <c r="M31" s="111">
        <f t="shared" si="2"/>
        <v>45818.181818181816</v>
      </c>
      <c r="N31" s="111" t="s">
        <v>720</v>
      </c>
      <c r="O31" s="106" t="s">
        <v>468</v>
      </c>
      <c r="P31" s="106">
        <v>3</v>
      </c>
      <c r="Q31" s="109">
        <v>0.63</v>
      </c>
      <c r="R31" s="109">
        <v>1.1100000000000001</v>
      </c>
      <c r="S31" s="106">
        <v>450</v>
      </c>
      <c r="T31"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0.22376917082458905</v>
      </c>
      <c r="U31" s="113">
        <f>Implements7[[#This Row],[TradeIn%]]*Implements7[[#This Row],[PriceL]]</f>
        <v>32695.162181592732</v>
      </c>
      <c r="V31" s="114">
        <f>(Implements7[[#This Row],[PriceP]]-Implements7[[#This Row],[TradeIn$]])/Implements7[[#This Row],[Life (yr)]]/Implements7[[#This Row],[Use (hr/yr)]]</f>
        <v>32.934945939469088</v>
      </c>
      <c r="W31" s="114">
        <f>((Implements7[[#This Row],[PriceP]]+Implements7[[#This Row],[TradeIn$]])/2*($BP$7+$BP$8+$BP$9)+Implements7[[#This Row],[Shed (ft^2)]]*$BP$12)/Implements7[[#This Row],[Use (hr/yr)]]</f>
        <v>38.508922299798805</v>
      </c>
      <c r="X31" s="114">
        <f>Implements7[[#This Row],[PriceL]]*(VLOOKUP(Implements7[[#This Row],[ASABEtype]],$BC$6:$BM$52,2)*(Implements7[[#This Row],[Life (yr)]]*Implements7[[#This Row],[Use (hr/yr)]]/1000)^VLOOKUP(Implements7[[#This Row],[ASABEtype]],$BC$6:$BM$52,3))/Implements7[[#This Row],[Life (yr)]]/Implements7[[#This Row],[Use (hr/yr)]]</f>
        <v>38.598748244825543</v>
      </c>
      <c r="Y31" s="114">
        <f>Implements7[[#This Row],[Depr ($/hr)]]+Implements7[[#This Row],[OH ($/hr)]]</f>
        <v>71.443868239267886</v>
      </c>
      <c r="Z31" s="114">
        <f>(Implements7[[#This Row],[PriceP]]-Implements7[[#This Row],[TradeIn$]])/Implements7[[#This Row],[Life (yr)]]/Implements7[[#This Row],[Use (ac/yr)]]</f>
        <v>0.14376365291038096</v>
      </c>
      <c r="AA31" s="114">
        <f>((Implements7[[#This Row],[PriceP]]+Implements7[[#This Row],[TradeIn$]])/2*($BP$7+$BP$8+$BP$9)+Implements7[[#This Row],[Shed (ft^2)]]*$BP$12)/Implements7[[#This Row],[Use (ac/yr)]]</f>
        <v>0.16809450210229637</v>
      </c>
      <c r="AB31"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38.598748244825543</v>
      </c>
      <c r="AC31" s="115">
        <f>$BP$18/(Implements7[[#This Row],[Width]]*Implements7[[#This Row],[Speed]]*Implements7[[#This Row],[Efficiency]])</f>
        <v>4.3650793650793652E-3</v>
      </c>
      <c r="AD31" s="116">
        <f>IF(Implements7[[#This Row],[Use basis]]=$N$128,Implements7[[#This Row],[Ownership costs ($/hr)]],SUM(Implements7[[#This Row],[Depr ($/ac)2]:[OH ($/ac)]]))</f>
        <v>71.443868239267886</v>
      </c>
      <c r="AE31" s="118">
        <v>54</v>
      </c>
      <c r="AF31" s="100" t="s">
        <v>463</v>
      </c>
      <c r="AG31" s="116"/>
      <c r="AH31" s="131" t="str">
        <f t="shared" si="3"/>
        <v>500 HP SP Cotton Picker</v>
      </c>
      <c r="AI31" s="132">
        <v>500</v>
      </c>
      <c r="AJ31" s="106" t="s">
        <v>695</v>
      </c>
      <c r="AK31" s="186"/>
      <c r="AL31" s="187"/>
      <c r="AM31" s="133"/>
      <c r="AN31" s="195"/>
      <c r="AO31" s="187"/>
      <c r="AP31" s="309"/>
      <c r="AQ31" s="106"/>
      <c r="AR31" s="216">
        <v>3.7999999999999999E-2</v>
      </c>
      <c r="AS31" s="106" t="s">
        <v>457</v>
      </c>
      <c r="AT31" s="106">
        <v>500</v>
      </c>
      <c r="AU31" s="134"/>
      <c r="AV31" s="135"/>
      <c r="AW31" s="137"/>
      <c r="AX31" s="193"/>
      <c r="AY31" s="139"/>
      <c r="AZ31" s="138">
        <f>Power20259[[#This Row],[Fuel (gal/hph)]]*Power20259[[#This Row],[HP]]</f>
        <v>19</v>
      </c>
      <c r="BA31" s="137"/>
      <c r="BB31" s="100" t="s">
        <v>732</v>
      </c>
      <c r="BC31" s="125" t="s">
        <v>470</v>
      </c>
      <c r="BD31" s="146">
        <v>0.44</v>
      </c>
      <c r="BE31" s="146">
        <v>2</v>
      </c>
      <c r="BF31" s="146">
        <v>2000</v>
      </c>
      <c r="BG31" s="146">
        <v>0.90229999999999999</v>
      </c>
      <c r="BH31" s="146">
        <v>9.4299999999999995E-2</v>
      </c>
      <c r="BI31" s="146">
        <v>0</v>
      </c>
      <c r="BJ31" s="146">
        <v>-4.0000000000000002E-4</v>
      </c>
      <c r="BK31" s="122">
        <f t="shared" si="6"/>
        <v>1.1513290000000001E-2</v>
      </c>
      <c r="BL31" s="146">
        <v>0.10730000000000001</v>
      </c>
      <c r="BM31" s="147"/>
    </row>
    <row r="32" spans="1:68">
      <c r="B32" s="100" t="str">
        <f>Implements7[[#This Row],[Implement type]]&amp;", "&amp;Implements7[[#This Row],[Width]]&amp;" "&amp;Implements7[[#This Row],[Width Unit]]&amp; ", per "&amp;Implements7[[#This Row],[Use basis]]</f>
        <v>Disk mower, 9 Ft, per acre</v>
      </c>
      <c r="C32" s="105" t="s">
        <v>469</v>
      </c>
      <c r="D32" s="106">
        <v>9</v>
      </c>
      <c r="E32" s="107" t="str">
        <f t="shared" ref="E32:E39" si="7">IF(D32&gt;15,"Ft Folding","Ft")</f>
        <v>Ft</v>
      </c>
      <c r="F32" s="106"/>
      <c r="G32" s="105"/>
      <c r="H32" s="108">
        <v>13500</v>
      </c>
      <c r="I32" s="109">
        <v>0.1</v>
      </c>
      <c r="J32" s="195">
        <f t="shared" si="1"/>
        <v>15000</v>
      </c>
      <c r="K32" s="306">
        <f>VLOOKUP(Implements7[[#This Row],[ASABEtype]],ASABECoefficients8[],4,FALSE)/Implements7[[#This Row],[Use (hr/yr)]]</f>
        <v>13.333333333333334</v>
      </c>
      <c r="L32" s="106">
        <v>150</v>
      </c>
      <c r="M32" s="111">
        <f t="shared" si="2"/>
        <v>850.90909090909099</v>
      </c>
      <c r="N32" s="111" t="s">
        <v>706</v>
      </c>
      <c r="O32" s="106" t="s">
        <v>470</v>
      </c>
      <c r="P32" s="106">
        <v>6.5</v>
      </c>
      <c r="Q32" s="109">
        <v>0.8</v>
      </c>
      <c r="R32" s="109">
        <v>1.05</v>
      </c>
      <c r="S32" s="106">
        <v>50</v>
      </c>
      <c r="T32"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0.28641406473688458</v>
      </c>
      <c r="U32" s="113">
        <f>Implements7[[#This Row],[TradeIn%]]*Implements7[[#This Row],[PriceL]]</f>
        <v>4296.2109710532686</v>
      </c>
      <c r="V32" s="114">
        <f>(Implements7[[#This Row],[PriceP]]-Implements7[[#This Row],[TradeIn$]])/Implements7[[#This Row],[Life (yr)]]/Implements7[[#This Row],[Use (hr/yr)]]</f>
        <v>4.6018945144733658</v>
      </c>
      <c r="W32" s="114">
        <f>((Implements7[[#This Row],[PriceP]]+Implements7[[#This Row],[TradeIn$]])/2*($BP$7+$BP$8+$BP$9)+Implements7[[#This Row],[Shed (ft^2)]]*$BP$12)/Implements7[[#This Row],[Use (hr/yr)]]</f>
        <v>5.5729552241824054</v>
      </c>
      <c r="X32" s="114">
        <f>Implements7[[#This Row],[PriceL]]*(VLOOKUP(Implements7[[#This Row],[ASABEtype]],$BC$6:$BM$52,2)*(Implements7[[#This Row],[Life (yr)]]*Implements7[[#This Row],[Use (hr/yr)]]/1000)^VLOOKUP(Implements7[[#This Row],[ASABEtype]],$BC$6:$BM$52,3))/Implements7[[#This Row],[Life (yr)]]/Implements7[[#This Row],[Use (hr/yr)]]</f>
        <v>13.2</v>
      </c>
      <c r="Y32" s="114">
        <f>Implements7[[#This Row],[Depr ($/hr)]]+Implements7[[#This Row],[OH ($/hr)]]</f>
        <v>10.174849738655771</v>
      </c>
      <c r="Z32" s="114">
        <f>(Implements7[[#This Row],[PriceP]]-Implements7[[#This Row],[TradeIn$]])/Implements7[[#This Row],[Life (yr)]]/Implements7[[#This Row],[Use (ac/yr)]]</f>
        <v>0.81123140479498435</v>
      </c>
      <c r="AA32" s="114">
        <f>((Implements7[[#This Row],[PriceP]]+Implements7[[#This Row],[TradeIn$]])/2*($BP$7+$BP$8+$BP$9)+Implements7[[#This Row],[Shed (ft^2)]]*$BP$12)/Implements7[[#This Row],[Use (ac/yr)]]</f>
        <v>0.98241197862189833</v>
      </c>
      <c r="AB32"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2.3269230769230766</v>
      </c>
      <c r="AC32" s="115">
        <f>$BP$18/(Implements7[[#This Row],[Width]]*Implements7[[#This Row],[Speed]]*Implements7[[#This Row],[Efficiency]])</f>
        <v>0.17628205128205127</v>
      </c>
      <c r="AD32" s="116">
        <f>IF(Implements7[[#This Row],[Use basis]]=$N$128,Implements7[[#This Row],[Ownership costs ($/hr)]],SUM(Implements7[[#This Row],[Depr ($/ac)2]:[OH ($/ac)]]))</f>
        <v>1.7936433834168826</v>
      </c>
      <c r="AE32" s="118">
        <v>28</v>
      </c>
      <c r="AF32" s="100" t="s">
        <v>471</v>
      </c>
      <c r="AG32" s="116"/>
      <c r="AH32" s="131" t="str">
        <f>CONCATENATE(AI32&amp;" "&amp;AJ32)</f>
        <v>275 HP SP Sprayer</v>
      </c>
      <c r="AI32" s="132">
        <v>275</v>
      </c>
      <c r="AJ32" s="106" t="s">
        <v>731</v>
      </c>
      <c r="AK32" s="186"/>
      <c r="AL32" s="187"/>
      <c r="AM32" s="133"/>
      <c r="AN32" s="195"/>
      <c r="AO32" s="187"/>
      <c r="AP32" s="309"/>
      <c r="AQ32" s="106"/>
      <c r="AR32" s="216"/>
      <c r="AS32" s="106" t="s">
        <v>506</v>
      </c>
      <c r="AT32" s="106">
        <v>500</v>
      </c>
      <c r="AU32" s="134"/>
      <c r="AV32" s="135"/>
      <c r="AW32" s="137"/>
      <c r="AX32" s="137"/>
      <c r="AY32" s="139"/>
      <c r="AZ32" s="138">
        <f>Power20259[[#This Row],[Fuel (gal/hph)]]*Power20259[[#This Row],[HP]]</f>
        <v>0</v>
      </c>
      <c r="BA32" s="137">
        <f>SUM(AW32:AX32)</f>
        <v>0</v>
      </c>
      <c r="BC32" s="125" t="s">
        <v>586</v>
      </c>
      <c r="BD32" s="146">
        <v>0.18</v>
      </c>
      <c r="BE32" s="146">
        <v>1.6</v>
      </c>
      <c r="BF32" s="146">
        <v>2500</v>
      </c>
      <c r="BG32" s="146">
        <v>0.72430000000000005</v>
      </c>
      <c r="BH32" s="146">
        <v>0.11269999999999999</v>
      </c>
      <c r="BI32" s="146">
        <v>0</v>
      </c>
      <c r="BJ32" s="146">
        <v>3.3999999999999998E-3</v>
      </c>
      <c r="BK32" s="122">
        <f t="shared" si="6"/>
        <v>1.4113440000000001E-2</v>
      </c>
      <c r="BL32" s="146">
        <v>0.1188</v>
      </c>
      <c r="BM32" s="147"/>
    </row>
    <row r="33" spans="2:65">
      <c r="B33" s="100" t="str">
        <f>Implements7[[#This Row],[Implement type]]&amp;", "&amp;Implements7[[#This Row],[Width]]&amp;" "&amp;Implements7[[#This Row],[Width Unit]]&amp; ", per "&amp;Implements7[[#This Row],[Use basis]]</f>
        <v>Disk mower/conditioner, 12 Ft, per acre</v>
      </c>
      <c r="C33" s="105" t="s">
        <v>472</v>
      </c>
      <c r="D33" s="106">
        <v>12</v>
      </c>
      <c r="E33" s="107" t="str">
        <f t="shared" si="7"/>
        <v>Ft</v>
      </c>
      <c r="F33" s="106"/>
      <c r="G33" s="106"/>
      <c r="H33" s="108">
        <v>47000</v>
      </c>
      <c r="I33" s="109">
        <v>0.1</v>
      </c>
      <c r="J33" s="195">
        <f t="shared" si="1"/>
        <v>52222.222222222219</v>
      </c>
      <c r="K33" s="306">
        <f>VLOOKUP(Implements7[[#This Row],[ASABEtype]],ASABECoefficients8[],4,FALSE)/Implements7[[#This Row],[Use (hr/yr)]]</f>
        <v>16.666666666666668</v>
      </c>
      <c r="L33" s="106">
        <v>150</v>
      </c>
      <c r="M33" s="111">
        <f t="shared" si="2"/>
        <v>1134.5454545454545</v>
      </c>
      <c r="N33" s="111" t="s">
        <v>706</v>
      </c>
      <c r="O33" s="106" t="s">
        <v>473</v>
      </c>
      <c r="P33" s="106">
        <v>6.5</v>
      </c>
      <c r="Q33" s="109">
        <v>0.8</v>
      </c>
      <c r="R33" s="109">
        <v>1.05</v>
      </c>
      <c r="S33" s="106">
        <v>200</v>
      </c>
      <c r="T33"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0.23471727430694855</v>
      </c>
      <c r="U33" s="113">
        <f>Implements7[[#This Row],[TradeIn%]]*Implements7[[#This Row],[PriceL]]</f>
        <v>12257.457658251757</v>
      </c>
      <c r="V33" s="114">
        <f>(Implements7[[#This Row],[PriceP]]-Implements7[[#This Row],[TradeIn$]])/Implements7[[#This Row],[Life (yr)]]/Implements7[[#This Row],[Use (hr/yr)]]</f>
        <v>13.897016936699298</v>
      </c>
      <c r="W33" s="114">
        <f>((Implements7[[#This Row],[PriceP]]+Implements7[[#This Row],[TradeIn$]])/2*($BP$7+$BP$8+$BP$9)+Implements7[[#This Row],[Shed (ft^2)]]*$BP$12)/Implements7[[#This Row],[Use (hr/yr)]]</f>
        <v>18.773241960071033</v>
      </c>
      <c r="X33" s="114">
        <f>Implements7[[#This Row],[PriceL]]*(VLOOKUP(Implements7[[#This Row],[ASABEtype]],$BC$6:$BM$52,2)*(Implements7[[#This Row],[Life (yr)]]*Implements7[[#This Row],[Use (hr/yr)]]/1000)^VLOOKUP(Implements7[[#This Row],[ASABEtype]],$BC$6:$BM$52,3))/Implements7[[#This Row],[Life (yr)]]/Implements7[[#This Row],[Use (hr/yr)]]</f>
        <v>20.888888888888886</v>
      </c>
      <c r="Y33" s="114">
        <f>Implements7[[#This Row],[Depr ($/hr)]]+Implements7[[#This Row],[OH ($/hr)]]</f>
        <v>32.670258896770335</v>
      </c>
      <c r="Z33" s="114">
        <f>(Implements7[[#This Row],[PriceP]]-Implements7[[#This Row],[TradeIn$]])/Implements7[[#This Row],[Life (yr)]]/Implements7[[#This Row],[Use (ac/yr)]]</f>
        <v>1.8373459892270707</v>
      </c>
      <c r="AA33" s="114">
        <f>((Implements7[[#This Row],[PriceP]]+Implements7[[#This Row],[TradeIn$]])/2*($BP$7+$BP$8+$BP$9)+Implements7[[#This Row],[Shed (ft^2)]]*$BP$12)/Implements7[[#This Row],[Use (ac/yr)]]</f>
        <v>2.4820392014516992</v>
      </c>
      <c r="AB33"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2.7617521367521367</v>
      </c>
      <c r="AC33" s="115">
        <f>$BP$18/(Implements7[[#This Row],[Width]]*Implements7[[#This Row],[Speed]]*Implements7[[#This Row],[Efficiency]])</f>
        <v>0.13221153846153844</v>
      </c>
      <c r="AD33" s="116">
        <f>IF(Implements7[[#This Row],[Use basis]]=$N$128,Implements7[[#This Row],[Ownership costs ($/hr)]],SUM(Implements7[[#This Row],[Depr ($/ac)2]:[OH ($/ac)]]))</f>
        <v>4.3193851906787701</v>
      </c>
      <c r="AE33" s="118">
        <v>28</v>
      </c>
      <c r="AF33" s="100" t="s">
        <v>471</v>
      </c>
      <c r="AG33" s="116"/>
      <c r="AT33" s="140" t="s">
        <v>530</v>
      </c>
      <c r="BC33" s="125" t="s">
        <v>473</v>
      </c>
      <c r="BD33" s="146">
        <v>0.16</v>
      </c>
      <c r="BE33" s="146">
        <v>2</v>
      </c>
      <c r="BF33" s="146">
        <v>2500</v>
      </c>
      <c r="BG33" s="146">
        <v>0.72430000000000005</v>
      </c>
      <c r="BH33" s="146">
        <v>0.11269999999999999</v>
      </c>
      <c r="BI33" s="146">
        <v>0</v>
      </c>
      <c r="BJ33" s="146">
        <v>3.3999999999999998E-3</v>
      </c>
      <c r="BK33" s="122">
        <f t="shared" si="6"/>
        <v>1.4113440000000001E-2</v>
      </c>
      <c r="BL33" s="146">
        <v>0.1188</v>
      </c>
      <c r="BM33" s="147"/>
    </row>
    <row r="34" spans="2:65">
      <c r="B34" s="100" t="str">
        <f>Implements7[[#This Row],[Implement type]]&amp;", "&amp;Implements7[[#This Row],[Width]]&amp;" "&amp;Implements7[[#This Row],[Width Unit]]</f>
        <v>Sickle bar mower, 9 Ft</v>
      </c>
      <c r="C34" s="105" t="s">
        <v>729</v>
      </c>
      <c r="D34" s="106">
        <v>9</v>
      </c>
      <c r="E34" s="107" t="s">
        <v>439</v>
      </c>
      <c r="F34" s="106"/>
      <c r="G34" s="105"/>
      <c r="H34" s="108">
        <v>6710</v>
      </c>
      <c r="I34" s="109">
        <v>0.05</v>
      </c>
      <c r="J34" s="195">
        <f>H34/(1-I34)</f>
        <v>7063.1578947368425</v>
      </c>
      <c r="K34" s="306">
        <f>VLOOKUP(Implements7[[#This Row],[ASABEtype]],ASABECoefficients8[],4,FALSE)/Implements7[[#This Row],[Use (hr/yr)]]</f>
        <v>13.333333333333334</v>
      </c>
      <c r="L34" s="106">
        <v>150</v>
      </c>
      <c r="M34" s="111">
        <f>IF(AND(P34&lt;&gt;0,Q34&lt;&gt;0),L34*(D34*P34*Q34)/8.25,L34*D34)</f>
        <v>589.09090909090912</v>
      </c>
      <c r="N34" s="111" t="s">
        <v>706</v>
      </c>
      <c r="O34" s="106" t="s">
        <v>585</v>
      </c>
      <c r="P34" s="106">
        <v>4.5</v>
      </c>
      <c r="Q34" s="109">
        <v>0.8</v>
      </c>
      <c r="R34" s="109">
        <v>1.05</v>
      </c>
      <c r="S34" s="106">
        <v>30</v>
      </c>
      <c r="T34"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0.28641406473688458</v>
      </c>
      <c r="U34" s="113">
        <f>Implements7[[#This Row],[TradeIn%]]*Implements7[[#This Row],[PriceL]]</f>
        <v>2022.9877625099955</v>
      </c>
      <c r="V34" s="114">
        <f>(Implements7[[#This Row],[PriceP]]-Implements7[[#This Row],[TradeIn$]])/Implements7[[#This Row],[Life (yr)]]/Implements7[[#This Row],[Use (hr/yr)]]</f>
        <v>2.3435061187450024</v>
      </c>
      <c r="W34" s="117">
        <f>((Implements7[[#This Row],[PriceP]]+Implements7[[#This Row],[TradeIn$]])/2*($BP$7+$BP$8+$BP$9)+Implements7[[#This Row],[Shed (ft^2)]]*$BP$12)/Implements7[[#This Row],[Use (hr/yr)]]</f>
        <v>2.7700751825734633</v>
      </c>
      <c r="X34" s="114">
        <f>Implements7[[#This Row],[PriceL]]*(VLOOKUP(Implements7[[#This Row],[ASABEtype]],$BC$6:$BM$52,2)*(Implements7[[#This Row],[Life (yr)]]*Implements7[[#This Row],[Use (hr/yr)]]/1000)^VLOOKUP(Implements7[[#This Row],[ASABEtype]],$BC$6:$BM$52,3))/Implements7[[#This Row],[Life (yr)]]/Implements7[[#This Row],[Use (hr/yr)]]</f>
        <v>5.2781015717750668</v>
      </c>
      <c r="Y34" s="114">
        <f>Implements7[[#This Row],[Depr ($/hr)]]+Implements7[[#This Row],[OH ($/hr)]]</f>
        <v>5.1135813013184652</v>
      </c>
      <c r="Z34" s="114">
        <f>(Implements7[[#This Row],[PriceP]]-Implements7[[#This Row],[TradeIn$]])/Implements7[[#This Row],[Life (yr)]]/Implements7[[#This Row],[Use (ac/yr)]]</f>
        <v>0.59672609505081076</v>
      </c>
      <c r="AA34" s="117">
        <f>((Implements7[[#This Row],[PriceP]]+Implements7[[#This Row],[TradeIn$]])/2*($BP$7+$BP$8+$BP$9)+Implements7[[#This Row],[Shed (ft^2)]]*$BP$12)/Implements7[[#This Row],[Use (ac/yr)]]</f>
        <v>0.7053432177849096</v>
      </c>
      <c r="AB34"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1.343961048368651</v>
      </c>
      <c r="AC34" s="115">
        <f>$BP$18/(Implements7[[#This Row],[Width]]*Implements7[[#This Row],[Speed]]*Implements7[[#This Row],[Efficiency]])</f>
        <v>0.25462962962962965</v>
      </c>
      <c r="AD34" s="116">
        <f>IF(Implements7[[#This Row],[Use basis]]=$N$128,Implements7[[#This Row],[Ownership costs ($/hr)]],SUM(Implements7[[#This Row],[Depr ($/ac)2]:[OH ($/ac)]]))</f>
        <v>1.3020693128357204</v>
      </c>
      <c r="AE34" s="116"/>
      <c r="AF34" s="100" t="s">
        <v>471</v>
      </c>
      <c r="AG34" s="116"/>
      <c r="AT34" s="140" t="s">
        <v>531</v>
      </c>
      <c r="BC34" s="125" t="s">
        <v>445</v>
      </c>
      <c r="BD34" s="146">
        <v>0.16</v>
      </c>
      <c r="BE34" s="146">
        <v>1.3</v>
      </c>
      <c r="BF34" s="146">
        <v>2000</v>
      </c>
      <c r="BG34" s="146">
        <v>0.71940000000000004</v>
      </c>
      <c r="BH34" s="146">
        <v>0.11020000000000001</v>
      </c>
      <c r="BI34" s="146">
        <v>0</v>
      </c>
      <c r="BJ34" s="146">
        <v>3.0000000000000001E-3</v>
      </c>
      <c r="BK34" s="122">
        <f t="shared" si="6"/>
        <v>1.4713690000000001E-2</v>
      </c>
      <c r="BL34" s="146">
        <v>0.12130000000000001</v>
      </c>
      <c r="BM34" s="147"/>
    </row>
    <row r="35" spans="2:65">
      <c r="B35" s="100" t="str">
        <f>Implements7[[#This Row],[Implement type]]&amp;", "&amp;Implements7[[#This Row],[Width]]&amp;" "&amp;Implements7[[#This Row],[Width Unit]]&amp; ", per "&amp;Implements7[[#This Row],[Use basis]]</f>
        <v>Hay merger, 14 Ft, per acre</v>
      </c>
      <c r="C35" s="105" t="s">
        <v>474</v>
      </c>
      <c r="D35" s="106">
        <v>14</v>
      </c>
      <c r="E35" s="107" t="str">
        <f t="shared" si="7"/>
        <v>Ft</v>
      </c>
      <c r="F35" s="106"/>
      <c r="G35" s="106"/>
      <c r="H35" s="108">
        <f>ROUND(65000*1.1,-3)</f>
        <v>72000</v>
      </c>
      <c r="I35" s="109">
        <v>0.1</v>
      </c>
      <c r="J35" s="195">
        <f t="shared" si="1"/>
        <v>80000</v>
      </c>
      <c r="K35" s="306">
        <f>VLOOKUP(Implements7[[#This Row],[ASABEtype]],ASABECoefficients8[],4,FALSE)/Implements7[[#This Row],[Use (hr/yr)]]</f>
        <v>16.666666666666668</v>
      </c>
      <c r="L35" s="106">
        <v>150</v>
      </c>
      <c r="M35" s="111">
        <f t="shared" si="2"/>
        <v>1629.0909090909092</v>
      </c>
      <c r="N35" s="111" t="s">
        <v>706</v>
      </c>
      <c r="O35" s="106" t="s">
        <v>475</v>
      </c>
      <c r="P35" s="106">
        <v>8</v>
      </c>
      <c r="Q35" s="109">
        <v>0.8</v>
      </c>
      <c r="R35" s="109">
        <v>1.02</v>
      </c>
      <c r="S35" s="106">
        <v>345</v>
      </c>
      <c r="T35"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0.20252610272516691</v>
      </c>
      <c r="U35" s="113">
        <f>Implements7[[#This Row],[TradeIn%]]*Implements7[[#This Row],[PriceL]]</f>
        <v>16202.088218013352</v>
      </c>
      <c r="V35" s="114">
        <f>(Implements7[[#This Row],[PriceP]]-Implements7[[#This Row],[TradeIn$]])/Implements7[[#This Row],[Life (yr)]]/Implements7[[#This Row],[Use (hr/yr)]]</f>
        <v>22.31916471279466</v>
      </c>
      <c r="W35" s="114">
        <f>((Implements7[[#This Row],[PriceP]]+Implements7[[#This Row],[TradeIn$]])/2*($BP$7+$BP$8+$BP$9)+Implements7[[#This Row],[Shed (ft^2)]]*$BP$12)/Implements7[[#This Row],[Use (hr/yr)]]</f>
        <v>28.248819639593609</v>
      </c>
      <c r="X35" s="114">
        <f>Implements7[[#This Row],[PriceL]]*(VLOOKUP(Implements7[[#This Row],[ASABEtype]],$BC$6:$BM$52,2)*(Implements7[[#This Row],[Life (yr)]]*Implements7[[#This Row],[Use (hr/yr)]]/1000)^VLOOKUP(Implements7[[#This Row],[ASABEtype]],$BC$6:$BM$52,3))/Implements7[[#This Row],[Life (yr)]]/Implements7[[#This Row],[Use (hr/yr)]]</f>
        <v>19.620718720338104</v>
      </c>
      <c r="Y35" s="114">
        <f>Implements7[[#This Row],[Depr ($/hr)]]+Implements7[[#This Row],[OH ($/hr)]]</f>
        <v>50.567984352388265</v>
      </c>
      <c r="Z35" s="114">
        <f>(Implements7[[#This Row],[PriceP]]-Implements7[[#This Row],[TradeIn$]])/Implements7[[#This Row],[Life (yr)]]/Implements7[[#This Row],[Use (ac/yr)]]</f>
        <v>2.0550570187562047</v>
      </c>
      <c r="AA35" s="114">
        <f>((Implements7[[#This Row],[PriceP]]+Implements7[[#This Row],[TradeIn$]])/2*($BP$7+$BP$8+$BP$9)+Implements7[[#This Row],[Shed (ft^2)]]*$BP$12)/Implements7[[#This Row],[Use (ac/yr)]]</f>
        <v>2.6010352904759739</v>
      </c>
      <c r="AB35"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1.8065951946739882</v>
      </c>
      <c r="AC35" s="115">
        <f>$BP$18/(Implements7[[#This Row],[Width]]*Implements7[[#This Row],[Speed]]*Implements7[[#This Row],[Efficiency]])</f>
        <v>9.2075892857142849E-2</v>
      </c>
      <c r="AD35" s="116">
        <f>IF(Implements7[[#This Row],[Use basis]]=$N$128,Implements7[[#This Row],[Ownership costs ($/hr)]],SUM(Implements7[[#This Row],[Depr ($/ac)2]:[OH ($/ac)]]))</f>
        <v>4.6560923092321786</v>
      </c>
      <c r="AE35" s="118">
        <v>30</v>
      </c>
      <c r="AF35" s="100" t="s">
        <v>471</v>
      </c>
      <c r="AG35" s="116"/>
      <c r="BC35" s="122" t="s">
        <v>386</v>
      </c>
      <c r="BD35" s="146"/>
      <c r="BE35" s="146"/>
      <c r="BF35" s="146"/>
      <c r="BG35" s="146"/>
      <c r="BH35" s="146"/>
      <c r="BI35" s="106"/>
      <c r="BJ35" s="146"/>
      <c r="BK35" s="122">
        <f t="shared" si="6"/>
        <v>0</v>
      </c>
      <c r="BL35" s="146"/>
      <c r="BM35" s="147"/>
    </row>
    <row r="36" spans="2:65">
      <c r="B36" s="100" t="str">
        <f>Implements7[[#This Row],[Implement type]]&amp;", "&amp;Implements7[[#This Row],[Width]]&amp;" "&amp;Implements7[[#This Row],[Width Unit]]&amp; ", per "&amp;Implements7[[#This Row],[Use basis]]</f>
        <v>Hay merger, 34 Ft Folding, per acre</v>
      </c>
      <c r="C36" s="105" t="s">
        <v>474</v>
      </c>
      <c r="D36" s="106">
        <v>34</v>
      </c>
      <c r="E36" s="107" t="str">
        <f t="shared" si="7"/>
        <v>Ft Folding</v>
      </c>
      <c r="F36" s="106"/>
      <c r="G36" s="106"/>
      <c r="H36" s="108">
        <f>260000*1.1</f>
        <v>286000</v>
      </c>
      <c r="I36" s="109">
        <v>0.1</v>
      </c>
      <c r="J36" s="195">
        <f t="shared" si="1"/>
        <v>317777.77777777775</v>
      </c>
      <c r="K36" s="306">
        <f>VLOOKUP(Implements7[[#This Row],[ASABEtype]],ASABECoefficients8[],4,FALSE)/Implements7[[#This Row],[Use (hr/yr)]]</f>
        <v>20</v>
      </c>
      <c r="L36" s="106">
        <v>150</v>
      </c>
      <c r="M36" s="111">
        <f t="shared" si="2"/>
        <v>3956.3636363636369</v>
      </c>
      <c r="N36" s="111" t="s">
        <v>706</v>
      </c>
      <c r="O36" s="106" t="s">
        <v>476</v>
      </c>
      <c r="P36" s="106">
        <v>8</v>
      </c>
      <c r="Q36" s="109">
        <v>0.8</v>
      </c>
      <c r="R36" s="109">
        <v>1.02</v>
      </c>
      <c r="S36" s="106">
        <v>345</v>
      </c>
      <c r="T36"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0.19441624803541294</v>
      </c>
      <c r="U36" s="113">
        <f>Implements7[[#This Row],[TradeIn%]]*Implements7[[#This Row],[PriceL]]</f>
        <v>61781.163264586772</v>
      </c>
      <c r="V36" s="114">
        <f>(Implements7[[#This Row],[PriceP]]-Implements7[[#This Row],[TradeIn$]])/Implements7[[#This Row],[Life (yr)]]/Implements7[[#This Row],[Use (hr/yr)]]</f>
        <v>74.739612245137749</v>
      </c>
      <c r="W36" s="114">
        <f>((Implements7[[#This Row],[PriceP]]+Implements7[[#This Row],[TradeIn$]])/2*($BP$7+$BP$8+$BP$9)+Implements7[[#This Row],[Shed (ft^2)]]*$BP$12)/Implements7[[#This Row],[Use (hr/yr)]]</f>
        <v>104.82464677833276</v>
      </c>
      <c r="X36" s="114">
        <f>Implements7[[#This Row],[PriceL]]*(VLOOKUP(Implements7[[#This Row],[ASABEtype]],$BC$6:$BM$52,2)*(Implements7[[#This Row],[Life (yr)]]*Implements7[[#This Row],[Use (hr/yr)]]/1000)^VLOOKUP(Implements7[[#This Row],[ASABEtype]],$BC$6:$BM$52,3))/Implements7[[#This Row],[Life (yr)]]/Implements7[[#This Row],[Use (hr/yr)]]</f>
        <v>57.2</v>
      </c>
      <c r="Y36" s="114">
        <f>Implements7[[#This Row],[Depr ($/hr)]]+Implements7[[#This Row],[OH ($/hr)]]</f>
        <v>179.56425902347053</v>
      </c>
      <c r="Z36" s="114">
        <f>(Implements7[[#This Row],[PriceP]]-Implements7[[#This Row],[TradeIn$]])/Implements7[[#This Row],[Life (yr)]]/Implements7[[#This Row],[Use (ac/yr)]]</f>
        <v>2.833647982639643</v>
      </c>
      <c r="AA36" s="114">
        <f>((Implements7[[#This Row],[PriceP]]+Implements7[[#This Row],[TradeIn$]])/2*($BP$7+$BP$8+$BP$9)+Implements7[[#This Row],[Shed (ft^2)]]*$BP$12)/Implements7[[#This Row],[Use (ac/yr)]]</f>
        <v>3.974280036402781</v>
      </c>
      <c r="AB36"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2.1686580882352939</v>
      </c>
      <c r="AC36" s="115">
        <f>$BP$18/(Implements7[[#This Row],[Width]]*Implements7[[#This Row],[Speed]]*Implements7[[#This Row],[Efficiency]])</f>
        <v>3.7913602941176468E-2</v>
      </c>
      <c r="AD36" s="116">
        <f>IF(Implements7[[#This Row],[Use basis]]=$N$128,Implements7[[#This Row],[Ownership costs ($/hr)]],SUM(Implements7[[#This Row],[Depr ($/ac)2]:[OH ($/ac)]]))</f>
        <v>6.8079280190424241</v>
      </c>
      <c r="AE36" s="118">
        <v>31</v>
      </c>
      <c r="AF36" s="100" t="s">
        <v>471</v>
      </c>
      <c r="AG36" s="116"/>
      <c r="BC36" s="122" t="s">
        <v>708</v>
      </c>
      <c r="BD36" s="146">
        <v>0.35</v>
      </c>
      <c r="BE36" s="146">
        <v>1.2</v>
      </c>
      <c r="BF36" s="146">
        <v>2000</v>
      </c>
      <c r="BG36" s="146">
        <v>0.86409999999999998</v>
      </c>
      <c r="BH36" s="146">
        <v>0.11020000000000001</v>
      </c>
      <c r="BI36" s="146">
        <v>0</v>
      </c>
      <c r="BJ36" s="146">
        <v>-5.0000000000000001E-3</v>
      </c>
      <c r="BK36" s="100">
        <v>8.1199999999999994E-2</v>
      </c>
      <c r="BL36" s="146"/>
      <c r="BM36" s="147"/>
    </row>
    <row r="37" spans="2:65">
      <c r="B37" s="100" t="str">
        <f>Implements7[[#This Row],[Implement type]]&amp;", "&amp;Implements7[[#This Row],[Width]]&amp;" "&amp;Implements7[[#This Row],[Width Unit]]&amp; ", per "&amp;Implements7[[#This Row],[Use basis]]</f>
        <v>Hay rake, 20 Ft Folding, per acre</v>
      </c>
      <c r="C37" s="105" t="s">
        <v>477</v>
      </c>
      <c r="D37" s="106">
        <v>20</v>
      </c>
      <c r="E37" s="107" t="str">
        <f t="shared" si="7"/>
        <v>Ft Folding</v>
      </c>
      <c r="F37" s="106">
        <v>8</v>
      </c>
      <c r="G37" s="105" t="s">
        <v>478</v>
      </c>
      <c r="H37" s="108">
        <v>9000</v>
      </c>
      <c r="I37" s="109">
        <v>0.15</v>
      </c>
      <c r="J37" s="195">
        <f t="shared" si="1"/>
        <v>10588.235294117647</v>
      </c>
      <c r="K37" s="306">
        <f>VLOOKUP(Implements7[[#This Row],[ASABEtype]],ASABECoefficients8[],4,FALSE)/Implements7[[#This Row],[Use (hr/yr)]]</f>
        <v>13.333333333333334</v>
      </c>
      <c r="L37" s="106">
        <v>150</v>
      </c>
      <c r="M37" s="111">
        <f t="shared" si="2"/>
        <v>2327.2727272727275</v>
      </c>
      <c r="N37" s="111" t="s">
        <v>706</v>
      </c>
      <c r="O37" s="106" t="s">
        <v>591</v>
      </c>
      <c r="P37" s="106">
        <v>8</v>
      </c>
      <c r="Q37" s="109">
        <v>0.8</v>
      </c>
      <c r="R37" s="109">
        <v>1.02</v>
      </c>
      <c r="S37" s="106">
        <v>175</v>
      </c>
      <c r="T37"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0.26634813831060228</v>
      </c>
      <c r="U37" s="113">
        <f>Implements7[[#This Row],[TradeIn%]]*Implements7[[#This Row],[PriceL]]</f>
        <v>2820.1567585828475</v>
      </c>
      <c r="V37" s="114">
        <f>(Implements7[[#This Row],[PriceP]]-Implements7[[#This Row],[TradeIn$]])/Implements7[[#This Row],[Life (yr)]]/Implements7[[#This Row],[Use (hr/yr)]]</f>
        <v>3.0899216207085765</v>
      </c>
      <c r="W37" s="114">
        <f>((Implements7[[#This Row],[PriceP]]+Implements7[[#This Row],[TradeIn$]])/2*($BP$7+$BP$8+$BP$9)+Implements7[[#This Row],[Shed (ft^2)]]*$BP$12)/Implements7[[#This Row],[Use (hr/yr)]]</f>
        <v>4.61770170080786</v>
      </c>
      <c r="X37" s="114">
        <f>Implements7[[#This Row],[PriceL]]*(VLOOKUP(Implements7[[#This Row],[ASABEtype]],$BC$6:$BM$52,2)*(Implements7[[#This Row],[Life (yr)]]*Implements7[[#This Row],[Use (hr/yr)]]/1000)^VLOOKUP(Implements7[[#This Row],[ASABEtype]],$BC$6:$BM$52,3))/Implements7[[#This Row],[Life (yr)]]/Implements7[[#This Row],[Use (hr/yr)]]</f>
        <v>3.7722402625625091</v>
      </c>
      <c r="Y37" s="114">
        <f>Implements7[[#This Row],[Depr ($/hr)]]+Implements7[[#This Row],[OH ($/hr)]]</f>
        <v>7.7076233215164365</v>
      </c>
      <c r="Z37" s="114">
        <f>(Implements7[[#This Row],[PriceP]]-Implements7[[#This Row],[TradeIn$]])/Implements7[[#This Row],[Life (yr)]]/Implements7[[#This Row],[Use (ac/yr)]]</f>
        <v>0.19915510445973245</v>
      </c>
      <c r="AA37" s="114">
        <f>((Implements7[[#This Row],[PriceP]]+Implements7[[#This Row],[TradeIn$]])/2*($BP$7+$BP$8+$BP$9)+Implements7[[#This Row],[Shed (ft^2)]]*$BP$12)/Implements7[[#This Row],[Use (ac/yr)]]</f>
        <v>0.2976253049348816</v>
      </c>
      <c r="AB37"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0.24313267317297418</v>
      </c>
      <c r="AC37" s="115">
        <f>$BP$18/(Implements7[[#This Row],[Width]]*Implements7[[#This Row],[Speed]]*Implements7[[#This Row],[Efficiency]])</f>
        <v>6.4453125E-2</v>
      </c>
      <c r="AD37" s="116">
        <f>IF(Implements7[[#This Row],[Use basis]]=$N$128,Implements7[[#This Row],[Ownership costs ($/hr)]],SUM(Implements7[[#This Row],[Depr ($/ac)2]:[OH ($/ac)]]))</f>
        <v>0.49678040939461404</v>
      </c>
      <c r="AE37" s="116"/>
      <c r="AF37" s="100" t="s">
        <v>471</v>
      </c>
      <c r="AG37" s="116"/>
      <c r="AH37" s="116" t="s">
        <v>730</v>
      </c>
      <c r="BC37" s="125" t="s">
        <v>587</v>
      </c>
      <c r="BD37" s="146">
        <v>0.19</v>
      </c>
      <c r="BE37" s="146">
        <v>1.4</v>
      </c>
      <c r="BF37" s="146">
        <v>2500</v>
      </c>
      <c r="BG37" s="146">
        <v>0.80910000000000004</v>
      </c>
      <c r="BH37" s="146">
        <v>0.1109</v>
      </c>
      <c r="BI37" s="146">
        <v>0</v>
      </c>
      <c r="BJ37" s="146">
        <v>1.4E-3</v>
      </c>
      <c r="BK37" s="122">
        <f t="shared" si="6"/>
        <v>1.605289E-2</v>
      </c>
      <c r="BL37" s="146">
        <v>0.12670000000000001</v>
      </c>
      <c r="BM37" s="147"/>
    </row>
    <row r="38" spans="2:65">
      <c r="B38" s="100" t="str">
        <f>Implements7[[#This Row],[Implement type]]&amp;", "&amp;Implements7[[#This Row],[Width]]&amp;" "&amp;Implements7[[#This Row],[Width Unit]]&amp; ", per "&amp;Implements7[[#This Row],[Use basis]]</f>
        <v>Hay rake, 30 Ft Folding, per acre</v>
      </c>
      <c r="C38" s="105" t="s">
        <v>477</v>
      </c>
      <c r="D38" s="106">
        <v>30</v>
      </c>
      <c r="E38" s="107" t="str">
        <f t="shared" si="7"/>
        <v>Ft Folding</v>
      </c>
      <c r="F38" s="106">
        <v>12</v>
      </c>
      <c r="G38" s="106" t="s">
        <v>478</v>
      </c>
      <c r="H38" s="108">
        <v>17500</v>
      </c>
      <c r="I38" s="109">
        <v>0.1</v>
      </c>
      <c r="J38" s="195">
        <f t="shared" si="1"/>
        <v>19444.444444444445</v>
      </c>
      <c r="K38" s="306">
        <f>VLOOKUP(Implements7[[#This Row],[ASABEtype]],ASABECoefficients8[],4,FALSE)/Implements7[[#This Row],[Use (hr/yr)]]</f>
        <v>13.333333333333334</v>
      </c>
      <c r="L38" s="106">
        <v>150</v>
      </c>
      <c r="M38" s="111">
        <f t="shared" si="2"/>
        <v>3490.909090909091</v>
      </c>
      <c r="N38" s="111" t="s">
        <v>706</v>
      </c>
      <c r="O38" s="106" t="s">
        <v>591</v>
      </c>
      <c r="P38" s="106">
        <v>8</v>
      </c>
      <c r="Q38" s="109">
        <v>0.8</v>
      </c>
      <c r="R38" s="109">
        <v>1.02</v>
      </c>
      <c r="S38" s="106">
        <v>250</v>
      </c>
      <c r="T38"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0.26634813831060228</v>
      </c>
      <c r="U38" s="113">
        <f>Implements7[[#This Row],[TradeIn%]]*Implements7[[#This Row],[PriceL]]</f>
        <v>5178.9915782617109</v>
      </c>
      <c r="V38" s="114">
        <f>(Implements7[[#This Row],[PriceP]]-Implements7[[#This Row],[TradeIn$]])/Implements7[[#This Row],[Life (yr)]]/Implements7[[#This Row],[Use (hr/yr)]]</f>
        <v>6.1605042108691448</v>
      </c>
      <c r="W38" s="114">
        <f>((Implements7[[#This Row],[PriceP]]+Implements7[[#This Row],[TradeIn$]])/2*($BP$7+$BP$8+$BP$9)+Implements7[[#This Row],[Shed (ft^2)]]*$BP$12)/Implements7[[#This Row],[Use (hr/yr)]]</f>
        <v>8.3056674541956621</v>
      </c>
      <c r="X38" s="114">
        <f>Implements7[[#This Row],[PriceL]]*(VLOOKUP(Implements7[[#This Row],[ASABEtype]],$BC$6:$BM$52,2)*(Implements7[[#This Row],[Life (yr)]]*Implements7[[#This Row],[Use (hr/yr)]]/1000)^VLOOKUP(Implements7[[#This Row],[ASABEtype]],$BC$6:$BM$52,3))/Implements7[[#This Row],[Life (yr)]]/Implements7[[#This Row],[Use (hr/yr)]]</f>
        <v>6.9274165315576948</v>
      </c>
      <c r="Y38" s="114">
        <f>Implements7[[#This Row],[Depr ($/hr)]]+Implements7[[#This Row],[OH ($/hr)]]</f>
        <v>14.466171665064806</v>
      </c>
      <c r="Z38" s="114">
        <f>(Implements7[[#This Row],[PriceP]]-Implements7[[#This Row],[TradeIn$]])/Implements7[[#This Row],[Life (yr)]]/Implements7[[#This Row],[Use (ac/yr)]]</f>
        <v>0.26470916531078359</v>
      </c>
      <c r="AA38" s="114">
        <f>((Implements7[[#This Row],[PriceP]]+Implements7[[#This Row],[TradeIn$]])/2*($BP$7+$BP$8+$BP$9)+Implements7[[#This Row],[Shed (ft^2)]]*$BP$12)/Implements7[[#This Row],[Use (ac/yr)]]</f>
        <v>0.35688414842246985</v>
      </c>
      <c r="AB38"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0.29766242909036972</v>
      </c>
      <c r="AC38" s="115">
        <f>$BP$18/(Implements7[[#This Row],[Width]]*Implements7[[#This Row],[Speed]]*Implements7[[#This Row],[Efficiency]])</f>
        <v>4.296875E-2</v>
      </c>
      <c r="AD38" s="116">
        <f>IF(Implements7[[#This Row],[Use basis]]=$N$128,Implements7[[#This Row],[Ownership costs ($/hr)]],SUM(Implements7[[#This Row],[Depr ($/ac)2]:[OH ($/ac)]]))</f>
        <v>0.62159331373325344</v>
      </c>
      <c r="AE38" s="118">
        <v>29</v>
      </c>
      <c r="AF38" s="100" t="s">
        <v>471</v>
      </c>
      <c r="AG38" s="116"/>
      <c r="BC38" s="125" t="s">
        <v>491</v>
      </c>
      <c r="BD38" s="146">
        <v>0.23</v>
      </c>
      <c r="BE38" s="146">
        <v>1.8</v>
      </c>
      <c r="BF38" s="146">
        <v>2000</v>
      </c>
      <c r="BG38" s="146">
        <v>0.80910000000000004</v>
      </c>
      <c r="BH38" s="146">
        <v>0.1109</v>
      </c>
      <c r="BI38" s="146">
        <v>0</v>
      </c>
      <c r="BJ38" s="146">
        <v>1.4E-3</v>
      </c>
      <c r="BK38" s="122">
        <f t="shared" si="6"/>
        <v>1.605289E-2</v>
      </c>
      <c r="BL38" s="146">
        <v>0.12670000000000001</v>
      </c>
      <c r="BM38" s="147"/>
    </row>
    <row r="39" spans="2:65">
      <c r="B39" s="100" t="str">
        <f>Implements7[[#This Row],[Implement type]]&amp;", "&amp;Implements7[[#This Row],[Width]]&amp;" "&amp;Implements7[[#This Row],[Width Unit]]&amp; ", per "&amp;Implements7[[#This Row],[Use basis]]</f>
        <v>Hay tedder, 16 Ft Folding, per acre</v>
      </c>
      <c r="C39" s="105" t="s">
        <v>479</v>
      </c>
      <c r="D39" s="106">
        <v>16</v>
      </c>
      <c r="E39" s="107" t="str">
        <f t="shared" si="7"/>
        <v>Ft Folding</v>
      </c>
      <c r="F39" s="106">
        <v>4</v>
      </c>
      <c r="G39" s="105" t="s">
        <v>480</v>
      </c>
      <c r="H39" s="108">
        <v>7000</v>
      </c>
      <c r="I39" s="109">
        <v>0.1</v>
      </c>
      <c r="J39" s="195">
        <f t="shared" si="1"/>
        <v>7777.7777777777774</v>
      </c>
      <c r="K39" s="306">
        <f>VLOOKUP(Implements7[[#This Row],[ASABEtype]],ASABECoefficients8[],4,FALSE)/Implements7[[#This Row],[Use (hr/yr)]]</f>
        <v>16.666666666666668</v>
      </c>
      <c r="L39" s="106">
        <v>150</v>
      </c>
      <c r="M39" s="111">
        <f t="shared" si="2"/>
        <v>2472.7272727272725</v>
      </c>
      <c r="N39" s="111" t="s">
        <v>706</v>
      </c>
      <c r="O39" s="106" t="s">
        <v>475</v>
      </c>
      <c r="P39" s="106">
        <v>10</v>
      </c>
      <c r="Q39" s="109">
        <v>0.85</v>
      </c>
      <c r="R39" s="109">
        <v>1.02</v>
      </c>
      <c r="S39" s="106">
        <v>70</v>
      </c>
      <c r="T39"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0.20252610272516691</v>
      </c>
      <c r="U39" s="113">
        <f>Implements7[[#This Row],[TradeIn%]]*Implements7[[#This Row],[PriceL]]</f>
        <v>1575.2030211957426</v>
      </c>
      <c r="V39" s="114">
        <f>(Implements7[[#This Row],[PriceP]]-Implements7[[#This Row],[TradeIn$]])/Implements7[[#This Row],[Life (yr)]]/Implements7[[#This Row],[Use (hr/yr)]]</f>
        <v>2.1699187915217029</v>
      </c>
      <c r="W39" s="114">
        <f>((Implements7[[#This Row],[PriceP]]+Implements7[[#This Row],[TradeIn$]])/2*($BP$7+$BP$8+$BP$9)+Implements7[[#This Row],[Shed (ft^2)]]*$BP$12)/Implements7[[#This Row],[Use (hr/yr)]]</f>
        <v>2.9819870740631123</v>
      </c>
      <c r="X39" s="114">
        <f>Implements7[[#This Row],[PriceL]]*(VLOOKUP(Implements7[[#This Row],[ASABEtype]],$BC$6:$BM$52,2)*(Implements7[[#This Row],[Life (yr)]]*Implements7[[#This Row],[Use (hr/yr)]]/1000)^VLOOKUP(Implements7[[#This Row],[ASABEtype]],$BC$6:$BM$52,3))/Implements7[[#This Row],[Life (yr)]]/Implements7[[#This Row],[Use (hr/yr)]]</f>
        <v>1.9075698755884263</v>
      </c>
      <c r="Y39" s="114">
        <f>Implements7[[#This Row],[Depr ($/hr)]]+Implements7[[#This Row],[OH ($/hr)]]</f>
        <v>5.1519058655848156</v>
      </c>
      <c r="Z39" s="114">
        <f>(Implements7[[#This Row],[PriceP]]-Implements7[[#This Row],[TradeIn$]])/Implements7[[#This Row],[Life (yr)]]/Implements7[[#This Row],[Use (ac/yr)]]</f>
        <v>0.13163110316216214</v>
      </c>
      <c r="AA39" s="114">
        <f>((Implements7[[#This Row],[PriceP]]+Implements7[[#This Row],[TradeIn$]])/2*($BP$7+$BP$8+$BP$9)+Implements7[[#This Row],[Shed (ft^2)]]*$BP$12)/Implements7[[#This Row],[Use (ac/yr)]]</f>
        <v>0.1808925982427991</v>
      </c>
      <c r="AB39"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0.11571655495297441</v>
      </c>
      <c r="AC39" s="115">
        <f>$BP$18/(Implements7[[#This Row],[Width]]*Implements7[[#This Row],[Speed]]*Implements7[[#This Row],[Efficiency]])</f>
        <v>6.0661764705882353E-2</v>
      </c>
      <c r="AD39" s="116">
        <f>IF(Implements7[[#This Row],[Use basis]]=$N$128,Implements7[[#This Row],[Ownership costs ($/hr)]],SUM(Implements7[[#This Row],[Depr ($/ac)2]:[OH ($/ac)]]))</f>
        <v>0.31252370140496122</v>
      </c>
      <c r="AE39" s="116"/>
      <c r="AF39" s="100" t="s">
        <v>471</v>
      </c>
      <c r="AG39" s="116"/>
      <c r="BC39" s="125" t="s">
        <v>588</v>
      </c>
      <c r="BD39" s="146">
        <v>0.16</v>
      </c>
      <c r="BE39" s="146">
        <v>1.3</v>
      </c>
      <c r="BF39" s="146">
        <v>2000</v>
      </c>
      <c r="BG39" s="146">
        <v>0.71940000000000004</v>
      </c>
      <c r="BH39" s="146">
        <v>0.11020000000000001</v>
      </c>
      <c r="BI39" s="146">
        <v>0</v>
      </c>
      <c r="BJ39" s="146">
        <v>3.0000000000000001E-3</v>
      </c>
      <c r="BK39" s="122">
        <f t="shared" si="6"/>
        <v>1.4713690000000001E-2</v>
      </c>
      <c r="BL39" s="146">
        <v>0.12130000000000001</v>
      </c>
      <c r="BM39" s="147"/>
    </row>
    <row r="40" spans="2:65">
      <c r="B40" s="100" t="str">
        <f>Implements7[[#This Row],[Implement type]]&amp;", "&amp;Implements7[[#This Row],[Width]]&amp;" "&amp;Implements7[[#This Row],[Width Unit]]&amp; ", per "&amp;Implements7[[#This Row],[Use basis]]</f>
        <v>Inline bale wrapper, 60 Ft, per hour</v>
      </c>
      <c r="C40" s="105" t="s">
        <v>481</v>
      </c>
      <c r="D40" s="106">
        <v>60</v>
      </c>
      <c r="E40" s="107" t="s">
        <v>439</v>
      </c>
      <c r="F40" s="106"/>
      <c r="G40" s="105"/>
      <c r="H40" s="108">
        <v>32500</v>
      </c>
      <c r="I40" s="109">
        <v>0.1</v>
      </c>
      <c r="J40" s="195">
        <f t="shared" si="1"/>
        <v>36111.111111111109</v>
      </c>
      <c r="K40" s="306">
        <f>VLOOKUP(Implements7[[#This Row],[ASABEtype]],ASABECoefficients8[],4,FALSE)/Implements7[[#This Row],[Use (hr/yr)]]</f>
        <v>33.333333333333336</v>
      </c>
      <c r="L40" s="106">
        <v>150</v>
      </c>
      <c r="M40" s="111">
        <f t="shared" si="2"/>
        <v>7854.545454545455</v>
      </c>
      <c r="N40" s="111" t="s">
        <v>720</v>
      </c>
      <c r="O40" s="106" t="s">
        <v>482</v>
      </c>
      <c r="P40" s="106">
        <v>8</v>
      </c>
      <c r="Q40" s="109">
        <v>0.9</v>
      </c>
      <c r="R40" s="109">
        <v>1.1000000000000001</v>
      </c>
      <c r="S40" s="106">
        <v>200</v>
      </c>
      <c r="T40"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7.0584316860703017E-2</v>
      </c>
      <c r="U40" s="113">
        <f>Implements7[[#This Row],[TradeIn%]]*Implements7[[#This Row],[PriceL]]</f>
        <v>2548.8781088587198</v>
      </c>
      <c r="V40" s="114">
        <f>(Implements7[[#This Row],[PriceP]]-Implements7[[#This Row],[TradeIn$]])/Implements7[[#This Row],[Life (yr)]]/Implements7[[#This Row],[Use (hr/yr)]]</f>
        <v>5.9902243782282554</v>
      </c>
      <c r="W40" s="114">
        <f>((Implements7[[#This Row],[PriceP]]+Implements7[[#This Row],[TradeIn$]])/2*($BP$7+$BP$8+$BP$9)+Implements7[[#This Row],[Shed (ft^2)]]*$BP$12)/Implements7[[#This Row],[Use (hr/yr)]]</f>
        <v>11.631710993000089</v>
      </c>
      <c r="X40" s="114">
        <f>Implements7[[#This Row],[PriceL]]*(VLOOKUP(Implements7[[#This Row],[ASABEtype]],$BC$6:$BM$52,2)*(Implements7[[#This Row],[Life (yr)]]*Implements7[[#This Row],[Use (hr/yr)]]/1000)^VLOOKUP(Implements7[[#This Row],[ASABEtype]],$BC$6:$BM$52,3))/Implements7[[#This Row],[Life (yr)]]/Implements7[[#This Row],[Use (hr/yr)]]</f>
        <v>1.4227025607187072</v>
      </c>
      <c r="Y40" s="114">
        <f>Implements7[[#This Row],[Depr ($/hr)]]+Implements7[[#This Row],[OH ($/hr)]]</f>
        <v>17.621935371228346</v>
      </c>
      <c r="Z40" s="114">
        <f>(Implements7[[#This Row],[PriceP]]-Implements7[[#This Row],[TradeIn$]])/Implements7[[#This Row],[Life (yr)]]/Implements7[[#This Row],[Use (ac/yr)]]</f>
        <v>0.11439664611199793</v>
      </c>
      <c r="AA40" s="114">
        <f>((Implements7[[#This Row],[PriceP]]+Implements7[[#This Row],[TradeIn$]])/2*($BP$7+$BP$8+$BP$9)+Implements7[[#This Row],[Shed (ft^2)]]*$BP$12)/Implements7[[#This Row],[Use (ac/yr)]]</f>
        <v>0.2221333696579878</v>
      </c>
      <c r="AB40"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1.4227025607187072</v>
      </c>
      <c r="AC40" s="115">
        <f>$BP$18/(Implements7[[#This Row],[Width]]*Implements7[[#This Row],[Speed]]*Implements7[[#This Row],[Efficiency]])</f>
        <v>1.9097222222222224E-2</v>
      </c>
      <c r="AD40" s="116">
        <f>IF(Implements7[[#This Row],[Use basis]]=$N$128,Implements7[[#This Row],[Ownership costs ($/hr)]],SUM(Implements7[[#This Row],[Depr ($/ac)2]:[OH ($/ac)]]))</f>
        <v>17.621935371228346</v>
      </c>
      <c r="AE40" s="116"/>
      <c r="AF40" s="100" t="s">
        <v>471</v>
      </c>
      <c r="AG40" s="116"/>
      <c r="BC40" s="125" t="s">
        <v>589</v>
      </c>
      <c r="BD40" s="146">
        <v>0.23</v>
      </c>
      <c r="BE40" s="146">
        <v>1.4</v>
      </c>
      <c r="BF40" s="146">
        <v>2000</v>
      </c>
      <c r="BG40" s="146">
        <v>0.69269999999999998</v>
      </c>
      <c r="BH40" s="146">
        <v>7.0300000000000001E-2</v>
      </c>
      <c r="BI40" s="146">
        <v>0</v>
      </c>
      <c r="BJ40" s="146">
        <v>1.1999999999999999E-3</v>
      </c>
      <c r="BK40" s="122">
        <f t="shared" si="6"/>
        <v>1.4957290000000002E-2</v>
      </c>
      <c r="BL40" s="146">
        <v>0.12230000000000001</v>
      </c>
      <c r="BM40" s="147"/>
    </row>
    <row r="41" spans="2:65">
      <c r="B41" s="100" t="str">
        <f>Implements7[[#This Row],[Implement type]]&amp;", "&amp;Implements7[[#This Row],[Width]]&amp;" "&amp;Implements7[[#This Row],[Width Unit]]&amp; ", per "&amp;Implements7[[#This Row],[Use basis]]</f>
        <v>Large rectangular baler, 30 Ft, per acre</v>
      </c>
      <c r="C41" s="105" t="s">
        <v>483</v>
      </c>
      <c r="D41" s="106">
        <v>30</v>
      </c>
      <c r="E41" s="107" t="s">
        <v>439</v>
      </c>
      <c r="F41" s="106" t="s">
        <v>484</v>
      </c>
      <c r="G41" s="106"/>
      <c r="H41" s="108">
        <v>155500</v>
      </c>
      <c r="I41" s="109">
        <v>0.1</v>
      </c>
      <c r="J41" s="195">
        <f t="shared" si="1"/>
        <v>172777.77777777778</v>
      </c>
      <c r="K41" s="306">
        <f>VLOOKUP(Implements7[[#This Row],[ASABEtype]],ASABECoefficients8[],4,FALSE)/Implements7[[#This Row],[Use (hr/yr)]]</f>
        <v>20</v>
      </c>
      <c r="L41" s="106">
        <v>150</v>
      </c>
      <c r="M41" s="111">
        <f t="shared" si="2"/>
        <v>2618.181818181818</v>
      </c>
      <c r="N41" s="111" t="s">
        <v>706</v>
      </c>
      <c r="O41" s="106" t="s">
        <v>483</v>
      </c>
      <c r="P41" s="106">
        <v>6</v>
      </c>
      <c r="Q41" s="109">
        <v>0.8</v>
      </c>
      <c r="R41" s="109">
        <v>1.1100000000000001</v>
      </c>
      <c r="S41" s="106">
        <v>250</v>
      </c>
      <c r="T41"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0.16588693183050801</v>
      </c>
      <c r="U41" s="113">
        <f>Implements7[[#This Row],[TradeIn%]]*Implements7[[#This Row],[PriceL]]</f>
        <v>28661.575444048885</v>
      </c>
      <c r="V41" s="114">
        <f>(Implements7[[#This Row],[PriceP]]-Implements7[[#This Row],[TradeIn$]])/Implements7[[#This Row],[Life (yr)]]/Implements7[[#This Row],[Use (hr/yr)]]</f>
        <v>42.279474851983707</v>
      </c>
      <c r="W41" s="114">
        <f>((Implements7[[#This Row],[PriceP]]+Implements7[[#This Row],[TradeIn$]])/2*($BP$7+$BP$8+$BP$9)+Implements7[[#This Row],[Shed (ft^2)]]*$BP$12)/Implements7[[#This Row],[Use (hr/yr)]]</f>
        <v>55.94302969460287</v>
      </c>
      <c r="X41" s="114">
        <f>Implements7[[#This Row],[PriceL]]*(VLOOKUP(Implements7[[#This Row],[ASABEtype]],$BC$6:$BM$52,2)*(Implements7[[#This Row],[Life (yr)]]*Implements7[[#This Row],[Use (hr/yr)]]/1000)^VLOOKUP(Implements7[[#This Row],[ASABEtype]],$BC$6:$BM$52,3))/Implements7[[#This Row],[Life (yr)]]/Implements7[[#This Row],[Use (hr/yr)]]</f>
        <v>41.60877095123864</v>
      </c>
      <c r="Y41" s="114">
        <f>Implements7[[#This Row],[Depr ($/hr)]]+Implements7[[#This Row],[OH ($/hr)]]</f>
        <v>98.222504546586578</v>
      </c>
      <c r="Z41" s="114">
        <f>(Implements7[[#This Row],[PriceP]]-Implements7[[#This Row],[TradeIn$]])/Implements7[[#This Row],[Life (yr)]]/Implements7[[#This Row],[Use (ac/yr)]]</f>
        <v>2.4222615800615666</v>
      </c>
      <c r="AA41" s="114">
        <f>((Implements7[[#This Row],[PriceP]]+Implements7[[#This Row],[TradeIn$]])/2*($BP$7+$BP$8+$BP$9)+Implements7[[#This Row],[Shed (ft^2)]]*$BP$12)/Implements7[[#This Row],[Use (ac/yr)]]</f>
        <v>3.2050694095866232</v>
      </c>
      <c r="AB41"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2.3838358357480471</v>
      </c>
      <c r="AC41" s="115">
        <f>$BP$18/(Implements7[[#This Row],[Width]]*Implements7[[#This Row],[Speed]]*Implements7[[#This Row],[Efficiency]])</f>
        <v>5.7291666666666664E-2</v>
      </c>
      <c r="AD41" s="116">
        <f>IF(Implements7[[#This Row],[Use basis]]=$N$128,Implements7[[#This Row],[Ownership costs ($/hr)]],SUM(Implements7[[#This Row],[Depr ($/ac)2]:[OH ($/ac)]]))</f>
        <v>5.6273309896481898</v>
      </c>
      <c r="AE41" s="118">
        <v>35</v>
      </c>
      <c r="AF41" s="100" t="s">
        <v>471</v>
      </c>
      <c r="AG41" s="116"/>
      <c r="BC41" s="125" t="s">
        <v>590</v>
      </c>
      <c r="BD41" s="146">
        <v>0.36</v>
      </c>
      <c r="BE41" s="146">
        <v>2</v>
      </c>
      <c r="BF41" s="146">
        <v>1500</v>
      </c>
      <c r="BG41" s="146">
        <v>0.71940000000000004</v>
      </c>
      <c r="BH41" s="146">
        <v>0.11020000000000001</v>
      </c>
      <c r="BI41" s="146">
        <v>0</v>
      </c>
      <c r="BJ41" s="146">
        <v>3.0000000000000001E-3</v>
      </c>
      <c r="BK41" s="122">
        <f t="shared" si="6"/>
        <v>1.4713690000000001E-2</v>
      </c>
      <c r="BL41" s="146">
        <v>0.12130000000000001</v>
      </c>
      <c r="BM41" s="147"/>
    </row>
    <row r="42" spans="2:65">
      <c r="B42" s="100" t="str">
        <f>Implements7[[#This Row],[Implement type]]&amp;", "&amp;Implements7[[#This Row],[Width]]&amp;" "&amp;Implements7[[#This Row],[Width Unit]]&amp; ", per "&amp;Implements7[[#This Row],[Use basis]]</f>
        <v>Large rectangular baler, 30 Ft, per acre</v>
      </c>
      <c r="C42" s="105" t="s">
        <v>483</v>
      </c>
      <c r="D42" s="106">
        <v>30</v>
      </c>
      <c r="E42" s="107" t="s">
        <v>439</v>
      </c>
      <c r="F42" s="106" t="s">
        <v>485</v>
      </c>
      <c r="G42" s="106"/>
      <c r="H42" s="108">
        <v>188000</v>
      </c>
      <c r="I42" s="109">
        <v>0.1</v>
      </c>
      <c r="J42" s="195">
        <f t="shared" si="1"/>
        <v>208888.88888888888</v>
      </c>
      <c r="K42" s="306">
        <f>VLOOKUP(Implements7[[#This Row],[ASABEtype]],ASABECoefficients8[],4,FALSE)/Implements7[[#This Row],[Use (hr/yr)]]</f>
        <v>20</v>
      </c>
      <c r="L42" s="106">
        <v>150</v>
      </c>
      <c r="M42" s="111">
        <f t="shared" si="2"/>
        <v>2618.181818181818</v>
      </c>
      <c r="N42" s="111" t="s">
        <v>706</v>
      </c>
      <c r="O42" s="106" t="s">
        <v>483</v>
      </c>
      <c r="P42" s="106">
        <v>6</v>
      </c>
      <c r="Q42" s="109">
        <v>0.8</v>
      </c>
      <c r="R42" s="109">
        <v>1.1100000000000001</v>
      </c>
      <c r="S42" s="106">
        <v>250</v>
      </c>
      <c r="T42"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0.16588693183050801</v>
      </c>
      <c r="U42" s="113">
        <f>Implements7[[#This Row],[TradeIn%]]*Implements7[[#This Row],[PriceL]]</f>
        <v>34651.936871261671</v>
      </c>
      <c r="V42" s="114">
        <f>(Implements7[[#This Row],[PriceP]]-Implements7[[#This Row],[TradeIn$]])/Implements7[[#This Row],[Life (yr)]]/Implements7[[#This Row],[Use (hr/yr)]]</f>
        <v>51.116021042912777</v>
      </c>
      <c r="W42" s="114">
        <f>((Implements7[[#This Row],[PriceP]]+Implements7[[#This Row],[TradeIn$]])/2*($BP$7+$BP$8+$BP$9)+Implements7[[#This Row],[Shed (ft^2)]]*$BP$12)/Implements7[[#This Row],[Use (hr/yr)]]</f>
        <v>67.297686315630656</v>
      </c>
      <c r="X42" s="114">
        <f>Implements7[[#This Row],[PriceL]]*(VLOOKUP(Implements7[[#This Row],[ASABEtype]],$BC$6:$BM$52,2)*(Implements7[[#This Row],[Life (yr)]]*Implements7[[#This Row],[Use (hr/yr)]]/1000)^VLOOKUP(Implements7[[#This Row],[ASABEtype]],$BC$6:$BM$52,3))/Implements7[[#This Row],[Life (yr)]]/Implements7[[#This Row],[Use (hr/yr)]]</f>
        <v>50.305137870307796</v>
      </c>
      <c r="Y42" s="114">
        <f>Implements7[[#This Row],[Depr ($/hr)]]+Implements7[[#This Row],[OH ($/hr)]]</f>
        <v>118.41370735854343</v>
      </c>
      <c r="Z42" s="114">
        <f>(Implements7[[#This Row],[PriceP]]-Implements7[[#This Row],[TradeIn$]])/Implements7[[#This Row],[Life (yr)]]/Implements7[[#This Row],[Use (ac/yr)]]</f>
        <v>2.9285220389168778</v>
      </c>
      <c r="AA42" s="114">
        <f>((Implements7[[#This Row],[PriceP]]+Implements7[[#This Row],[TradeIn$]])/2*($BP$7+$BP$8+$BP$9)+Implements7[[#This Row],[Shed (ft^2)]]*$BP$12)/Implements7[[#This Row],[Use (ac/yr)]]</f>
        <v>3.8555966118330067</v>
      </c>
      <c r="AB42"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2.8820651904863843</v>
      </c>
      <c r="AC42" s="115">
        <f>$BP$18/(Implements7[[#This Row],[Width]]*Implements7[[#This Row],[Speed]]*Implements7[[#This Row],[Efficiency]])</f>
        <v>5.7291666666666664E-2</v>
      </c>
      <c r="AD42" s="116">
        <f>IF(Implements7[[#This Row],[Use basis]]=$N$128,Implements7[[#This Row],[Ownership costs ($/hr)]],SUM(Implements7[[#This Row],[Depr ($/ac)2]:[OH ($/ac)]]))</f>
        <v>6.7841186507498845</v>
      </c>
      <c r="AE42" s="118">
        <v>36</v>
      </c>
      <c r="AF42" s="100" t="s">
        <v>471</v>
      </c>
      <c r="AG42" s="116"/>
      <c r="AU42" s="140"/>
      <c r="BC42" s="125" t="s">
        <v>510</v>
      </c>
      <c r="BD42" s="146">
        <v>0.17</v>
      </c>
      <c r="BE42" s="146">
        <v>2.2000000000000002</v>
      </c>
      <c r="BF42" s="146">
        <v>2000</v>
      </c>
      <c r="BG42" s="146">
        <v>0.69269999999999998</v>
      </c>
      <c r="BH42" s="146">
        <v>7.0300000000000001E-2</v>
      </c>
      <c r="BI42" s="146">
        <v>0</v>
      </c>
      <c r="BJ42" s="146">
        <v>1.1999999999999999E-3</v>
      </c>
      <c r="BK42" s="122">
        <f t="shared" si="6"/>
        <v>1.4957290000000002E-2</v>
      </c>
      <c r="BL42" s="146">
        <v>0.12230000000000001</v>
      </c>
      <c r="BM42" s="147"/>
    </row>
    <row r="43" spans="2:65">
      <c r="B43" s="100" t="str">
        <f>Implements7[[#This Row],[Implement type]]&amp;", "&amp;Implements7[[#This Row],[Width]]&amp;" "&amp;Implements7[[#This Row],[Width Unit]]&amp; ", per "&amp;Implements7[[#This Row],[Use basis]]</f>
        <v>Round baler w/net wrap, 30 Ft, per acre</v>
      </c>
      <c r="C43" s="107" t="s">
        <v>486</v>
      </c>
      <c r="D43" s="106">
        <v>30</v>
      </c>
      <c r="E43" s="107" t="s">
        <v>439</v>
      </c>
      <c r="F43" s="106" t="s">
        <v>487</v>
      </c>
      <c r="G43" s="106"/>
      <c r="H43" s="108">
        <v>110000</v>
      </c>
      <c r="I43" s="109">
        <v>0.1</v>
      </c>
      <c r="J43" s="195">
        <f t="shared" si="1"/>
        <v>122222.22222222222</v>
      </c>
      <c r="K43" s="306">
        <f>VLOOKUP(Implements7[[#This Row],[ASABEtype]],ASABECoefficients8[],4,FALSE)/Implements7[[#This Row],[Use (hr/yr)]]</f>
        <v>10</v>
      </c>
      <c r="L43" s="106">
        <v>150</v>
      </c>
      <c r="M43" s="111">
        <f t="shared" si="2"/>
        <v>1772.7272727272727</v>
      </c>
      <c r="N43" s="111" t="s">
        <v>706</v>
      </c>
      <c r="O43" s="106" t="s">
        <v>488</v>
      </c>
      <c r="P43" s="106">
        <v>5</v>
      </c>
      <c r="Q43" s="109">
        <v>0.65</v>
      </c>
      <c r="R43" s="109">
        <v>1.1100000000000001</v>
      </c>
      <c r="S43" s="106">
        <v>120</v>
      </c>
      <c r="T43"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0.30387745405545891</v>
      </c>
      <c r="U43" s="113">
        <f>Implements7[[#This Row],[TradeIn%]]*Implements7[[#This Row],[PriceL]]</f>
        <v>37140.57771788942</v>
      </c>
      <c r="V43" s="114">
        <f>(Implements7[[#This Row],[PriceP]]-Implements7[[#This Row],[TradeIn$]])/Implements7[[#This Row],[Life (yr)]]/Implements7[[#This Row],[Use (hr/yr)]]</f>
        <v>48.572948188073724</v>
      </c>
      <c r="W43" s="114">
        <f>((Implements7[[#This Row],[PriceP]]+Implements7[[#This Row],[TradeIn$]])/2*($BP$7+$BP$8+$BP$9)+Implements7[[#This Row],[Shed (ft^2)]]*$BP$12)/Implements7[[#This Row],[Use (hr/yr)]]</f>
        <v>44.18184559730944</v>
      </c>
      <c r="X43" s="114">
        <f>Implements7[[#This Row],[PriceL]]*(VLOOKUP(Implements7[[#This Row],[ASABEtype]],$BC$6:$BM$52,2)*(Implements7[[#This Row],[Life (yr)]]*Implements7[[#This Row],[Use (hr/yr)]]/1000)^VLOOKUP(Implements7[[#This Row],[ASABEtype]],$BC$6:$BM$52,3))/Implements7[[#This Row],[Life (yr)]]/Implements7[[#This Row],[Use (hr/yr)]]</f>
        <v>72.692840355142863</v>
      </c>
      <c r="Y43" s="114">
        <f>Implements7[[#This Row],[Depr ($/hr)]]+Implements7[[#This Row],[OH ($/hr)]]</f>
        <v>92.754793785383157</v>
      </c>
      <c r="Z43" s="114">
        <f>(Implements7[[#This Row],[PriceP]]-Implements7[[#This Row],[TradeIn$]])/Implements7[[#This Row],[Life (yr)]]/Implements7[[#This Row],[Use (ac/yr)]]</f>
        <v>4.1100186928370075</v>
      </c>
      <c r="AA43" s="114">
        <f>((Implements7[[#This Row],[PriceP]]+Implements7[[#This Row],[TradeIn$]])/2*($BP$7+$BP$8+$BP$9)+Implements7[[#This Row],[Shed (ft^2)]]*$BP$12)/Implements7[[#This Row],[Use (ac/yr)]]</f>
        <v>3.7384638582338754</v>
      </c>
      <c r="AB43"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6.1509326454351649</v>
      </c>
      <c r="AC43" s="115">
        <f>$BP$18/(Implements7[[#This Row],[Width]]*Implements7[[#This Row],[Speed]]*Implements7[[#This Row],[Efficiency]])</f>
        <v>8.461538461538462E-2</v>
      </c>
      <c r="AD43" s="116">
        <f>IF(Implements7[[#This Row],[Use basis]]=$N$128,Implements7[[#This Row],[Ownership costs ($/hr)]],SUM(Implements7[[#This Row],[Depr ($/ac)2]:[OH ($/ac)]]))</f>
        <v>7.8484825510708829</v>
      </c>
      <c r="AE43" s="118">
        <v>34</v>
      </c>
      <c r="AF43" s="100" t="s">
        <v>471</v>
      </c>
      <c r="AG43" s="116"/>
      <c r="AU43" s="166"/>
      <c r="BC43" s="125" t="s">
        <v>500</v>
      </c>
      <c r="BD43" s="146">
        <v>0.32</v>
      </c>
      <c r="BE43" s="146">
        <v>2.1</v>
      </c>
      <c r="BF43" s="146">
        <v>1500</v>
      </c>
      <c r="BG43" s="146">
        <v>0.85540000000000005</v>
      </c>
      <c r="BH43" s="146">
        <v>0.1177</v>
      </c>
      <c r="BI43" s="146">
        <v>0</v>
      </c>
      <c r="BJ43" s="146">
        <v>2.8999999999999998E-3</v>
      </c>
      <c r="BK43" s="122">
        <f t="shared" si="6"/>
        <v>1.6230760000000004E-2</v>
      </c>
      <c r="BL43" s="146">
        <v>0.12740000000000001</v>
      </c>
      <c r="BM43" s="147"/>
    </row>
    <row r="44" spans="2:65">
      <c r="B44" s="100" t="str">
        <f>Implements7[[#This Row],[Implement type]]&amp;", "&amp;Implements7[[#This Row],[Width]]&amp;" "&amp;Implements7[[#This Row],[Width Unit]]&amp; ", per "&amp;Implements7[[#This Row],[Use basis]]</f>
        <v>Round baler, 30 Ft, per acre</v>
      </c>
      <c r="C44" s="107" t="s">
        <v>489</v>
      </c>
      <c r="D44" s="106">
        <v>30</v>
      </c>
      <c r="E44" s="107" t="s">
        <v>439</v>
      </c>
      <c r="F44" s="106" t="s">
        <v>487</v>
      </c>
      <c r="G44" s="106"/>
      <c r="H44" s="108">
        <v>100500</v>
      </c>
      <c r="I44" s="109">
        <v>0.1</v>
      </c>
      <c r="J44" s="195">
        <f t="shared" si="1"/>
        <v>111666.66666666666</v>
      </c>
      <c r="K44" s="306">
        <f>VLOOKUP(Implements7[[#This Row],[ASABEtype]],ASABECoefficients8[],4,FALSE)/Implements7[[#This Row],[Use (hr/yr)]]</f>
        <v>10</v>
      </c>
      <c r="L44" s="106">
        <v>150</v>
      </c>
      <c r="M44" s="111">
        <f t="shared" si="2"/>
        <v>1772.7272727272727</v>
      </c>
      <c r="N44" s="111" t="s">
        <v>706</v>
      </c>
      <c r="O44" s="106" t="s">
        <v>488</v>
      </c>
      <c r="P44" s="106">
        <v>5</v>
      </c>
      <c r="Q44" s="109">
        <v>0.65</v>
      </c>
      <c r="R44" s="109">
        <v>1.1100000000000001</v>
      </c>
      <c r="S44" s="106">
        <v>120</v>
      </c>
      <c r="T44"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0.30387745405545891</v>
      </c>
      <c r="U44" s="113">
        <f>Implements7[[#This Row],[TradeIn%]]*Implements7[[#This Row],[PriceL]]</f>
        <v>33932.982369526238</v>
      </c>
      <c r="V44" s="114">
        <f>(Implements7[[#This Row],[PriceP]]-Implements7[[#This Row],[TradeIn$]])/Implements7[[#This Row],[Life (yr)]]/Implements7[[#This Row],[Use (hr/yr)]]</f>
        <v>44.378011753649176</v>
      </c>
      <c r="W44" s="114">
        <f>((Implements7[[#This Row],[PriceP]]+Implements7[[#This Row],[TradeIn$]])/2*($BP$7+$BP$8+$BP$9)+Implements7[[#This Row],[Shed (ft^2)]]*$BP$12)/Implements7[[#This Row],[Use (hr/yr)]]</f>
        <v>40.433104969542299</v>
      </c>
      <c r="X44" s="114">
        <f>Implements7[[#This Row],[PriceL]]*(VLOOKUP(Implements7[[#This Row],[ASABEtype]],$BC$6:$BM$52,2)*(Implements7[[#This Row],[Life (yr)]]*Implements7[[#This Row],[Use (hr/yr)]]/1000)^VLOOKUP(Implements7[[#This Row],[ASABEtype]],$BC$6:$BM$52,3))/Implements7[[#This Row],[Life (yr)]]/Implements7[[#This Row],[Use (hr/yr)]]</f>
        <v>66.41482232447143</v>
      </c>
      <c r="Y44" s="114">
        <f>Implements7[[#This Row],[Depr ($/hr)]]+Implements7[[#This Row],[OH ($/hr)]]</f>
        <v>84.811116723191475</v>
      </c>
      <c r="Z44" s="114">
        <f>(Implements7[[#This Row],[PriceP]]-Implements7[[#This Row],[TradeIn$]])/Implements7[[#This Row],[Life (yr)]]/Implements7[[#This Row],[Use (ac/yr)]]</f>
        <v>3.7550625330010843</v>
      </c>
      <c r="AA44" s="114">
        <f>((Implements7[[#This Row],[PriceP]]+Implements7[[#This Row],[TradeIn$]])/2*($BP$7+$BP$8+$BP$9)+Implements7[[#This Row],[Shed (ft^2)]]*$BP$12)/Implements7[[#This Row],[Use (ac/yr)]]</f>
        <v>3.4212627281920405</v>
      </c>
      <c r="AB44"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5.619715735147583</v>
      </c>
      <c r="AC44" s="115">
        <f>$BP$18/(Implements7[[#This Row],[Width]]*Implements7[[#This Row],[Speed]]*Implements7[[#This Row],[Efficiency]])</f>
        <v>8.461538461538462E-2</v>
      </c>
      <c r="AD44" s="116">
        <f>IF(Implements7[[#This Row],[Use basis]]=$N$128,Implements7[[#This Row],[Ownership costs ($/hr)]],SUM(Implements7[[#This Row],[Depr ($/ac)2]:[OH ($/ac)]]))</f>
        <v>7.1763252611931243</v>
      </c>
      <c r="AE44" s="118">
        <v>33</v>
      </c>
      <c r="AF44" s="100" t="s">
        <v>471</v>
      </c>
      <c r="AG44" s="116"/>
      <c r="AU44" s="166"/>
      <c r="BC44" s="125" t="s">
        <v>475</v>
      </c>
      <c r="BD44" s="146">
        <v>0.17</v>
      </c>
      <c r="BE44" s="146">
        <v>1.4</v>
      </c>
      <c r="BF44" s="146">
        <v>2500</v>
      </c>
      <c r="BG44" s="146">
        <v>0.80910000000000004</v>
      </c>
      <c r="BH44" s="146">
        <v>0.1109</v>
      </c>
      <c r="BI44" s="146">
        <v>0</v>
      </c>
      <c r="BJ44" s="146">
        <v>1.4E-3</v>
      </c>
      <c r="BK44" s="122">
        <f t="shared" si="6"/>
        <v>1.605289E-2</v>
      </c>
      <c r="BL44" s="146">
        <v>0.12670000000000001</v>
      </c>
      <c r="BM44" s="147"/>
    </row>
    <row r="45" spans="2:65">
      <c r="B45" s="100" t="str">
        <f>Implements7[[#This Row],[Implement type]]&amp;", "&amp;Implements7[[#This Row],[Width]]&amp;" "&amp;Implements7[[#This Row],[Width Unit]]&amp; ", per "&amp;Implements7[[#This Row],[Use basis]]</f>
        <v>Small square baler, twine tie, 20 Ft, per acre</v>
      </c>
      <c r="C45" s="105" t="s">
        <v>490</v>
      </c>
      <c r="D45" s="106">
        <v>20</v>
      </c>
      <c r="E45" s="107" t="s">
        <v>439</v>
      </c>
      <c r="F45" s="106" t="s">
        <v>66</v>
      </c>
      <c r="G45" s="106" t="s">
        <v>66</v>
      </c>
      <c r="H45" s="108">
        <v>36000</v>
      </c>
      <c r="I45" s="109">
        <v>0.1</v>
      </c>
      <c r="J45" s="195">
        <f t="shared" si="1"/>
        <v>40000</v>
      </c>
      <c r="K45" s="306">
        <f>VLOOKUP(Implements7[[#This Row],[ASABEtype]],ASABECoefficients8[],4,FALSE)/Implements7[[#This Row],[Use (hr/yr)]]</f>
        <v>20</v>
      </c>
      <c r="L45" s="106">
        <v>100</v>
      </c>
      <c r="M45" s="111">
        <f t="shared" si="2"/>
        <v>727.27272727272725</v>
      </c>
      <c r="N45" s="111" t="s">
        <v>706</v>
      </c>
      <c r="O45" s="106" t="s">
        <v>491</v>
      </c>
      <c r="P45" s="106">
        <v>4</v>
      </c>
      <c r="Q45" s="109">
        <v>0.75</v>
      </c>
      <c r="R45" s="109">
        <v>1.1100000000000001</v>
      </c>
      <c r="S45" s="106">
        <v>184</v>
      </c>
      <c r="T45"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0.16588693183050801</v>
      </c>
      <c r="U45" s="113">
        <f>Implements7[[#This Row],[TradeIn%]]*Implements7[[#This Row],[PriceL]]</f>
        <v>6635.4772732203201</v>
      </c>
      <c r="V45" s="114">
        <f>(Implements7[[#This Row],[PriceP]]-Implements7[[#This Row],[TradeIn$]])/Implements7[[#This Row],[Life (yr)]]/Implements7[[#This Row],[Use (hr/yr)]]</f>
        <v>14.68226136338984</v>
      </c>
      <c r="W45" s="114">
        <f>((Implements7[[#This Row],[PriceP]]+Implements7[[#This Row],[TradeIn$]])/2*($BP$7+$BP$8+$BP$9)+Implements7[[#This Row],[Shed (ft^2)]]*$BP$12)/Implements7[[#This Row],[Use (hr/yr)]]</f>
        <v>20.649561585623729</v>
      </c>
      <c r="X45" s="114">
        <f>Implements7[[#This Row],[PriceL]]*(VLOOKUP(Implements7[[#This Row],[ASABEtype]],$BC$6:$BM$52,2)*(Implements7[[#This Row],[Life (yr)]]*Implements7[[#This Row],[Use (hr/yr)]]/1000)^VLOOKUP(Implements7[[#This Row],[ASABEtype]],$BC$6:$BM$52,3))/Implements7[[#This Row],[Life (yr)]]/Implements7[[#This Row],[Use (hr/yr)]]</f>
        <v>16.018130364648684</v>
      </c>
      <c r="Y45" s="114">
        <f>Implements7[[#This Row],[Depr ($/hr)]]+Implements7[[#This Row],[OH ($/hr)]]</f>
        <v>35.331822949013571</v>
      </c>
      <c r="Z45" s="114">
        <f>(Implements7[[#This Row],[PriceP]]-Implements7[[#This Row],[TradeIn$]])/Implements7[[#This Row],[Life (yr)]]/Implements7[[#This Row],[Use (ac/yr)]]</f>
        <v>2.0188109374661027</v>
      </c>
      <c r="AA45" s="114">
        <f>((Implements7[[#This Row],[PriceP]]+Implements7[[#This Row],[TradeIn$]])/2*($BP$7+$BP$8+$BP$9)+Implements7[[#This Row],[Shed (ft^2)]]*$BP$12)/Implements7[[#This Row],[Use (ac/yr)]]</f>
        <v>2.8393147180232625</v>
      </c>
      <c r="AB45"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2.202492925139194</v>
      </c>
      <c r="AC45" s="115">
        <f>$BP$18/(Implements7[[#This Row],[Width]]*Implements7[[#This Row],[Speed]]*Implements7[[#This Row],[Efficiency]])</f>
        <v>0.13750000000000001</v>
      </c>
      <c r="AD45" s="116">
        <f>IF(Implements7[[#This Row],[Use basis]]=$N$128,Implements7[[#This Row],[Ownership costs ($/hr)]],SUM(Implements7[[#This Row],[Depr ($/ac)2]:[OH ($/ac)]]))</f>
        <v>4.8581256554893653</v>
      </c>
      <c r="AE45" s="118">
        <v>32</v>
      </c>
      <c r="AF45" s="100" t="s">
        <v>471</v>
      </c>
      <c r="AG45" s="116"/>
      <c r="BC45" s="100" t="s">
        <v>440</v>
      </c>
      <c r="BD45" s="101">
        <v>7.0000000000000001E-3</v>
      </c>
      <c r="BE45" s="101">
        <v>2</v>
      </c>
      <c r="BF45" s="101">
        <v>3000</v>
      </c>
      <c r="BG45" s="101">
        <v>0.72750000000000004</v>
      </c>
      <c r="BH45" s="101">
        <v>8.0600000000000005E-2</v>
      </c>
      <c r="BI45" s="101">
        <v>2.5000000000000001E-3</v>
      </c>
      <c r="BJ45" s="101">
        <v>4.0000000000000001E-3</v>
      </c>
      <c r="BK45" s="100">
        <v>8.1199999999999994E-2</v>
      </c>
      <c r="BL45" s="146"/>
      <c r="BM45" s="147"/>
    </row>
    <row r="46" spans="2:65">
      <c r="B46" s="100" t="str">
        <f>Implements7[[#This Row],[Implement type]]&amp;", "&amp;Implements7[[#This Row],[Width]]&amp;" "&amp;Implements7[[#This Row],[Width Unit]]&amp; ", per "&amp;Implements7[[#This Row],[Use basis]]</f>
        <v>Rotary Mower (brush hog), 15 Ft Folding, per acre</v>
      </c>
      <c r="C46" s="105" t="s">
        <v>492</v>
      </c>
      <c r="D46" s="106">
        <v>15</v>
      </c>
      <c r="E46" s="107" t="s">
        <v>458</v>
      </c>
      <c r="F46" s="106"/>
      <c r="G46" s="105"/>
      <c r="H46" s="108">
        <v>28000</v>
      </c>
      <c r="I46" s="109">
        <v>0.1</v>
      </c>
      <c r="J46" s="195">
        <f t="shared" si="1"/>
        <v>31111.111111111109</v>
      </c>
      <c r="K46" s="306">
        <f>VLOOKUP(Implements7[[#This Row],[ASABEtype]],ASABECoefficients8[],4,FALSE)/Implements7[[#This Row],[Use (hr/yr)]]</f>
        <v>20</v>
      </c>
      <c r="L46" s="106">
        <v>100</v>
      </c>
      <c r="M46" s="111">
        <f t="shared" si="2"/>
        <v>772.72727272727275</v>
      </c>
      <c r="N46" s="111" t="s">
        <v>706</v>
      </c>
      <c r="O46" s="106" t="s">
        <v>470</v>
      </c>
      <c r="P46" s="106">
        <v>5</v>
      </c>
      <c r="Q46" s="109">
        <v>0.85</v>
      </c>
      <c r="R46" s="109">
        <v>1.04</v>
      </c>
      <c r="S46" s="106">
        <v>130</v>
      </c>
      <c r="T46"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0.20998817728607747</v>
      </c>
      <c r="U46" s="113">
        <f>Implements7[[#This Row],[TradeIn%]]*Implements7[[#This Row],[PriceL]]</f>
        <v>6532.9655155668543</v>
      </c>
      <c r="V46" s="114">
        <f>(Implements7[[#This Row],[PriceP]]-Implements7[[#This Row],[TradeIn$]])/Implements7[[#This Row],[Life (yr)]]/Implements7[[#This Row],[Use (hr/yr)]]</f>
        <v>10.733517242216571</v>
      </c>
      <c r="W46" s="114">
        <f>((Implements7[[#This Row],[PriceP]]+Implements7[[#This Row],[TradeIn$]])/2*($BP$7+$BP$8+$BP$9)+Implements7[[#This Row],[Shed (ft^2)]]*$BP$12)/Implements7[[#This Row],[Use (hr/yr)]]</f>
        <v>16.54082189275293</v>
      </c>
      <c r="X46" s="114">
        <f>Implements7[[#This Row],[PriceL]]*(VLOOKUP(Implements7[[#This Row],[ASABEtype]],$BC$6:$BM$52,2)*(Implements7[[#This Row],[Life (yr)]]*Implements7[[#This Row],[Use (hr/yr)]]/1000)^VLOOKUP(Implements7[[#This Row],[ASABEtype]],$BC$6:$BM$52,3))/Implements7[[#This Row],[Life (yr)]]/Implements7[[#This Row],[Use (hr/yr)]]</f>
        <v>27.37777777777778</v>
      </c>
      <c r="Y46" s="114">
        <f>Implements7[[#This Row],[Depr ($/hr)]]+Implements7[[#This Row],[OH ($/hr)]]</f>
        <v>27.274339134969502</v>
      </c>
      <c r="Z46" s="114">
        <f>(Implements7[[#This Row],[PriceP]]-Implements7[[#This Row],[TradeIn$]])/Implements7[[#This Row],[Life (yr)]]/Implements7[[#This Row],[Use (ac/yr)]]</f>
        <v>1.3890434078162621</v>
      </c>
      <c r="AA46" s="114">
        <f>((Implements7[[#This Row],[PriceP]]+Implements7[[#This Row],[TradeIn$]])/2*($BP$7+$BP$8+$BP$9)+Implements7[[#This Row],[Shed (ft^2)]]*$BP$12)/Implements7[[#This Row],[Use (ac/yr)]]</f>
        <v>2.1405769508268495</v>
      </c>
      <c r="AB46"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3.5430065359477125</v>
      </c>
      <c r="AC46" s="115">
        <f>$BP$18/(Implements7[[#This Row],[Width]]*Implements7[[#This Row],[Speed]]*Implements7[[#This Row],[Efficiency]])</f>
        <v>0.12941176470588237</v>
      </c>
      <c r="AD46" s="116">
        <f>IF(Implements7[[#This Row],[Use basis]]=$N$128,Implements7[[#This Row],[Ownership costs ($/hr)]],SUM(Implements7[[#This Row],[Depr ($/ac)2]:[OH ($/ac)]]))</f>
        <v>3.5296203586431116</v>
      </c>
      <c r="AE46" s="116"/>
      <c r="AF46" s="100" t="s">
        <v>493</v>
      </c>
      <c r="AG46" s="116"/>
      <c r="AU46" s="166"/>
      <c r="BC46" s="125" t="s">
        <v>591</v>
      </c>
      <c r="BD46" s="146">
        <v>0.27</v>
      </c>
      <c r="BE46" s="146">
        <v>1.4</v>
      </c>
      <c r="BF46" s="146">
        <v>2000</v>
      </c>
      <c r="BG46" s="146">
        <v>0.69269999999999998</v>
      </c>
      <c r="BH46" s="146">
        <v>7.0300000000000001E-2</v>
      </c>
      <c r="BI46" s="146">
        <v>0</v>
      </c>
      <c r="BJ46" s="146">
        <v>1.1999999999999999E-3</v>
      </c>
      <c r="BK46" s="122">
        <f t="shared" ref="BK46:BK52" si="8">BL46^2</f>
        <v>1.4957290000000002E-2</v>
      </c>
      <c r="BL46" s="146">
        <v>0.12230000000000001</v>
      </c>
      <c r="BM46" s="147"/>
    </row>
    <row r="47" spans="2:65">
      <c r="B47" s="100" t="str">
        <f>Implements7[[#This Row],[Implement type]]&amp;", "&amp;Implements7[[#This Row],[Width]]&amp;" "&amp;Implements7[[#This Row],[Width Unit]]&amp; ", per "&amp;Implements7[[#This Row],[Use basis]]</f>
        <v>Stalk shredder, 20 Ft, per acre</v>
      </c>
      <c r="C47" s="105" t="s">
        <v>494</v>
      </c>
      <c r="D47" s="106">
        <v>20</v>
      </c>
      <c r="E47" s="107" t="s">
        <v>439</v>
      </c>
      <c r="F47" s="106"/>
      <c r="G47" s="106"/>
      <c r="H47" s="108">
        <v>39000</v>
      </c>
      <c r="I47" s="109">
        <v>0.1</v>
      </c>
      <c r="J47" s="195">
        <f t="shared" si="1"/>
        <v>43333.333333333336</v>
      </c>
      <c r="K47" s="306">
        <f>VLOOKUP(Implements7[[#This Row],[ASABEtype]],ASABECoefficients8[],4,FALSE)/Implements7[[#This Row],[Use (hr/yr)]]</f>
        <v>12</v>
      </c>
      <c r="L47" s="106">
        <v>100</v>
      </c>
      <c r="M47" s="111">
        <f t="shared" si="2"/>
        <v>775.75757575757575</v>
      </c>
      <c r="N47" s="111" t="s">
        <v>706</v>
      </c>
      <c r="O47" s="106" t="s">
        <v>465</v>
      </c>
      <c r="P47" s="106">
        <v>4</v>
      </c>
      <c r="Q47" s="109">
        <v>0.8</v>
      </c>
      <c r="R47" s="109">
        <v>1.1000000000000001</v>
      </c>
      <c r="S47" s="106">
        <v>231</v>
      </c>
      <c r="T47"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0.28329577093478608</v>
      </c>
      <c r="U47" s="113">
        <f>Implements7[[#This Row],[TradeIn%]]*Implements7[[#This Row],[PriceL]]</f>
        <v>12276.15007384073</v>
      </c>
      <c r="V47" s="114">
        <f>(Implements7[[#This Row],[PriceP]]-Implements7[[#This Row],[TradeIn$]])/Implements7[[#This Row],[Life (yr)]]/Implements7[[#This Row],[Use (hr/yr)]]</f>
        <v>22.26987493846606</v>
      </c>
      <c r="W47" s="114">
        <f>((Implements7[[#This Row],[PriceP]]+Implements7[[#This Row],[TradeIn$]])/2*($BP$7+$BP$8+$BP$9)+Implements7[[#This Row],[Shed (ft^2)]]*$BP$12)/Implements7[[#This Row],[Use (hr/yr)]]</f>
        <v>24.928592212585844</v>
      </c>
      <c r="X47" s="114">
        <f>Implements7[[#This Row],[PriceL]]*(VLOOKUP(Implements7[[#This Row],[ASABEtype]],$BC$6:$BM$52,2)*(Implements7[[#This Row],[Life (yr)]]*Implements7[[#This Row],[Use (hr/yr)]]/1000)^VLOOKUP(Implements7[[#This Row],[ASABEtype]],$BC$6:$BM$52,3))/Implements7[[#This Row],[Life (yr)]]/Implements7[[#This Row],[Use (hr/yr)]]</f>
        <v>13.051265584115185</v>
      </c>
      <c r="Y47" s="114">
        <f>Implements7[[#This Row],[Depr ($/hr)]]+Implements7[[#This Row],[OH ($/hr)]]</f>
        <v>47.198467151051901</v>
      </c>
      <c r="Z47" s="114">
        <f>(Implements7[[#This Row],[PriceP]]-Implements7[[#This Row],[TradeIn$]])/Implements7[[#This Row],[Life (yr)]]/Implements7[[#This Row],[Use (ac/yr)]]</f>
        <v>2.8707260662866405</v>
      </c>
      <c r="AA47" s="114">
        <f>((Implements7[[#This Row],[PriceP]]+Implements7[[#This Row],[TradeIn$]])/2*($BP$7+$BP$8+$BP$9)+Implements7[[#This Row],[Shed (ft^2)]]*$BP$12)/Implements7[[#This Row],[Use (ac/yr)]]</f>
        <v>3.213451339903644</v>
      </c>
      <c r="AB47"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1.6823897042023481</v>
      </c>
      <c r="AC47" s="115">
        <f>$BP$18/(Implements7[[#This Row],[Width]]*Implements7[[#This Row],[Speed]]*Implements7[[#This Row],[Efficiency]])</f>
        <v>0.12890625</v>
      </c>
      <c r="AD47" s="116">
        <f>IF(Implements7[[#This Row],[Use basis]]=$N$128,Implements7[[#This Row],[Ownership costs ($/hr)]],SUM(Implements7[[#This Row],[Depr ($/ac)2]:[OH ($/ac)]]))</f>
        <v>6.0841774061902845</v>
      </c>
      <c r="AE47" s="118">
        <v>27</v>
      </c>
      <c r="AF47" s="100" t="s">
        <v>493</v>
      </c>
      <c r="AG47" s="116"/>
      <c r="AU47" s="166"/>
      <c r="BC47" s="125" t="s">
        <v>592</v>
      </c>
      <c r="BD47" s="146">
        <v>0.59</v>
      </c>
      <c r="BE47" s="146">
        <v>1.3</v>
      </c>
      <c r="BF47" s="146">
        <v>1500</v>
      </c>
      <c r="BG47" s="146">
        <v>0.71940000000000004</v>
      </c>
      <c r="BH47" s="146">
        <v>0.11020000000000001</v>
      </c>
      <c r="BI47" s="146">
        <v>0</v>
      </c>
      <c r="BJ47" s="146">
        <v>3.0000000000000001E-3</v>
      </c>
      <c r="BK47" s="122">
        <f t="shared" si="8"/>
        <v>1.4713690000000001E-2</v>
      </c>
      <c r="BL47" s="146">
        <v>0.12130000000000001</v>
      </c>
      <c r="BM47" s="147"/>
    </row>
    <row r="48" spans="2:65">
      <c r="B48" s="100" t="str">
        <f>Implements7[[#This Row],[Implement type]]&amp;", "&amp;Implements7[[#This Row],[Width]]&amp;" "&amp;Implements7[[#This Row],[Width Unit]]&amp; ", per "&amp;Implements7[[#This Row],[Use basis]]</f>
        <v>Air seeder drill w/cart, 52 Ft Folding, per acre</v>
      </c>
      <c r="C48" s="105" t="s">
        <v>495</v>
      </c>
      <c r="D48" s="106">
        <v>52</v>
      </c>
      <c r="E48" s="107" t="str">
        <f>IF(D48&gt;15,"Ft Folding","Ft")</f>
        <v>Ft Folding</v>
      </c>
      <c r="F48" s="106"/>
      <c r="G48" s="106"/>
      <c r="H48" s="108">
        <v>339000</v>
      </c>
      <c r="I48" s="109">
        <v>0.1</v>
      </c>
      <c r="J48" s="195">
        <f t="shared" si="1"/>
        <v>376666.66666666669</v>
      </c>
      <c r="K48" s="306">
        <f>VLOOKUP(Implements7[[#This Row],[ASABEtype]],ASABECoefficients8[],4,FALSE)/Implements7[[#This Row],[Use (hr/yr)]]</f>
        <v>15</v>
      </c>
      <c r="L48" s="106">
        <v>100</v>
      </c>
      <c r="M48" s="111">
        <f t="shared" si="2"/>
        <v>2206.060606060606</v>
      </c>
      <c r="N48" s="111" t="s">
        <v>706</v>
      </c>
      <c r="O48" s="106" t="s">
        <v>496</v>
      </c>
      <c r="P48" s="106">
        <v>5</v>
      </c>
      <c r="Q48" s="109">
        <v>0.7</v>
      </c>
      <c r="R48" s="109">
        <v>1.1100000000000001</v>
      </c>
      <c r="S48" s="106">
        <v>270</v>
      </c>
      <c r="T48"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0.19764206158392389</v>
      </c>
      <c r="U48" s="113">
        <f>Implements7[[#This Row],[TradeIn%]]*Implements7[[#This Row],[PriceL]]</f>
        <v>74445.176529944671</v>
      </c>
      <c r="V48" s="114">
        <f>(Implements7[[#This Row],[PriceP]]-Implements7[[#This Row],[TradeIn$]])/Implements7[[#This Row],[Life (yr)]]/Implements7[[#This Row],[Use (hr/yr)]]</f>
        <v>176.36988231337025</v>
      </c>
      <c r="W48" s="114">
        <f>((Implements7[[#This Row],[PriceP]]+Implements7[[#This Row],[TradeIn$]])/2*($BP$7+$BP$8+$BP$9)+Implements7[[#This Row],[Shed (ft^2)]]*$BP$12)/Implements7[[#This Row],[Use (hr/yr)]]</f>
        <v>185.56638181504619</v>
      </c>
      <c r="X48" s="114">
        <f>Implements7[[#This Row],[PriceL]]*(VLOOKUP(Implements7[[#This Row],[ASABEtype]],$BC$6:$BM$52,2)*(Implements7[[#This Row],[Life (yr)]]*Implements7[[#This Row],[Use (hr/yr)]]/1000)^VLOOKUP(Implements7[[#This Row],[ASABEtype]],$BC$6:$BM$52,3))/Implements7[[#This Row],[Life (yr)]]/Implements7[[#This Row],[Use (hr/yr)]]</f>
        <v>188.28145771382788</v>
      </c>
      <c r="Y48" s="114">
        <f>Implements7[[#This Row],[Depr ($/hr)]]+Implements7[[#This Row],[OH ($/hr)]]</f>
        <v>361.93626412841644</v>
      </c>
      <c r="Z48" s="114">
        <f>(Implements7[[#This Row],[PriceP]]-Implements7[[#This Row],[TradeIn$]])/Implements7[[#This Row],[Life (yr)]]/Implements7[[#This Row],[Use (ac/yr)]]</f>
        <v>7.9947886213478272</v>
      </c>
      <c r="AA48" s="114">
        <f>((Implements7[[#This Row],[PriceP]]+Implements7[[#This Row],[TradeIn$]])/2*($BP$7+$BP$8+$BP$9)+Implements7[[#This Row],[Shed (ft^2)]]*$BP$12)/Implements7[[#This Row],[Use (ac/yr)]]</f>
        <v>8.4116629119457755</v>
      </c>
      <c r="AB48"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8.5347364073575829</v>
      </c>
      <c r="AC48" s="115">
        <f>$BP$18/(Implements7[[#This Row],[Width]]*Implements7[[#This Row],[Speed]]*Implements7[[#This Row],[Efficiency]])</f>
        <v>4.5329670329670328E-2</v>
      </c>
      <c r="AD48" s="116">
        <f>IF(Implements7[[#This Row],[Use basis]]=$N$128,Implements7[[#This Row],[Ownership costs ($/hr)]],SUM(Implements7[[#This Row],[Depr ($/ac)2]:[OH ($/ac)]]))</f>
        <v>16.406451533293602</v>
      </c>
      <c r="AE48" s="118">
        <v>22</v>
      </c>
      <c r="AF48" s="100" t="s">
        <v>497</v>
      </c>
      <c r="AG48" s="116"/>
      <c r="AU48" s="140"/>
      <c r="BC48" s="125" t="s">
        <v>450</v>
      </c>
      <c r="BD48" s="146">
        <v>0.18</v>
      </c>
      <c r="BE48" s="146">
        <v>1.7</v>
      </c>
      <c r="BF48" s="146">
        <v>2000</v>
      </c>
      <c r="BG48" s="146">
        <v>0.71940000000000004</v>
      </c>
      <c r="BH48" s="146">
        <v>0.11020000000000001</v>
      </c>
      <c r="BI48" s="146">
        <v>0</v>
      </c>
      <c r="BJ48" s="146">
        <v>3.0000000000000001E-3</v>
      </c>
      <c r="BK48" s="122">
        <f t="shared" si="8"/>
        <v>1.4713690000000001E-2</v>
      </c>
      <c r="BL48" s="146">
        <v>0.12130000000000001</v>
      </c>
      <c r="BM48" s="147"/>
    </row>
    <row r="49" spans="2:65">
      <c r="B49" s="100" t="str">
        <f>Implements7[[#This Row],[Implement type]]&amp;", "&amp;Implements7[[#This Row],[Width]]&amp;" "&amp;Implements7[[#This Row],[Width Unit]]&amp; ", per "&amp;Implements7[[#This Row],[Use basis]]</f>
        <v>No-till drill, 15 Ft, per acre</v>
      </c>
      <c r="C49" s="105" t="s">
        <v>498</v>
      </c>
      <c r="D49" s="106">
        <v>15</v>
      </c>
      <c r="E49" s="107" t="str">
        <f>IF(D49&gt;15,"Ft Folding","Ft")</f>
        <v>Ft</v>
      </c>
      <c r="F49" s="106"/>
      <c r="G49" s="106"/>
      <c r="H49" s="108">
        <v>75500</v>
      </c>
      <c r="I49" s="109">
        <v>0.1</v>
      </c>
      <c r="J49" s="195">
        <f t="shared" si="1"/>
        <v>83888.888888888891</v>
      </c>
      <c r="K49" s="306">
        <f>VLOOKUP(Implements7[[#This Row],[ASABEtype]],ASABECoefficients8[],4,FALSE)/Implements7[[#This Row],[Use (hr/yr)]]</f>
        <v>15</v>
      </c>
      <c r="L49" s="106">
        <v>100</v>
      </c>
      <c r="M49" s="111">
        <f t="shared" si="2"/>
        <v>636.36363636363637</v>
      </c>
      <c r="N49" s="111" t="s">
        <v>706</v>
      </c>
      <c r="O49" s="106" t="s">
        <v>496</v>
      </c>
      <c r="P49" s="106">
        <v>5</v>
      </c>
      <c r="Q49" s="109">
        <v>0.7</v>
      </c>
      <c r="R49" s="109">
        <v>1.1100000000000001</v>
      </c>
      <c r="S49" s="106">
        <v>160</v>
      </c>
      <c r="T49"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0.19764206158392389</v>
      </c>
      <c r="U49" s="113">
        <f>Implements7[[#This Row],[TradeIn%]]*Implements7[[#This Row],[PriceL]]</f>
        <v>16579.972943984725</v>
      </c>
      <c r="V49" s="114">
        <f>(Implements7[[#This Row],[PriceP]]-Implements7[[#This Row],[TradeIn$]])/Implements7[[#This Row],[Life (yr)]]/Implements7[[#This Row],[Use (hr/yr)]]</f>
        <v>39.280018037343517</v>
      </c>
      <c r="W49" s="114">
        <f>((Implements7[[#This Row],[PriceP]]+Implements7[[#This Row],[TradeIn$]])/2*($BP$7+$BP$8+$BP$9)+Implements7[[#This Row],[Shed (ft^2)]]*$BP$12)/Implements7[[#This Row],[Use (hr/yr)]]</f>
        <v>42.296138368777356</v>
      </c>
      <c r="X49" s="114">
        <f>Implements7[[#This Row],[PriceL]]*(VLOOKUP(Implements7[[#This Row],[ASABEtype]],$BC$6:$BM$52,2)*(Implements7[[#This Row],[Life (yr)]]*Implements7[[#This Row],[Use (hr/yr)]]/1000)^VLOOKUP(Implements7[[#This Row],[ASABEtype]],$BC$6:$BM$52,3))/Implements7[[#This Row],[Life (yr)]]/Implements7[[#This Row],[Use (hr/yr)]]</f>
        <v>41.932891024761076</v>
      </c>
      <c r="Y49" s="114">
        <f>Implements7[[#This Row],[Depr ($/hr)]]+Implements7[[#This Row],[OH ($/hr)]]</f>
        <v>81.576156406120873</v>
      </c>
      <c r="Z49" s="114">
        <f>(Implements7[[#This Row],[PriceP]]-Implements7[[#This Row],[TradeIn$]])/Implements7[[#This Row],[Life (yr)]]/Implements7[[#This Row],[Use (ac/yr)]]</f>
        <v>6.172574263011124</v>
      </c>
      <c r="AA49" s="114">
        <f>((Implements7[[#This Row],[PriceP]]+Implements7[[#This Row],[TradeIn$]])/2*($BP$7+$BP$8+$BP$9)+Implements7[[#This Row],[Shed (ft^2)]]*$BP$12)/Implements7[[#This Row],[Use (ac/yr)]]</f>
        <v>6.6465360293792983</v>
      </c>
      <c r="AB49"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6.589454303891026</v>
      </c>
      <c r="AC49" s="115">
        <f>$BP$18/(Implements7[[#This Row],[Width]]*Implements7[[#This Row],[Speed]]*Implements7[[#This Row],[Efficiency]])</f>
        <v>0.15714285714285714</v>
      </c>
      <c r="AD49" s="116">
        <f>IF(Implements7[[#This Row],[Use basis]]=$N$128,Implements7[[#This Row],[Ownership costs ($/hr)]],SUM(Implements7[[#This Row],[Depr ($/ac)2]:[OH ($/ac)]]))</f>
        <v>12.819110292390423</v>
      </c>
      <c r="AE49" s="118">
        <v>23</v>
      </c>
      <c r="AF49" s="100" t="s">
        <v>497</v>
      </c>
      <c r="AG49" s="116"/>
      <c r="AU49" s="166"/>
      <c r="BC49" s="125" t="s">
        <v>482</v>
      </c>
      <c r="BD49" s="146">
        <v>1.4999999999999999E-2</v>
      </c>
      <c r="BE49" s="146">
        <v>1.6</v>
      </c>
      <c r="BF49" s="146">
        <v>5000</v>
      </c>
      <c r="BG49" s="146">
        <v>0.80910000000000004</v>
      </c>
      <c r="BH49" s="146">
        <v>0.1109</v>
      </c>
      <c r="BI49" s="146">
        <v>0</v>
      </c>
      <c r="BJ49" s="146">
        <v>1.4E-3</v>
      </c>
      <c r="BK49" s="122">
        <f t="shared" si="8"/>
        <v>1.605289E-2</v>
      </c>
      <c r="BL49" s="146">
        <v>0.12670000000000001</v>
      </c>
      <c r="BM49" s="147" t="s">
        <v>583</v>
      </c>
    </row>
    <row r="50" spans="2:65">
      <c r="B50" s="100" t="str">
        <f>Implements7[[#This Row],[Implement type]]&amp;", "&amp;Implements7[[#This Row],[Width]]&amp;" "&amp;Implements7[[#This Row],[Width Unit]]&amp; ", per "&amp;Implements7[[#This Row],[Use basis]]</f>
        <v>Presswheel drill, 16 Ft, per acre</v>
      </c>
      <c r="C50" s="105" t="s">
        <v>499</v>
      </c>
      <c r="D50" s="106">
        <v>16</v>
      </c>
      <c r="E50" s="107" t="str">
        <f>IF(D50&gt;20,"Ft Folding","Ft")</f>
        <v>Ft</v>
      </c>
      <c r="F50" s="106"/>
      <c r="G50" s="106"/>
      <c r="H50" s="108">
        <v>29500</v>
      </c>
      <c r="I50" s="109">
        <v>0.1</v>
      </c>
      <c r="J50" s="195">
        <f t="shared" si="1"/>
        <v>32777.777777777774</v>
      </c>
      <c r="K50" s="306">
        <f>VLOOKUP(Implements7[[#This Row],[ASABEtype]],ASABECoefficients8[],4,FALSE)/Implements7[[#This Row],[Use (hr/yr)]]</f>
        <v>20</v>
      </c>
      <c r="L50" s="106">
        <v>75</v>
      </c>
      <c r="M50" s="111">
        <f t="shared" si="2"/>
        <v>509.09090909090907</v>
      </c>
      <c r="N50" s="111" t="s">
        <v>706</v>
      </c>
      <c r="O50" s="106" t="s">
        <v>496</v>
      </c>
      <c r="P50" s="106">
        <v>5</v>
      </c>
      <c r="Q50" s="109">
        <v>0.7</v>
      </c>
      <c r="R50" s="109">
        <v>1.1100000000000001</v>
      </c>
      <c r="S50" s="106">
        <v>150</v>
      </c>
      <c r="T50"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0.1168778293117908</v>
      </c>
      <c r="U50" s="113">
        <f>Implements7[[#This Row],[TradeIn%]]*Implements7[[#This Row],[PriceL]]</f>
        <v>3830.9955163309205</v>
      </c>
      <c r="V50" s="114">
        <f>(Implements7[[#This Row],[PriceP]]-Implements7[[#This Row],[TradeIn$]])/Implements7[[#This Row],[Life (yr)]]/Implements7[[#This Row],[Use (hr/yr)]]</f>
        <v>17.112669655779385</v>
      </c>
      <c r="W50" s="114">
        <f>((Implements7[[#This Row],[PriceP]]+Implements7[[#This Row],[TradeIn$]])/2*($BP$7+$BP$8+$BP$9)+Implements7[[#This Row],[Shed (ft^2)]]*$BP$12)/Implements7[[#This Row],[Use (hr/yr)]]</f>
        <v>21.603725280965392</v>
      </c>
      <c r="X50" s="114">
        <f>Implements7[[#This Row],[PriceL]]*(VLOOKUP(Implements7[[#This Row],[ASABEtype]],$BC$6:$BM$52,2)*(Implements7[[#This Row],[Life (yr)]]*Implements7[[#This Row],[Use (hr/yr)]]/1000)^VLOOKUP(Implements7[[#This Row],[ASABEtype]],$BC$6:$BM$52,3))/Implements7[[#This Row],[Life (yr)]]/Implements7[[#This Row],[Use (hr/yr)]]</f>
        <v>16.384374638813927</v>
      </c>
      <c r="Y50" s="114">
        <f>Implements7[[#This Row],[Depr ($/hr)]]+Implements7[[#This Row],[OH ($/hr)]]</f>
        <v>38.716394936744777</v>
      </c>
      <c r="Z50" s="114">
        <f>(Implements7[[#This Row],[PriceP]]-Implements7[[#This Row],[TradeIn$]])/Implements7[[#This Row],[Life (yr)]]/Implements7[[#This Row],[Use (ac/yr)]]</f>
        <v>2.5210629403603559</v>
      </c>
      <c r="AA50" s="114">
        <f>((Implements7[[#This Row],[PriceP]]+Implements7[[#This Row],[TradeIn$]])/2*($BP$7+$BP$8+$BP$9)+Implements7[[#This Row],[Shed (ft^2)]]*$BP$12)/Implements7[[#This Row],[Use (ac/yr)]]</f>
        <v>3.1826916708565087</v>
      </c>
      <c r="AB50"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2.4137694780395518</v>
      </c>
      <c r="AC50" s="115">
        <f>$BP$18/(Implements7[[#This Row],[Width]]*Implements7[[#This Row],[Speed]]*Implements7[[#This Row],[Efficiency]])</f>
        <v>0.14732142857142858</v>
      </c>
      <c r="AD50" s="116">
        <f>IF(Implements7[[#This Row],[Use basis]]=$N$128,Implements7[[#This Row],[Ownership costs ($/hr)]],SUM(Implements7[[#This Row],[Depr ($/ac)2]:[OH ($/ac)]]))</f>
        <v>5.7037546112168647</v>
      </c>
      <c r="AE50" s="118">
        <v>18</v>
      </c>
      <c r="AF50" s="100" t="s">
        <v>497</v>
      </c>
      <c r="AG50" s="116"/>
      <c r="BC50" s="125" t="s">
        <v>522</v>
      </c>
      <c r="BD50" s="146">
        <v>7.0000000000000001E-3</v>
      </c>
      <c r="BE50" s="146">
        <v>2</v>
      </c>
      <c r="BF50" s="146">
        <v>8000</v>
      </c>
      <c r="BG50" s="146">
        <v>0.84930000000000005</v>
      </c>
      <c r="BH50" s="146">
        <v>9.6600000000000005E-2</v>
      </c>
      <c r="BI50" s="146">
        <v>5.8999999999999999E-3</v>
      </c>
      <c r="BJ50" s="146">
        <v>3.8E-3</v>
      </c>
      <c r="BK50" s="122">
        <f t="shared" si="8"/>
        <v>1.1278440000000001E-2</v>
      </c>
      <c r="BL50" s="146">
        <v>0.1062</v>
      </c>
      <c r="BM50" s="147"/>
    </row>
    <row r="51" spans="2:65">
      <c r="B51" s="100" t="str">
        <f>Implements7[[#This Row],[Implement type]]&amp;", "&amp;Implements7[[#This Row],[Width]]&amp;" "&amp;Implements7[[#This Row],[Width Unit]]&amp; ", per "&amp;Implements7[[#This Row],[Use basis]]</f>
        <v>Presswheel drill, 20 Ft, per acre</v>
      </c>
      <c r="C51" s="105" t="s">
        <v>499</v>
      </c>
      <c r="D51" s="106">
        <v>20</v>
      </c>
      <c r="E51" s="107" t="str">
        <f>IF(D51&gt;20,"Ft Folding","Ft")</f>
        <v>Ft</v>
      </c>
      <c r="F51" s="106"/>
      <c r="G51" s="106"/>
      <c r="H51" s="108">
        <v>35000</v>
      </c>
      <c r="I51" s="109">
        <v>0.1</v>
      </c>
      <c r="J51" s="195">
        <f t="shared" si="1"/>
        <v>38888.888888888891</v>
      </c>
      <c r="K51" s="306">
        <f>VLOOKUP(Implements7[[#This Row],[ASABEtype]],ASABECoefficients8[],4,FALSE)/Implements7[[#This Row],[Use (hr/yr)]]</f>
        <v>20</v>
      </c>
      <c r="L51" s="106">
        <v>75</v>
      </c>
      <c r="M51" s="111">
        <f t="shared" si="2"/>
        <v>636.36363636363637</v>
      </c>
      <c r="N51" s="111" t="s">
        <v>706</v>
      </c>
      <c r="O51" s="106" t="s">
        <v>496</v>
      </c>
      <c r="P51" s="106">
        <v>5</v>
      </c>
      <c r="Q51" s="109">
        <v>0.7</v>
      </c>
      <c r="R51" s="109">
        <v>1.1100000000000001</v>
      </c>
      <c r="S51" s="106">
        <v>185</v>
      </c>
      <c r="T51"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0.1168778293117908</v>
      </c>
      <c r="U51" s="113">
        <f>Implements7[[#This Row],[TradeIn%]]*Implements7[[#This Row],[PriceL]]</f>
        <v>4545.2489176807539</v>
      </c>
      <c r="V51" s="114">
        <f>(Implements7[[#This Row],[PriceP]]-Implements7[[#This Row],[TradeIn$]])/Implements7[[#This Row],[Life (yr)]]/Implements7[[#This Row],[Use (hr/yr)]]</f>
        <v>20.303167388212831</v>
      </c>
      <c r="W51" s="114">
        <f>((Implements7[[#This Row],[PriceP]]+Implements7[[#This Row],[TradeIn$]])/2*($BP$7+$BP$8+$BP$9)+Implements7[[#This Row],[Shed (ft^2)]]*$BP$12)/Implements7[[#This Row],[Use (hr/yr)]]</f>
        <v>25.722436970572165</v>
      </c>
      <c r="X51" s="114">
        <f>Implements7[[#This Row],[PriceL]]*(VLOOKUP(Implements7[[#This Row],[ASABEtype]],$BC$6:$BM$52,2)*(Implements7[[#This Row],[Life (yr)]]*Implements7[[#This Row],[Use (hr/yr)]]/1000)^VLOOKUP(Implements7[[#This Row],[ASABEtype]],$BC$6:$BM$52,3))/Implements7[[#This Row],[Life (yr)]]/Implements7[[#This Row],[Use (hr/yr)]]</f>
        <v>19.439088554525</v>
      </c>
      <c r="Y51" s="114">
        <f>Implements7[[#This Row],[Depr ($/hr)]]+Implements7[[#This Row],[OH ($/hr)]]</f>
        <v>46.025604358784996</v>
      </c>
      <c r="Z51" s="114">
        <f>(Implements7[[#This Row],[PriceP]]-Implements7[[#This Row],[TradeIn$]])/Implements7[[#This Row],[Life (yr)]]/Implements7[[#This Row],[Use (ac/yr)]]</f>
        <v>2.3928732993250836</v>
      </c>
      <c r="AA51" s="114">
        <f>((Implements7[[#This Row],[PriceP]]+Implements7[[#This Row],[TradeIn$]])/2*($BP$7+$BP$8+$BP$9)+Implements7[[#This Row],[Shed (ft^2)]]*$BP$12)/Implements7[[#This Row],[Use (ac/yr)]]</f>
        <v>3.0315729286745765</v>
      </c>
      <c r="AB51"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2.2910354367833037</v>
      </c>
      <c r="AC51" s="115">
        <f>$BP$18/(Implements7[[#This Row],[Width]]*Implements7[[#This Row],[Speed]]*Implements7[[#This Row],[Efficiency]])</f>
        <v>0.11785714285714285</v>
      </c>
      <c r="AD51" s="116">
        <f>IF(Implements7[[#This Row],[Use basis]]=$N$128,Implements7[[#This Row],[Ownership costs ($/hr)]],SUM(Implements7[[#This Row],[Depr ($/ac)2]:[OH ($/ac)]]))</f>
        <v>5.4244462279996597</v>
      </c>
      <c r="AE51" s="118">
        <v>19</v>
      </c>
      <c r="AF51" s="100" t="s">
        <v>497</v>
      </c>
      <c r="AG51" s="116"/>
      <c r="BC51" s="125" t="s">
        <v>468</v>
      </c>
      <c r="BD51" s="146">
        <v>0.19</v>
      </c>
      <c r="BE51" s="146">
        <v>1.3</v>
      </c>
      <c r="BF51" s="146">
        <v>3000</v>
      </c>
      <c r="BG51" s="146">
        <v>0.80910000000000004</v>
      </c>
      <c r="BH51" s="146">
        <v>0.1109</v>
      </c>
      <c r="BI51" s="146">
        <v>0</v>
      </c>
      <c r="BJ51" s="146">
        <v>1.4E-3</v>
      </c>
      <c r="BK51" s="122">
        <f t="shared" si="8"/>
        <v>1.605289E-2</v>
      </c>
      <c r="BL51" s="146">
        <v>0.12670000000000001</v>
      </c>
      <c r="BM51" s="147"/>
    </row>
    <row r="52" spans="2:65">
      <c r="B52" s="100" t="str">
        <f>Implements7[[#This Row],[Implement type]]&amp;", "&amp;Implements7[[#This Row],[Width]]&amp;" "&amp;Implements7[[#This Row],[Width Unit]]&amp; ", per "&amp;Implements7[[#This Row],[Use basis]]</f>
        <v>Presswheel drill, 25 Ft Folding, per acre</v>
      </c>
      <c r="C52" s="105" t="s">
        <v>499</v>
      </c>
      <c r="D52" s="106">
        <v>25</v>
      </c>
      <c r="E52" s="107" t="str">
        <f t="shared" ref="E52:E106" si="9">IF(D52&gt;15,"Ft Folding","Ft")</f>
        <v>Ft Folding</v>
      </c>
      <c r="F52" s="106"/>
      <c r="G52" s="106"/>
      <c r="H52" s="108">
        <v>67500</v>
      </c>
      <c r="I52" s="109">
        <v>0.1</v>
      </c>
      <c r="J52" s="195">
        <f t="shared" si="1"/>
        <v>75000</v>
      </c>
      <c r="K52" s="306">
        <f>VLOOKUP(Implements7[[#This Row],[ASABEtype]],ASABECoefficients8[],4,FALSE)/Implements7[[#This Row],[Use (hr/yr)]]</f>
        <v>20</v>
      </c>
      <c r="L52" s="106">
        <v>75</v>
      </c>
      <c r="M52" s="111">
        <f t="shared" si="2"/>
        <v>795.4545454545455</v>
      </c>
      <c r="N52" s="111" t="s">
        <v>706</v>
      </c>
      <c r="O52" s="106" t="s">
        <v>496</v>
      </c>
      <c r="P52" s="106">
        <v>5</v>
      </c>
      <c r="Q52" s="109">
        <v>0.7</v>
      </c>
      <c r="R52" s="109">
        <v>1.1100000000000001</v>
      </c>
      <c r="S52" s="106">
        <v>230</v>
      </c>
      <c r="T52"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0.1168778293117908</v>
      </c>
      <c r="U52" s="113">
        <f>Implements7[[#This Row],[TradeIn%]]*Implements7[[#This Row],[PriceL]]</f>
        <v>8765.8371983843099</v>
      </c>
      <c r="V52" s="114">
        <f>(Implements7[[#This Row],[PriceP]]-Implements7[[#This Row],[TradeIn$]])/Implements7[[#This Row],[Life (yr)]]/Implements7[[#This Row],[Use (hr/yr)]]</f>
        <v>39.156108534410464</v>
      </c>
      <c r="W52" s="114">
        <f>((Implements7[[#This Row],[PriceP]]+Implements7[[#This Row],[TradeIn$]])/2*($BP$7+$BP$8+$BP$9)+Implements7[[#This Row],[Shed (ft^2)]]*$BP$12)/Implements7[[#This Row],[Use (hr/yr)]]</f>
        <v>47.969115434086298</v>
      </c>
      <c r="X52" s="114">
        <f>Implements7[[#This Row],[PriceL]]*(VLOOKUP(Implements7[[#This Row],[ASABEtype]],$BC$6:$BM$52,2)*(Implements7[[#This Row],[Life (yr)]]*Implements7[[#This Row],[Use (hr/yr)]]/1000)^VLOOKUP(Implements7[[#This Row],[ASABEtype]],$BC$6:$BM$52,3))/Implements7[[#This Row],[Life (yr)]]/Implements7[[#This Row],[Use (hr/yr)]]</f>
        <v>37.489670783726787</v>
      </c>
      <c r="Y52" s="114">
        <f>Implements7[[#This Row],[Depr ($/hr)]]+Implements7[[#This Row],[OH ($/hr)]]</f>
        <v>87.125223968496755</v>
      </c>
      <c r="Z52" s="114">
        <f>(Implements7[[#This Row],[PriceP]]-Implements7[[#This Row],[TradeIn$]])/Implements7[[#This Row],[Life (yr)]]/Implements7[[#This Row],[Use (ac/yr)]]</f>
        <v>3.6918616618158433</v>
      </c>
      <c r="AA52" s="114">
        <f>((Implements7[[#This Row],[PriceP]]+Implements7[[#This Row],[TradeIn$]])/2*($BP$7+$BP$8+$BP$9)+Implements7[[#This Row],[Shed (ft^2)]]*$BP$12)/Implements7[[#This Row],[Use (ac/yr)]]</f>
        <v>4.522802312356708</v>
      </c>
      <c r="AB52"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3.5347403881799537</v>
      </c>
      <c r="AC52" s="115">
        <f>$BP$18/(Implements7[[#This Row],[Width]]*Implements7[[#This Row],[Speed]]*Implements7[[#This Row],[Efficiency]])</f>
        <v>9.4285714285714292E-2</v>
      </c>
      <c r="AD52" s="116">
        <f>IF(Implements7[[#This Row],[Use basis]]=$N$128,Implements7[[#This Row],[Ownership costs ($/hr)]],SUM(Implements7[[#This Row],[Depr ($/ac)2]:[OH ($/ac)]]))</f>
        <v>8.2146639741725522</v>
      </c>
      <c r="AE52" s="118">
        <v>20</v>
      </c>
      <c r="AF52" s="100" t="s">
        <v>497</v>
      </c>
      <c r="AG52" s="116"/>
      <c r="BC52" s="125" t="s">
        <v>476</v>
      </c>
      <c r="BD52" s="146">
        <v>0.06</v>
      </c>
      <c r="BE52" s="146">
        <v>2</v>
      </c>
      <c r="BF52" s="146">
        <v>3000</v>
      </c>
      <c r="BG52" s="146">
        <v>0.72430000000000005</v>
      </c>
      <c r="BH52" s="146">
        <v>0.11269999999999999</v>
      </c>
      <c r="BI52" s="146">
        <v>0</v>
      </c>
      <c r="BJ52" s="146">
        <v>3.3999999999999998E-3</v>
      </c>
      <c r="BK52" s="122">
        <f t="shared" si="8"/>
        <v>1.4113440000000001E-2</v>
      </c>
      <c r="BL52" s="146">
        <v>0.1188</v>
      </c>
      <c r="BM52" s="147"/>
    </row>
    <row r="53" spans="2:65">
      <c r="B53" s="100" t="str">
        <f>Implements7[[#This Row],[Implement type]]&amp;", "&amp;Implements7[[#This Row],[Width]]&amp;" "&amp;Implements7[[#This Row],[Width Unit]]&amp; ", per "&amp;Implements7[[#This Row],[Use basis]]</f>
        <v>Presswheel drill, 30 Ft Folding, per acre</v>
      </c>
      <c r="C53" s="105" t="s">
        <v>499</v>
      </c>
      <c r="D53" s="106">
        <v>30</v>
      </c>
      <c r="E53" s="107" t="str">
        <f t="shared" si="9"/>
        <v>Ft Folding</v>
      </c>
      <c r="F53" s="106"/>
      <c r="G53" s="106"/>
      <c r="H53" s="108">
        <v>85000</v>
      </c>
      <c r="I53" s="109">
        <v>0.1</v>
      </c>
      <c r="J53" s="195">
        <f t="shared" si="1"/>
        <v>94444.444444444438</v>
      </c>
      <c r="K53" s="306">
        <f>VLOOKUP(Implements7[[#This Row],[ASABEtype]],ASABECoefficients8[],4,FALSE)/Implements7[[#This Row],[Use (hr/yr)]]</f>
        <v>20</v>
      </c>
      <c r="L53" s="106">
        <v>75</v>
      </c>
      <c r="M53" s="111">
        <f t="shared" si="2"/>
        <v>954.5454545454545</v>
      </c>
      <c r="N53" s="111" t="s">
        <v>706</v>
      </c>
      <c r="O53" s="106" t="s">
        <v>496</v>
      </c>
      <c r="P53" s="106">
        <v>5</v>
      </c>
      <c r="Q53" s="109">
        <v>0.7</v>
      </c>
      <c r="R53" s="109">
        <v>1.1100000000000001</v>
      </c>
      <c r="S53" s="106">
        <v>240</v>
      </c>
      <c r="T53"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0.1168778293117908</v>
      </c>
      <c r="U53" s="113">
        <f>Implements7[[#This Row],[TradeIn%]]*Implements7[[#This Row],[PriceL]]</f>
        <v>11038.461657224687</v>
      </c>
      <c r="V53" s="114">
        <f>(Implements7[[#This Row],[PriceP]]-Implements7[[#This Row],[TradeIn$]])/Implements7[[#This Row],[Life (yr)]]/Implements7[[#This Row],[Use (hr/yr)]]</f>
        <v>49.307692228516878</v>
      </c>
      <c r="W53" s="114">
        <f>((Implements7[[#This Row],[PriceP]]+Implements7[[#This Row],[TradeIn$]])/2*($BP$7+$BP$8+$BP$9)+Implements7[[#This Row],[Shed (ft^2)]]*$BP$12)/Implements7[[#This Row],[Use (hr/yr)]]</f>
        <v>59.764193059890808</v>
      </c>
      <c r="X53" s="114">
        <f>Implements7[[#This Row],[PriceL]]*(VLOOKUP(Implements7[[#This Row],[ASABEtype]],$BC$6:$BM$52,2)*(Implements7[[#This Row],[Life (yr)]]*Implements7[[#This Row],[Use (hr/yr)]]/1000)^VLOOKUP(Implements7[[#This Row],[ASABEtype]],$BC$6:$BM$52,3))/Implements7[[#This Row],[Life (yr)]]/Implements7[[#This Row],[Use (hr/yr)]]</f>
        <v>47.209215060989287</v>
      </c>
      <c r="Y53" s="114">
        <f>Implements7[[#This Row],[Depr ($/hr)]]+Implements7[[#This Row],[OH ($/hr)]]</f>
        <v>109.07188528840769</v>
      </c>
      <c r="Z53" s="114">
        <f>(Implements7[[#This Row],[PriceP]]-Implements7[[#This Row],[TradeIn$]])/Implements7[[#This Row],[Life (yr)]]/Implements7[[#This Row],[Use (ac/yr)]]</f>
        <v>3.8741758179548973</v>
      </c>
      <c r="AA53" s="114">
        <f>((Implements7[[#This Row],[PriceP]]+Implements7[[#This Row],[TradeIn$]])/2*($BP$7+$BP$8+$BP$9)+Implements7[[#This Row],[Shed (ft^2)]]*$BP$12)/Implements7[[#This Row],[Use (ac/yr)]]</f>
        <v>4.6957580261342784</v>
      </c>
      <c r="AB53"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3.70929546907773</v>
      </c>
      <c r="AC53" s="115">
        <f>$BP$18/(Implements7[[#This Row],[Width]]*Implements7[[#This Row],[Speed]]*Implements7[[#This Row],[Efficiency]])</f>
        <v>7.857142857142857E-2</v>
      </c>
      <c r="AD53" s="116">
        <f>IF(Implements7[[#This Row],[Use basis]]=$N$128,Implements7[[#This Row],[Ownership costs ($/hr)]],SUM(Implements7[[#This Row],[Depr ($/ac)2]:[OH ($/ac)]]))</f>
        <v>8.5699338440891761</v>
      </c>
      <c r="AE53" s="118">
        <v>21</v>
      </c>
      <c r="AF53" s="100" t="s">
        <v>497</v>
      </c>
      <c r="AG53" s="116"/>
    </row>
    <row r="54" spans="2:65">
      <c r="B54" s="100" t="str">
        <f>Implements7[[#This Row],[Implement type]]&amp;", "&amp;Implements7[[#This Row],[Width]]&amp;" "&amp;Implements7[[#This Row],[Width Unit]]&amp; ", per "&amp;Implements7[[#This Row],[Use basis]]</f>
        <v>Row crop planter, 15 Ft, per acre</v>
      </c>
      <c r="C54" s="107" t="s">
        <v>500</v>
      </c>
      <c r="D54" s="106">
        <v>15</v>
      </c>
      <c r="E54" s="107" t="str">
        <f t="shared" si="9"/>
        <v>Ft</v>
      </c>
      <c r="F54" s="106">
        <v>6</v>
      </c>
      <c r="G54" s="106" t="s">
        <v>453</v>
      </c>
      <c r="H54" s="108">
        <v>48000</v>
      </c>
      <c r="I54" s="109">
        <v>0.1</v>
      </c>
      <c r="J54" s="195">
        <f t="shared" si="1"/>
        <v>53333.333333333328</v>
      </c>
      <c r="K54" s="306">
        <f>VLOOKUP(Implements7[[#This Row],[ASABEtype]],ASABECoefficients8[],4,FALSE)/Implements7[[#This Row],[Use (hr/yr)]]</f>
        <v>21.428571428571427</v>
      </c>
      <c r="L54" s="106">
        <v>70</v>
      </c>
      <c r="M54" s="111">
        <f t="shared" si="2"/>
        <v>489.99999999999994</v>
      </c>
      <c r="N54" s="111" t="s">
        <v>706</v>
      </c>
      <c r="O54" s="106" t="s">
        <v>500</v>
      </c>
      <c r="P54" s="106">
        <v>5.5</v>
      </c>
      <c r="Q54" s="109">
        <v>0.7</v>
      </c>
      <c r="R54" s="109">
        <v>1.1599999999999999</v>
      </c>
      <c r="S54" s="106">
        <v>200</v>
      </c>
      <c r="T54"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0.24939597720205059</v>
      </c>
      <c r="U54" s="113">
        <f>Implements7[[#This Row],[TradeIn%]]*Implements7[[#This Row],[PriceL]]</f>
        <v>13301.118784109363</v>
      </c>
      <c r="V54" s="114">
        <f>(Implements7[[#This Row],[PriceP]]-Implements7[[#This Row],[TradeIn$]])/Implements7[[#This Row],[Life (yr)]]/Implements7[[#This Row],[Use (hr/yr)]]</f>
        <v>23.132587477260426</v>
      </c>
      <c r="W54" s="114">
        <f>((Implements7[[#This Row],[PriceP]]+Implements7[[#This Row],[TradeIn$]])/2*($BP$7+$BP$8+$BP$9)+Implements7[[#This Row],[Shed (ft^2)]]*$BP$12)/Implements7[[#This Row],[Use (hr/yr)]]</f>
        <v>41.52026141185506</v>
      </c>
      <c r="X54" s="114">
        <f>Implements7[[#This Row],[PriceL]]*(VLOOKUP(Implements7[[#This Row],[ASABEtype]],$BC$6:$BM$52,2)*(Implements7[[#This Row],[Life (yr)]]*Implements7[[#This Row],[Use (hr/yr)]]/1000)^VLOOKUP(Implements7[[#This Row],[ASABEtype]],$BC$6:$BM$52,3))/Implements7[[#This Row],[Life (yr)]]/Implements7[[#This Row],[Use (hr/yr)]]</f>
        <v>26.659321446205713</v>
      </c>
      <c r="Y54" s="114">
        <f>Implements7[[#This Row],[Depr ($/hr)]]+Implements7[[#This Row],[OH ($/hr)]]</f>
        <v>64.652848889115489</v>
      </c>
      <c r="Z54" s="114">
        <f>(Implements7[[#This Row],[PriceP]]-Implements7[[#This Row],[TradeIn$]])/Implements7[[#This Row],[Life (yr)]]/Implements7[[#This Row],[Use (ac/yr)]]</f>
        <v>3.3046553538943471</v>
      </c>
      <c r="AA54" s="114">
        <f>((Implements7[[#This Row],[PriceP]]+Implements7[[#This Row],[TradeIn$]])/2*($BP$7+$BP$8+$BP$9)+Implements7[[#This Row],[Shed (ft^2)]]*$BP$12)/Implements7[[#This Row],[Use (ac/yr)]]</f>
        <v>5.9314659159792953</v>
      </c>
      <c r="AB54"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3.8084744923151024</v>
      </c>
      <c r="AC54" s="115">
        <f>$BP$18/(Implements7[[#This Row],[Width]]*Implements7[[#This Row],[Speed]]*Implements7[[#This Row],[Efficiency]])</f>
        <v>0.14285714285714288</v>
      </c>
      <c r="AD54" s="116">
        <f>IF(Implements7[[#This Row],[Use basis]]=$N$128,Implements7[[#This Row],[Ownership costs ($/hr)]],SUM(Implements7[[#This Row],[Depr ($/ac)2]:[OH ($/ac)]]))</f>
        <v>9.2361212698736423</v>
      </c>
      <c r="AE54" s="118">
        <v>13</v>
      </c>
      <c r="AF54" s="100" t="s">
        <v>497</v>
      </c>
      <c r="AG54" s="116"/>
    </row>
    <row r="55" spans="2:65">
      <c r="B55" s="100" t="str">
        <f>Implements7[[#This Row],[Implement type]]&amp;", "&amp;Implements7[[#This Row],[Width]]&amp;" "&amp;Implements7[[#This Row],[Width Unit]]&amp; ", per "&amp;Implements7[[#This Row],[Use basis]]</f>
        <v>Row crop planter, 20 Ft Folding, per acre</v>
      </c>
      <c r="C55" s="107" t="s">
        <v>500</v>
      </c>
      <c r="D55" s="106">
        <v>20</v>
      </c>
      <c r="E55" s="107" t="str">
        <f t="shared" si="9"/>
        <v>Ft Folding</v>
      </c>
      <c r="F55" s="106">
        <v>8</v>
      </c>
      <c r="G55" s="106" t="s">
        <v>453</v>
      </c>
      <c r="H55" s="108">
        <v>59000</v>
      </c>
      <c r="I55" s="109">
        <v>0.1</v>
      </c>
      <c r="J55" s="195">
        <f t="shared" si="1"/>
        <v>65555.555555555547</v>
      </c>
      <c r="K55" s="306">
        <f>VLOOKUP(Implements7[[#This Row],[ASABEtype]],ASABECoefficients8[],4,FALSE)/Implements7[[#This Row],[Use (hr/yr)]]</f>
        <v>21.428571428571427</v>
      </c>
      <c r="L55" s="106">
        <v>70</v>
      </c>
      <c r="M55" s="111">
        <f t="shared" si="2"/>
        <v>653.33333333333337</v>
      </c>
      <c r="N55" s="111" t="s">
        <v>706</v>
      </c>
      <c r="O55" s="106" t="s">
        <v>500</v>
      </c>
      <c r="P55" s="106">
        <v>5.5</v>
      </c>
      <c r="Q55" s="109">
        <v>0.7</v>
      </c>
      <c r="R55" s="109">
        <v>1.1599999999999999</v>
      </c>
      <c r="S55" s="106">
        <v>200</v>
      </c>
      <c r="T55"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0.24939597720205059</v>
      </c>
      <c r="U55" s="113">
        <f>Implements7[[#This Row],[TradeIn%]]*Implements7[[#This Row],[PriceL]]</f>
        <v>16349.291838801093</v>
      </c>
      <c r="V55" s="114">
        <f>(Implements7[[#This Row],[PriceP]]-Implements7[[#This Row],[TradeIn$]])/Implements7[[#This Row],[Life (yr)]]/Implements7[[#This Row],[Use (hr/yr)]]</f>
        <v>28.433805440799272</v>
      </c>
      <c r="W55" s="114">
        <f>((Implements7[[#This Row],[PriceP]]+Implements7[[#This Row],[TradeIn$]])/2*($BP$7+$BP$8+$BP$9)+Implements7[[#This Row],[Shed (ft^2)]]*$BP$12)/Implements7[[#This Row],[Use (hr/yr)]]</f>
        <v>50.400713664285185</v>
      </c>
      <c r="X55" s="114">
        <f>Implements7[[#This Row],[PriceL]]*(VLOOKUP(Implements7[[#This Row],[ASABEtype]],$BC$6:$BM$52,2)*(Implements7[[#This Row],[Life (yr)]]*Implements7[[#This Row],[Use (hr/yr)]]/1000)^VLOOKUP(Implements7[[#This Row],[ASABEtype]],$BC$6:$BM$52,3))/Implements7[[#This Row],[Life (yr)]]/Implements7[[#This Row],[Use (hr/yr)]]</f>
        <v>32.768749277627855</v>
      </c>
      <c r="Y55" s="114">
        <f>Implements7[[#This Row],[Depr ($/hr)]]+Implements7[[#This Row],[OH ($/hr)]]</f>
        <v>78.834519105084453</v>
      </c>
      <c r="Z55" s="114">
        <f>(Implements7[[#This Row],[PriceP]]-Implements7[[#This Row],[TradeIn$]])/Implements7[[#This Row],[Life (yr)]]/Implements7[[#This Row],[Use (ac/yr)]]</f>
        <v>3.0464791543713505</v>
      </c>
      <c r="AA55" s="114">
        <f>((Implements7[[#This Row],[PriceP]]+Implements7[[#This Row],[TradeIn$]])/2*($BP$7+$BP$8+$BP$9)+Implements7[[#This Row],[Shed (ft^2)]]*$BP$12)/Implements7[[#This Row],[Use (ac/yr)]]</f>
        <v>5.4000764640305547</v>
      </c>
      <c r="AB55"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3.5109374226029844</v>
      </c>
      <c r="AC55" s="115">
        <f>$BP$18/(Implements7[[#This Row],[Width]]*Implements7[[#This Row],[Speed]]*Implements7[[#This Row],[Efficiency]])</f>
        <v>0.10714285714285714</v>
      </c>
      <c r="AD55" s="116">
        <f>IF(Implements7[[#This Row],[Use basis]]=$N$128,Implements7[[#This Row],[Ownership costs ($/hr)]],SUM(Implements7[[#This Row],[Depr ($/ac)2]:[OH ($/ac)]]))</f>
        <v>8.4465556184019057</v>
      </c>
      <c r="AE55" s="118">
        <v>14</v>
      </c>
      <c r="AF55" s="100" t="s">
        <v>497</v>
      </c>
      <c r="AG55" s="116"/>
    </row>
    <row r="56" spans="2:65">
      <c r="B56" s="100" t="str">
        <f>Implements7[[#This Row],[Implement type]]&amp;", "&amp;Implements7[[#This Row],[Width]]&amp;" "&amp;Implements7[[#This Row],[Width Unit]]&amp; ", per "&amp;Implements7[[#This Row],[Use basis]]</f>
        <v>Row crop planter, 30 Ft Folding, per acre</v>
      </c>
      <c r="C56" s="107" t="s">
        <v>500</v>
      </c>
      <c r="D56" s="106">
        <v>30</v>
      </c>
      <c r="E56" s="107" t="str">
        <f t="shared" si="9"/>
        <v>Ft Folding</v>
      </c>
      <c r="F56" s="106">
        <v>12</v>
      </c>
      <c r="G56" s="106" t="s">
        <v>453</v>
      </c>
      <c r="H56" s="108">
        <v>135000</v>
      </c>
      <c r="I56" s="109">
        <v>0.1</v>
      </c>
      <c r="J56" s="195">
        <f t="shared" si="1"/>
        <v>150000</v>
      </c>
      <c r="K56" s="306">
        <f>VLOOKUP(Implements7[[#This Row],[ASABEtype]],ASABECoefficients8[],4,FALSE)/Implements7[[#This Row],[Use (hr/yr)]]</f>
        <v>15</v>
      </c>
      <c r="L56" s="106">
        <v>100</v>
      </c>
      <c r="M56" s="111">
        <f t="shared" si="2"/>
        <v>1399.9999999999998</v>
      </c>
      <c r="N56" s="111" t="s">
        <v>706</v>
      </c>
      <c r="O56" s="106" t="s">
        <v>500</v>
      </c>
      <c r="P56" s="106">
        <v>5.5</v>
      </c>
      <c r="Q56" s="109">
        <v>0.7</v>
      </c>
      <c r="R56" s="109">
        <v>1.1599999999999999</v>
      </c>
      <c r="S56" s="106">
        <v>300</v>
      </c>
      <c r="T56"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0.34547743146614446</v>
      </c>
      <c r="U56" s="113">
        <f>Implements7[[#This Row],[TradeIn%]]*Implements7[[#This Row],[PriceL]]</f>
        <v>51821.614719921672</v>
      </c>
      <c r="V56" s="114">
        <f>(Implements7[[#This Row],[PriceP]]-Implements7[[#This Row],[TradeIn$]])/Implements7[[#This Row],[Life (yr)]]/Implements7[[#This Row],[Use (hr/yr)]]</f>
        <v>55.452256853385563</v>
      </c>
      <c r="W56" s="114">
        <f>((Implements7[[#This Row],[PriceP]]+Implements7[[#This Row],[TradeIn$]])/2*($BP$7+$BP$8+$BP$9)+Implements7[[#This Row],[Shed (ft^2)]]*$BP$12)/Implements7[[#This Row],[Use (hr/yr)]]</f>
        <v>85.576221403060558</v>
      </c>
      <c r="X56" s="114">
        <f>Implements7[[#This Row],[PriceL]]*(VLOOKUP(Implements7[[#This Row],[ASABEtype]],$BC$6:$BM$52,2)*(Implements7[[#This Row],[Life (yr)]]*Implements7[[#This Row],[Use (hr/yr)]]/1000)^VLOOKUP(Implements7[[#This Row],[ASABEtype]],$BC$6:$BM$52,3))/Implements7[[#This Row],[Life (yr)]]/Implements7[[#This Row],[Use (hr/yr)]]</f>
        <v>74.979341567453559</v>
      </c>
      <c r="Y56" s="114">
        <f>Implements7[[#This Row],[Depr ($/hr)]]+Implements7[[#This Row],[OH ($/hr)]]</f>
        <v>141.02847825644614</v>
      </c>
      <c r="Z56" s="114">
        <f>(Implements7[[#This Row],[PriceP]]-Implements7[[#This Row],[TradeIn$]])/Implements7[[#This Row],[Life (yr)]]/Implements7[[#This Row],[Use (ac/yr)]]</f>
        <v>3.9608754895275409</v>
      </c>
      <c r="AA56" s="114">
        <f>((Implements7[[#This Row],[PriceP]]+Implements7[[#This Row],[TradeIn$]])/2*($BP$7+$BP$8+$BP$9)+Implements7[[#This Row],[Shed (ft^2)]]*$BP$12)/Implements7[[#This Row],[Use (ac/yr)]]</f>
        <v>6.1125872430757546</v>
      </c>
      <c r="AB56"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5.3556672548181128</v>
      </c>
      <c r="AC56" s="115">
        <f>$BP$18/(Implements7[[#This Row],[Width]]*Implements7[[#This Row],[Speed]]*Implements7[[#This Row],[Efficiency]])</f>
        <v>7.1428571428571438E-2</v>
      </c>
      <c r="AD56" s="116">
        <f>IF(Implements7[[#This Row],[Use basis]]=$N$128,Implements7[[#This Row],[Ownership costs ($/hr)]],SUM(Implements7[[#This Row],[Depr ($/ac)2]:[OH ($/ac)]]))</f>
        <v>10.073462732603296</v>
      </c>
      <c r="AE56" s="118">
        <v>15</v>
      </c>
      <c r="AF56" s="100" t="s">
        <v>497</v>
      </c>
      <c r="AG56" s="116"/>
    </row>
    <row r="57" spans="2:65">
      <c r="B57" s="100" t="str">
        <f>Implements7[[#This Row],[Implement type]]&amp;", "&amp;Implements7[[#This Row],[Width]]&amp;" "&amp;Implements7[[#This Row],[Width Unit]]&amp; ", per "&amp;Implements7[[#This Row],[Use basis]]</f>
        <v>Row crop planter, 40 Ft Folding, per acre</v>
      </c>
      <c r="C57" s="107" t="s">
        <v>500</v>
      </c>
      <c r="D57" s="106">
        <v>40</v>
      </c>
      <c r="E57" s="107" t="str">
        <f t="shared" si="9"/>
        <v>Ft Folding</v>
      </c>
      <c r="F57" s="106">
        <v>16</v>
      </c>
      <c r="G57" s="106" t="s">
        <v>453</v>
      </c>
      <c r="H57" s="108">
        <v>199000</v>
      </c>
      <c r="I57" s="109">
        <v>0.1</v>
      </c>
      <c r="J57" s="195">
        <f t="shared" si="1"/>
        <v>221111.11111111109</v>
      </c>
      <c r="K57" s="306">
        <f>VLOOKUP(Implements7[[#This Row],[ASABEtype]],ASABECoefficients8[],4,FALSE)/Implements7[[#This Row],[Use (hr/yr)]]</f>
        <v>15</v>
      </c>
      <c r="L57" s="106">
        <v>100</v>
      </c>
      <c r="M57" s="111">
        <f t="shared" si="2"/>
        <v>1866.6666666666667</v>
      </c>
      <c r="N57" s="111" t="s">
        <v>706</v>
      </c>
      <c r="O57" s="106" t="s">
        <v>500</v>
      </c>
      <c r="P57" s="106">
        <v>5.5</v>
      </c>
      <c r="Q57" s="109">
        <v>0.7</v>
      </c>
      <c r="R57" s="109">
        <v>1.1599999999999999</v>
      </c>
      <c r="S57" s="106">
        <v>300</v>
      </c>
      <c r="T57"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0.34547743146614446</v>
      </c>
      <c r="U57" s="113">
        <f>Implements7[[#This Row],[TradeIn%]]*Implements7[[#This Row],[PriceL]]</f>
        <v>76388.898735291936</v>
      </c>
      <c r="V57" s="114">
        <f>(Implements7[[#This Row],[PriceP]]-Implements7[[#This Row],[TradeIn$]])/Implements7[[#This Row],[Life (yr)]]/Implements7[[#This Row],[Use (hr/yr)]]</f>
        <v>81.740734176472046</v>
      </c>
      <c r="W57" s="114">
        <f>((Implements7[[#This Row],[PriceP]]+Implements7[[#This Row],[TradeIn$]])/2*($BP$7+$BP$8+$BP$9)+Implements7[[#This Row],[Shed (ft^2)]]*$BP$12)/Implements7[[#This Row],[Use (hr/yr)]]</f>
        <v>124.7672445798619</v>
      </c>
      <c r="X57" s="114">
        <f>Implements7[[#This Row],[PriceL]]*(VLOOKUP(Implements7[[#This Row],[ASABEtype]],$BC$6:$BM$52,2)*(Implements7[[#This Row],[Life (yr)]]*Implements7[[#This Row],[Use (hr/yr)]]/1000)^VLOOKUP(Implements7[[#This Row],[ASABEtype]],$BC$6:$BM$52,3))/Implements7[[#This Row],[Life (yr)]]/Implements7[[#This Row],[Use (hr/yr)]]</f>
        <v>110.52510349572785</v>
      </c>
      <c r="Y57" s="114">
        <f>Implements7[[#This Row],[Depr ($/hr)]]+Implements7[[#This Row],[OH ($/hr)]]</f>
        <v>206.50797875633396</v>
      </c>
      <c r="Z57" s="114">
        <f>(Implements7[[#This Row],[PriceP]]-Implements7[[#This Row],[TradeIn$]])/Implements7[[#This Row],[Life (yr)]]/Implements7[[#This Row],[Use (ac/yr)]]</f>
        <v>4.3789679023110022</v>
      </c>
      <c r="AA57" s="114">
        <f>((Implements7[[#This Row],[PriceP]]+Implements7[[#This Row],[TradeIn$]])/2*($BP$7+$BP$8+$BP$9)+Implements7[[#This Row],[Shed (ft^2)]]*$BP$12)/Implements7[[#This Row],[Use (ac/yr)]]</f>
        <v>6.6839595310640298</v>
      </c>
      <c r="AB57"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5.9209876872711344</v>
      </c>
      <c r="AC57" s="115">
        <f>$BP$18/(Implements7[[#This Row],[Width]]*Implements7[[#This Row],[Speed]]*Implements7[[#This Row],[Efficiency]])</f>
        <v>5.3571428571428568E-2</v>
      </c>
      <c r="AD57" s="116">
        <f>IF(Implements7[[#This Row],[Use basis]]=$N$128,Implements7[[#This Row],[Ownership costs ($/hr)]],SUM(Implements7[[#This Row],[Depr ($/ac)2]:[OH ($/ac)]]))</f>
        <v>11.062927433375032</v>
      </c>
      <c r="AE57" s="118">
        <v>16</v>
      </c>
      <c r="AF57" s="100" t="s">
        <v>497</v>
      </c>
      <c r="AG57" s="116"/>
    </row>
    <row r="58" spans="2:65">
      <c r="B58" s="100" t="str">
        <f>Implements7[[#This Row],[Implement type]]&amp;", "&amp;Implements7[[#This Row],[Width]]&amp;" "&amp;Implements7[[#This Row],[Width Unit]]&amp; ", per "&amp;Implements7[[#This Row],[Use basis]]</f>
        <v>Row crop planter, 60 Ft Folding, per acre</v>
      </c>
      <c r="C58" s="107" t="s">
        <v>500</v>
      </c>
      <c r="D58" s="106">
        <v>60</v>
      </c>
      <c r="E58" s="107" t="str">
        <f t="shared" si="9"/>
        <v>Ft Folding</v>
      </c>
      <c r="F58" s="106">
        <v>24</v>
      </c>
      <c r="G58" s="106" t="s">
        <v>453</v>
      </c>
      <c r="H58" s="108">
        <v>321500</v>
      </c>
      <c r="I58" s="109">
        <v>0.1</v>
      </c>
      <c r="J58" s="195">
        <f t="shared" si="1"/>
        <v>357222.22222222219</v>
      </c>
      <c r="K58" s="306">
        <f>VLOOKUP(Implements7[[#This Row],[ASABEtype]],ASABECoefficients8[],4,FALSE)/Implements7[[#This Row],[Use (hr/yr)]]</f>
        <v>15</v>
      </c>
      <c r="L58" s="106">
        <v>100</v>
      </c>
      <c r="M58" s="111">
        <f t="shared" si="2"/>
        <v>2799.9999999999995</v>
      </c>
      <c r="N58" s="111" t="s">
        <v>706</v>
      </c>
      <c r="O58" s="106" t="s">
        <v>500</v>
      </c>
      <c r="P58" s="106">
        <v>5.5</v>
      </c>
      <c r="Q58" s="109">
        <v>0.7</v>
      </c>
      <c r="R58" s="109">
        <v>1.1599999999999999</v>
      </c>
      <c r="S58" s="106">
        <v>300</v>
      </c>
      <c r="T58"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0.34547743146614446</v>
      </c>
      <c r="U58" s="113">
        <f>Implements7[[#This Row],[TradeIn%]]*Implements7[[#This Row],[PriceL]]</f>
        <v>123412.21579596159</v>
      </c>
      <c r="V58" s="114">
        <f>(Implements7[[#This Row],[PriceP]]-Implements7[[#This Row],[TradeIn$]])/Implements7[[#This Row],[Life (yr)]]/Implements7[[#This Row],[Use (hr/yr)]]</f>
        <v>132.05852280269227</v>
      </c>
      <c r="W58" s="114">
        <f>((Implements7[[#This Row],[PriceP]]+Implements7[[#This Row],[TradeIn$]])/2*($BP$7+$BP$8+$BP$9)+Implements7[[#This Row],[Shed (ft^2)]]*$BP$12)/Implements7[[#This Row],[Use (hr/yr)]]</f>
        <v>199.7813123792082</v>
      </c>
      <c r="X58" s="114">
        <f>Implements7[[#This Row],[PriceL]]*(VLOOKUP(Implements7[[#This Row],[ASABEtype]],$BC$6:$BM$52,2)*(Implements7[[#This Row],[Life (yr)]]*Implements7[[#This Row],[Use (hr/yr)]]/1000)^VLOOKUP(Implements7[[#This Row],[ASABEtype]],$BC$6:$BM$52,3))/Implements7[[#This Row],[Life (yr)]]/Implements7[[#This Row],[Use (hr/yr)]]</f>
        <v>178.56191343656533</v>
      </c>
      <c r="Y58" s="114">
        <f>Implements7[[#This Row],[Depr ($/hr)]]+Implements7[[#This Row],[OH ($/hr)]]</f>
        <v>331.83983518190047</v>
      </c>
      <c r="Z58" s="114">
        <f>(Implements7[[#This Row],[PriceP]]-Implements7[[#This Row],[TradeIn$]])/Implements7[[#This Row],[Life (yr)]]/Implements7[[#This Row],[Use (ac/yr)]]</f>
        <v>4.7163758143818679</v>
      </c>
      <c r="AA58" s="114">
        <f>((Implements7[[#This Row],[PriceP]]+Implements7[[#This Row],[TradeIn$]])/2*($BP$7+$BP$8+$BP$9)+Implements7[[#This Row],[Shed (ft^2)]]*$BP$12)/Implements7[[#This Row],[Use (ac/yr)]]</f>
        <v>7.1350468706860086</v>
      </c>
      <c r="AB58"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6.3772111941630492</v>
      </c>
      <c r="AC58" s="115">
        <f>$BP$18/(Implements7[[#This Row],[Width]]*Implements7[[#This Row],[Speed]]*Implements7[[#This Row],[Efficiency]])</f>
        <v>3.5714285714285719E-2</v>
      </c>
      <c r="AD58" s="116">
        <f>IF(Implements7[[#This Row],[Use basis]]=$N$128,Implements7[[#This Row],[Ownership costs ($/hr)]],SUM(Implements7[[#This Row],[Depr ($/ac)2]:[OH ($/ac)]]))</f>
        <v>11.851422685067877</v>
      </c>
      <c r="AE58" s="118">
        <v>17</v>
      </c>
      <c r="AF58" s="100" t="s">
        <v>497</v>
      </c>
      <c r="AG58" s="116"/>
    </row>
    <row r="59" spans="2:65">
      <c r="B59" s="100" t="str">
        <f>Implements7[[#This Row],[Implement type]]&amp;", "&amp;Implements7[[#This Row],[Width]]&amp;" "&amp;Implements7[[#This Row],[Width Unit]]&amp; ", per "&amp;Implements7[[#This Row],[Use basis]]</f>
        <v>Chisel plow, 22 Ft Folding, per acre</v>
      </c>
      <c r="C59" s="107" t="s">
        <v>451</v>
      </c>
      <c r="D59" s="106">
        <v>22</v>
      </c>
      <c r="E59" s="107" t="str">
        <f t="shared" si="9"/>
        <v>Ft Folding</v>
      </c>
      <c r="F59" s="106"/>
      <c r="G59" s="106"/>
      <c r="H59" s="108">
        <v>57500</v>
      </c>
      <c r="I59" s="109">
        <v>0.1</v>
      </c>
      <c r="J59" s="195">
        <f t="shared" si="1"/>
        <v>63888.888888888891</v>
      </c>
      <c r="K59" s="306">
        <f>VLOOKUP(Implements7[[#This Row],[ASABEtype]],ASABECoefficients8[],4,FALSE)/Implements7[[#This Row],[Use (hr/yr)]]</f>
        <v>33.333333333333336</v>
      </c>
      <c r="L59" s="106">
        <v>60</v>
      </c>
      <c r="M59" s="111">
        <f t="shared" si="2"/>
        <v>680</v>
      </c>
      <c r="N59" s="111" t="s">
        <v>706</v>
      </c>
      <c r="O59" s="106" t="s">
        <v>451</v>
      </c>
      <c r="P59" s="106">
        <v>5</v>
      </c>
      <c r="Q59" s="109">
        <v>0.85</v>
      </c>
      <c r="R59" s="109">
        <v>1.02</v>
      </c>
      <c r="S59" s="106">
        <v>250</v>
      </c>
      <c r="T59"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0.13570861969981018</v>
      </c>
      <c r="U59" s="119">
        <f>Implements7[[#This Row],[TradeIn%]]*Implements7[[#This Row],[PriceL]]</f>
        <v>8670.2729252656518</v>
      </c>
      <c r="V59" s="120">
        <f>(Implements7[[#This Row],[PriceP]]-Implements7[[#This Row],[TradeIn$]])/Implements7[[#This Row],[Life (yr)]]/Implements7[[#This Row],[Use (hr/yr)]]</f>
        <v>24.414863537367175</v>
      </c>
      <c r="W59" s="211">
        <f>((Implements7[[#This Row],[PriceP]]+Implements7[[#This Row],[TradeIn$]])/2*($BP$7+$BP$8+$BP$9)+Implements7[[#This Row],[Shed (ft^2)]]*$BP$12)/Implements7[[#This Row],[Use (hr/yr)]]</f>
        <v>52.838988628904559</v>
      </c>
      <c r="X59" s="120">
        <f>Implements7[[#This Row],[PriceL]]*(VLOOKUP(Implements7[[#This Row],[ASABEtype]],$BC$6:$BM$52,2)*(Implements7[[#This Row],[Life (yr)]]*Implements7[[#This Row],[Use (hr/yr)]]/1000)^VLOOKUP(Implements7[[#This Row],[ASABEtype]],$BC$6:$BM$52,3))/Implements7[[#This Row],[Life (yr)]]/Implements7[[#This Row],[Use (hr/yr)]]</f>
        <v>23.604530403826228</v>
      </c>
      <c r="Y59" s="120">
        <f>Implements7[[#This Row],[Depr ($/hr)]]+Implements7[[#This Row],[OH ($/hr)]]</f>
        <v>77.253852166271741</v>
      </c>
      <c r="Z59" s="120">
        <f>(Implements7[[#This Row],[PriceP]]-Implements7[[#This Row],[TradeIn$]])/Implements7[[#This Row],[Life (yr)]]/Implements7[[#This Row],[Use (ac/yr)]]</f>
        <v>2.1542526650618097</v>
      </c>
      <c r="AA59" s="114">
        <f>((Implements7[[#This Row],[PriceP]]+Implements7[[#This Row],[TradeIn$]])/2*($BP$7+$BP$8+$BP$9)+Implements7[[#This Row],[Shed (ft^2)]]*$BP$12)/Implements7[[#This Row],[Use (ac/yr)]]</f>
        <v>4.6622637025504021</v>
      </c>
      <c r="AB59"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2.0827526826905496</v>
      </c>
      <c r="AC59" s="115">
        <f>$BP$18/(Implements7[[#This Row],[Width]]*Implements7[[#This Row],[Speed]]*Implements7[[#This Row],[Efficiency]])</f>
        <v>8.8235294117647065E-2</v>
      </c>
      <c r="AD59" s="116">
        <f>IF(Implements7[[#This Row],[Use basis]]=$N$128,Implements7[[#This Row],[Ownership costs ($/hr)]],SUM(Implements7[[#This Row],[Depr ($/ac)2]:[OH ($/ac)]]))</f>
        <v>6.8165163676122118</v>
      </c>
      <c r="AE59" s="118">
        <v>1</v>
      </c>
      <c r="AF59" s="100" t="s">
        <v>501</v>
      </c>
      <c r="AG59" s="116"/>
    </row>
    <row r="60" spans="2:65">
      <c r="B60" s="100" t="str">
        <f>Implements7[[#This Row],[Implement type]]&amp;", "&amp;Implements7[[#This Row],[Width]]&amp;" "&amp;Implements7[[#This Row],[Width Unit]]&amp; ", per "&amp;Implements7[[#This Row],[Use basis]]</f>
        <v>Chisel plow, 36 Ft Folding, per acre</v>
      </c>
      <c r="C60" s="107" t="s">
        <v>451</v>
      </c>
      <c r="D60" s="106">
        <v>36</v>
      </c>
      <c r="E60" s="107" t="str">
        <f t="shared" si="9"/>
        <v>Ft Folding</v>
      </c>
      <c r="F60" s="106"/>
      <c r="G60" s="106"/>
      <c r="H60" s="108">
        <v>80500</v>
      </c>
      <c r="I60" s="109">
        <v>0.1</v>
      </c>
      <c r="J60" s="195">
        <f t="shared" si="1"/>
        <v>89444.444444444438</v>
      </c>
      <c r="K60" s="306">
        <f>VLOOKUP(Implements7[[#This Row],[ASABEtype]],ASABECoefficients8[],4,FALSE)/Implements7[[#This Row],[Use (hr/yr)]]</f>
        <v>33.333333333333336</v>
      </c>
      <c r="L60" s="106">
        <v>60</v>
      </c>
      <c r="M60" s="111">
        <f t="shared" si="2"/>
        <v>1112.7272727272727</v>
      </c>
      <c r="N60" s="111" t="s">
        <v>706</v>
      </c>
      <c r="O60" s="106" t="s">
        <v>451</v>
      </c>
      <c r="P60" s="106">
        <v>5</v>
      </c>
      <c r="Q60" s="109">
        <v>0.85</v>
      </c>
      <c r="R60" s="109">
        <v>1.02</v>
      </c>
      <c r="S60" s="106">
        <v>370</v>
      </c>
      <c r="T60"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0.13570861969981018</v>
      </c>
      <c r="U60" s="113">
        <f>Implements7[[#This Row],[TradeIn%]]*Implements7[[#This Row],[PriceL]]</f>
        <v>12138.38209537191</v>
      </c>
      <c r="V60" s="114">
        <f>(Implements7[[#This Row],[PriceP]]-Implements7[[#This Row],[TradeIn$]])/Implements7[[#This Row],[Life (yr)]]/Implements7[[#This Row],[Use (hr/yr)]]</f>
        <v>34.180808952314038</v>
      </c>
      <c r="W60" s="114">
        <f>((Implements7[[#This Row],[PriceP]]+Implements7[[#This Row],[TradeIn$]])/2*($BP$7+$BP$8+$BP$9)+Implements7[[#This Row],[Shed (ft^2)]]*$BP$12)/Implements7[[#This Row],[Use (hr/yr)]]</f>
        <v>74.297657068188087</v>
      </c>
      <c r="X60" s="114">
        <f>Implements7[[#This Row],[PriceL]]*(VLOOKUP(Implements7[[#This Row],[ASABEtype]],$BC$6:$BM$52,2)*(Implements7[[#This Row],[Life (yr)]]*Implements7[[#This Row],[Use (hr/yr)]]/1000)^VLOOKUP(Implements7[[#This Row],[ASABEtype]],$BC$6:$BM$52,3))/Implements7[[#This Row],[Life (yr)]]/Implements7[[#This Row],[Use (hr/yr)]]</f>
        <v>33.046342565356717</v>
      </c>
      <c r="Y60" s="114">
        <f>Implements7[[#This Row],[Depr ($/hr)]]+Implements7[[#This Row],[OH ($/hr)]]</f>
        <v>108.47846602050213</v>
      </c>
      <c r="Z60" s="114">
        <f>(Implements7[[#This Row],[PriceP]]-Implements7[[#This Row],[TradeIn$]])/Implements7[[#This Row],[Life (yr)]]/Implements7[[#This Row],[Use (ac/yr)]]</f>
        <v>1.8430828356639923</v>
      </c>
      <c r="AA60" s="114">
        <f>((Implements7[[#This Row],[PriceP]]+Implements7[[#This Row],[TradeIn$]])/2*($BP$7+$BP$8+$BP$9)+Implements7[[#This Row],[Shed (ft^2)]]*$BP$12)/Implements7[[#This Row],[Use (ac/yr)]]</f>
        <v>4.0062462144611226</v>
      </c>
      <c r="AB60"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1.7819106285241366</v>
      </c>
      <c r="AC60" s="115">
        <f>$BP$18/(Implements7[[#This Row],[Width]]*Implements7[[#This Row],[Speed]]*Implements7[[#This Row],[Efficiency]])</f>
        <v>5.3921568627450983E-2</v>
      </c>
      <c r="AD60" s="116">
        <f>IF(Implements7[[#This Row],[Use basis]]=$N$128,Implements7[[#This Row],[Ownership costs ($/hr)]],SUM(Implements7[[#This Row],[Depr ($/ac)2]:[OH ($/ac)]]))</f>
        <v>5.8493290501251147</v>
      </c>
      <c r="AE60" s="118">
        <v>2</v>
      </c>
      <c r="AF60" s="100" t="s">
        <v>501</v>
      </c>
      <c r="AG60" s="116"/>
    </row>
    <row r="61" spans="2:65">
      <c r="B61" s="100" t="str">
        <f>Implements7[[#This Row],[Implement type]]&amp;", "&amp;Implements7[[#This Row],[Width]]&amp;" "&amp;Implements7[[#This Row],[Width Unit]]</f>
        <v>Grain auger, 13 In</v>
      </c>
      <c r="C61" s="107" t="s">
        <v>795</v>
      </c>
      <c r="D61" s="106">
        <v>13</v>
      </c>
      <c r="E61" s="107" t="s">
        <v>796</v>
      </c>
      <c r="F61" s="106">
        <v>84</v>
      </c>
      <c r="G61" s="105" t="s">
        <v>797</v>
      </c>
      <c r="H61" s="108">
        <v>31500</v>
      </c>
      <c r="I61" s="109">
        <v>0.1</v>
      </c>
      <c r="J61" s="195">
        <f>H61/(1-I61)</f>
        <v>35000</v>
      </c>
      <c r="K61" s="306">
        <f>VLOOKUP(Implements7[[#This Row],[ASABEtype]],ASABECoefficients8[],4,FALSE)/Implements7[[#This Row],[Use (hr/yr)]]</f>
        <v>7.5</v>
      </c>
      <c r="L61" s="106">
        <v>200</v>
      </c>
      <c r="M61" s="111">
        <f>IF(AND(P61&lt;&gt;0,Q61&lt;&gt;0),L61*(D61*P61*Q61)/8.25,L61*D61)</f>
        <v>28.363636363636367</v>
      </c>
      <c r="N61" s="111" t="s">
        <v>720</v>
      </c>
      <c r="O61" s="106" t="s">
        <v>575</v>
      </c>
      <c r="P61" s="106">
        <v>0.1</v>
      </c>
      <c r="Q61" s="109">
        <v>0.9</v>
      </c>
      <c r="R61" s="109">
        <v>1.02</v>
      </c>
      <c r="S61" s="106">
        <v>0</v>
      </c>
      <c r="T61"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0.54556835097230594</v>
      </c>
      <c r="U61" s="113">
        <f>Implements7[[#This Row],[TradeIn%]]*Implements7[[#This Row],[PriceL]]</f>
        <v>19094.89228403071</v>
      </c>
      <c r="V61" s="114">
        <f>(Implements7[[#This Row],[PriceP]]-Implements7[[#This Row],[TradeIn$]])/Implements7[[#This Row],[Life (yr)]]/Implements7[[#This Row],[Use (hr/yr)]]</f>
        <v>8.2700718106461935</v>
      </c>
      <c r="W61" s="117">
        <f>((Implements7[[#This Row],[PriceP]]+Implements7[[#This Row],[TradeIn$]])/2*($BP$7+$BP$8+$BP$9)+Implements7[[#This Row],[Shed (ft^2)]]*$BP$12)/Implements7[[#This Row],[Use (hr/yr)]]</f>
        <v>11.194119917841792</v>
      </c>
      <c r="X61" s="114">
        <f>Implements7[[#This Row],[PriceL]]*(VLOOKUP(Implements7[[#This Row],[ASABEtype]],$BC$6:$BM$52,2)*(Implements7[[#This Row],[Life (yr)]]*Implements7[[#This Row],[Use (hr/yr)]]/1000)^VLOOKUP(Implements7[[#This Row],[ASABEtype]],$BC$6:$BM$52,3))/Implements7[[#This Row],[Life (yr)]]/Implements7[[#This Row],[Use (hr/yr)]]</f>
        <v>10.650346377613955</v>
      </c>
      <c r="Y61" s="114">
        <f>Implements7[[#This Row],[Depr ($/hr)]]+Implements7[[#This Row],[OH ($/hr)]]</f>
        <v>19.464191728487986</v>
      </c>
      <c r="Z61" s="114">
        <f>(Implements7[[#This Row],[PriceP]]-Implements7[[#This Row],[TradeIn$]])/Implements7[[#This Row],[Life (yr)]]/Implements7[[#This Row],[Use (ac/yr)]]</f>
        <v>58.314608921223147</v>
      </c>
      <c r="AA61" s="117">
        <f>((Implements7[[#This Row],[PriceP]]+Implements7[[#This Row],[TradeIn$]])/2*($BP$7+$BP$8+$BP$9)+Implements7[[#This Row],[Shed (ft^2)]]*$BP$12)/Implements7[[#This Row],[Use (ac/yr)]]</f>
        <v>78.932896856576733</v>
      </c>
      <c r="AB61"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10.650346377613955</v>
      </c>
      <c r="AC61" s="115">
        <f>$BP$18/(Implements7[[#This Row],[Width]]*Implements7[[#This Row],[Speed]]*Implements7[[#This Row],[Efficiency]])</f>
        <v>7.0512820512820502</v>
      </c>
      <c r="AD61" s="116">
        <f>IF(Implements7[[#This Row],[Use basis]]=$N$128,Implements7[[#This Row],[Ownership costs ($/hr)]],SUM(Implements7[[#This Row],[Depr ($/ac)2]:[OH ($/ac)]]))</f>
        <v>19.464191728487986</v>
      </c>
      <c r="AE61" s="116"/>
      <c r="AF61" s="116" t="s">
        <v>463</v>
      </c>
      <c r="AG61" s="116"/>
    </row>
    <row r="62" spans="2:65">
      <c r="B62" s="100" t="str">
        <f>Implements7[[#This Row],[Implement type]]&amp;", "&amp;Implements7[[#This Row],[Width]]&amp;" "&amp;Implements7[[#This Row],[Width Unit]]</f>
        <v>Cotton Picker, 12 Ft</v>
      </c>
      <c r="C62" s="105" t="s">
        <v>675</v>
      </c>
      <c r="D62" s="106">
        <v>12</v>
      </c>
      <c r="E62" s="105" t="s">
        <v>439</v>
      </c>
      <c r="F62" s="106"/>
      <c r="G62" s="105" t="s">
        <v>684</v>
      </c>
      <c r="H62" s="186"/>
      <c r="I62" s="187"/>
      <c r="J62" s="195"/>
      <c r="K62" s="195"/>
      <c r="L62" s="180"/>
      <c r="M62" s="106"/>
      <c r="N62" s="310" t="s">
        <v>706</v>
      </c>
      <c r="O62" s="106"/>
      <c r="P62" s="106"/>
      <c r="Q62" s="187"/>
      <c r="R62" s="187"/>
      <c r="S62" s="106"/>
      <c r="T62" s="188"/>
      <c r="U62" s="189"/>
      <c r="V62" s="190"/>
      <c r="W62" s="191"/>
      <c r="X62" s="192"/>
      <c r="Y62" s="115"/>
      <c r="Z62" s="116"/>
      <c r="AA62" s="116"/>
      <c r="AB62" s="116">
        <f>AD62*0.2</f>
        <v>12.344000000000001</v>
      </c>
      <c r="AC62" s="115">
        <v>0.34</v>
      </c>
      <c r="AD62" s="116">
        <v>61.72</v>
      </c>
      <c r="AE62" s="116"/>
      <c r="AF62" s="116" t="s">
        <v>693</v>
      </c>
      <c r="AG62" s="116"/>
    </row>
    <row r="63" spans="2:65">
      <c r="B63" s="100" t="str">
        <f>Implements7[[#This Row],[Implement type]]&amp;", "&amp;Implements7[[#This Row],[Width]]&amp;" "&amp;Implements7[[#This Row],[Width Unit]]</f>
        <v>Cotton Picker, 18 Ft</v>
      </c>
      <c r="C63" s="105" t="s">
        <v>675</v>
      </c>
      <c r="D63" s="106">
        <v>18</v>
      </c>
      <c r="E63" s="105" t="s">
        <v>439</v>
      </c>
      <c r="F63" s="106"/>
      <c r="G63" s="105" t="s">
        <v>238</v>
      </c>
      <c r="H63" s="186"/>
      <c r="I63" s="187"/>
      <c r="J63" s="195"/>
      <c r="K63" s="195"/>
      <c r="L63" s="180"/>
      <c r="M63" s="106"/>
      <c r="N63" s="310" t="s">
        <v>706</v>
      </c>
      <c r="O63" s="106"/>
      <c r="P63" s="106"/>
      <c r="Q63" s="187"/>
      <c r="R63" s="187"/>
      <c r="S63" s="106"/>
      <c r="T63" s="188"/>
      <c r="U63" s="189"/>
      <c r="V63" s="190"/>
      <c r="W63" s="191"/>
      <c r="X63" s="192"/>
      <c r="Y63" s="115"/>
      <c r="Z63" s="116"/>
      <c r="AA63" s="116"/>
      <c r="AB63" s="116">
        <f t="shared" ref="AB63:AB98" si="10">AD63*0.2</f>
        <v>14.548</v>
      </c>
      <c r="AC63" s="115">
        <v>0.23</v>
      </c>
      <c r="AD63" s="116">
        <v>72.739999999999995</v>
      </c>
      <c r="AE63" s="116"/>
      <c r="AF63" s="116" t="s">
        <v>693</v>
      </c>
      <c r="AG63" s="116"/>
    </row>
    <row r="64" spans="2:65">
      <c r="B64" s="100" t="str">
        <f>Implements7[[#This Row],[Implement type]]&amp;", "&amp;Implements7[[#This Row],[Width]]&amp;" "&amp;Implements7[[#This Row],[Width Unit]]</f>
        <v xml:space="preserve">Cotton Module Builder,  </v>
      </c>
      <c r="C64" s="105" t="s">
        <v>676</v>
      </c>
      <c r="D64" s="106"/>
      <c r="E64" s="105"/>
      <c r="F64" s="106"/>
      <c r="G64" s="105"/>
      <c r="H64" s="186"/>
      <c r="I64" s="187"/>
      <c r="J64" s="195"/>
      <c r="K64" s="195"/>
      <c r="L64" s="180"/>
      <c r="M64" s="106"/>
      <c r="N64" s="310" t="s">
        <v>706</v>
      </c>
      <c r="O64" s="106"/>
      <c r="P64" s="106"/>
      <c r="Q64" s="187"/>
      <c r="R64" s="187"/>
      <c r="S64" s="106"/>
      <c r="T64" s="188"/>
      <c r="U64" s="189"/>
      <c r="V64" s="190"/>
      <c r="W64" s="191"/>
      <c r="X64" s="192"/>
      <c r="Y64" s="115"/>
      <c r="Z64" s="116"/>
      <c r="AA64" s="116"/>
      <c r="AB64" s="116">
        <f t="shared" si="10"/>
        <v>7.2080000000000002</v>
      </c>
      <c r="AC64" s="115">
        <v>0.18</v>
      </c>
      <c r="AD64" s="116">
        <v>36.04</v>
      </c>
      <c r="AE64" s="116"/>
      <c r="AF64" s="116" t="s">
        <v>693</v>
      </c>
      <c r="AG64" s="116"/>
    </row>
    <row r="65" spans="2:33">
      <c r="B65" s="100" t="str">
        <f>Implements7[[#This Row],[Implement type]]&amp;", "&amp;Implements7[[#This Row],[Width]]&amp;" "&amp;Implements7[[#This Row],[Width Unit]]</f>
        <v>Cotton picker with baler, 18 Ft</v>
      </c>
      <c r="C65" s="105" t="s">
        <v>677</v>
      </c>
      <c r="D65" s="106">
        <v>18</v>
      </c>
      <c r="E65" s="105" t="s">
        <v>439</v>
      </c>
      <c r="F65" s="106"/>
      <c r="G65" s="105" t="s">
        <v>238</v>
      </c>
      <c r="H65" s="186"/>
      <c r="I65" s="187"/>
      <c r="J65" s="195"/>
      <c r="K65" s="195"/>
      <c r="L65" s="180"/>
      <c r="M65" s="106"/>
      <c r="N65" s="310" t="s">
        <v>706</v>
      </c>
      <c r="O65" s="106"/>
      <c r="P65" s="106"/>
      <c r="Q65" s="187"/>
      <c r="R65" s="187"/>
      <c r="S65" s="106"/>
      <c r="T65" s="188"/>
      <c r="U65" s="189"/>
      <c r="V65" s="190"/>
      <c r="W65" s="191"/>
      <c r="X65" s="192"/>
      <c r="Y65" s="115"/>
      <c r="Z65" s="116"/>
      <c r="AA65" s="116"/>
      <c r="AB65" s="116">
        <f t="shared" si="10"/>
        <v>4.9600000000000009</v>
      </c>
      <c r="AC65" s="115">
        <v>0.18</v>
      </c>
      <c r="AD65" s="116">
        <v>24.8</v>
      </c>
      <c r="AE65" s="116"/>
      <c r="AF65" s="116" t="s">
        <v>693</v>
      </c>
      <c r="AG65" s="116"/>
    </row>
    <row r="66" spans="2:33">
      <c r="B66" s="100" t="str">
        <f>Implements7[[#This Row],[Implement type]]&amp;", "&amp;Implements7[[#This Row],[Width]]&amp;" "&amp;Implements7[[#This Row],[Width Unit]]</f>
        <v>Cotton stalk puller, 12 Ft</v>
      </c>
      <c r="C66" s="105" t="s">
        <v>678</v>
      </c>
      <c r="D66" s="106">
        <v>12</v>
      </c>
      <c r="E66" s="105" t="s">
        <v>439</v>
      </c>
      <c r="F66" s="106"/>
      <c r="G66" s="105" t="s">
        <v>684</v>
      </c>
      <c r="H66" s="186"/>
      <c r="I66" s="187"/>
      <c r="J66" s="195"/>
      <c r="K66" s="195"/>
      <c r="L66" s="180"/>
      <c r="M66" s="106"/>
      <c r="N66" s="310" t="s">
        <v>706</v>
      </c>
      <c r="O66" s="106"/>
      <c r="P66" s="106"/>
      <c r="Q66" s="187"/>
      <c r="R66" s="187"/>
      <c r="S66" s="106"/>
      <c r="T66" s="188"/>
      <c r="U66" s="189"/>
      <c r="V66" s="190"/>
      <c r="W66" s="191"/>
      <c r="X66" s="192"/>
      <c r="Y66" s="115"/>
      <c r="Z66" s="116"/>
      <c r="AA66" s="116"/>
      <c r="AB66" s="116">
        <f t="shared" si="10"/>
        <v>0.48200000000000004</v>
      </c>
      <c r="AC66" s="115">
        <v>0.21</v>
      </c>
      <c r="AD66" s="116">
        <v>2.41</v>
      </c>
      <c r="AE66" s="116"/>
      <c r="AF66" s="116" t="s">
        <v>693</v>
      </c>
      <c r="AG66" s="116"/>
    </row>
    <row r="67" spans="2:33">
      <c r="B67" s="100" t="str">
        <f>Implements7[[#This Row],[Implement type]]&amp;", "&amp;Implements7[[#This Row],[Width]]&amp;" "&amp;Implements7[[#This Row],[Width Unit]]</f>
        <v>Cotton stalk puller, 18 Ft</v>
      </c>
      <c r="C67" s="105" t="s">
        <v>678</v>
      </c>
      <c r="D67" s="106">
        <v>18</v>
      </c>
      <c r="E67" s="105" t="s">
        <v>439</v>
      </c>
      <c r="F67" s="106"/>
      <c r="G67" s="105" t="s">
        <v>238</v>
      </c>
      <c r="H67" s="186"/>
      <c r="I67" s="187"/>
      <c r="J67" s="195"/>
      <c r="K67" s="195"/>
      <c r="L67" s="180"/>
      <c r="M67" s="106"/>
      <c r="N67" s="310" t="s">
        <v>706</v>
      </c>
      <c r="O67" s="106"/>
      <c r="P67" s="106"/>
      <c r="Q67" s="187"/>
      <c r="R67" s="187"/>
      <c r="S67" s="106"/>
      <c r="T67" s="188"/>
      <c r="U67" s="189"/>
      <c r="V67" s="190"/>
      <c r="W67" s="191"/>
      <c r="X67" s="192"/>
      <c r="Y67" s="115"/>
      <c r="Z67" s="116"/>
      <c r="AA67" s="116"/>
      <c r="AB67" s="116">
        <f t="shared" si="10"/>
        <v>0.63200000000000012</v>
      </c>
      <c r="AC67" s="115">
        <v>0.14000000000000001</v>
      </c>
      <c r="AD67" s="116">
        <v>3.16</v>
      </c>
      <c r="AE67" s="116"/>
      <c r="AF67" s="116" t="s">
        <v>693</v>
      </c>
      <c r="AG67" s="116"/>
    </row>
    <row r="68" spans="2:33">
      <c r="B68" s="100" t="str">
        <f>Implements7[[#This Row],[Implement type]]&amp;", "&amp;Implements7[[#This Row],[Width]]&amp;" "&amp;Implements7[[#This Row],[Width Unit]]</f>
        <v>Cotton stalk puller, 24 Ft</v>
      </c>
      <c r="C68" s="105" t="s">
        <v>678</v>
      </c>
      <c r="D68" s="106">
        <v>24</v>
      </c>
      <c r="E68" s="105" t="s">
        <v>439</v>
      </c>
      <c r="F68" s="106"/>
      <c r="G68" s="105" t="s">
        <v>260</v>
      </c>
      <c r="H68" s="186"/>
      <c r="I68" s="187"/>
      <c r="J68" s="195"/>
      <c r="K68" s="195"/>
      <c r="L68" s="180"/>
      <c r="M68" s="106"/>
      <c r="N68" s="310" t="s">
        <v>706</v>
      </c>
      <c r="O68" s="106"/>
      <c r="P68" s="106"/>
      <c r="Q68" s="187"/>
      <c r="R68" s="187"/>
      <c r="S68" s="106"/>
      <c r="T68" s="188"/>
      <c r="U68" s="189"/>
      <c r="V68" s="190"/>
      <c r="W68" s="191"/>
      <c r="X68" s="192"/>
      <c r="Y68" s="115"/>
      <c r="Z68" s="116"/>
      <c r="AA68" s="116"/>
      <c r="AB68" s="116">
        <f t="shared" si="10"/>
        <v>0.54600000000000004</v>
      </c>
      <c r="AC68" s="115">
        <v>0.11</v>
      </c>
      <c r="AD68" s="116">
        <v>2.73</v>
      </c>
      <c r="AE68" s="116"/>
      <c r="AF68" s="116" t="s">
        <v>693</v>
      </c>
      <c r="AG68" s="116"/>
    </row>
    <row r="69" spans="2:33">
      <c r="B69" s="100" t="str">
        <f>Implements7[[#This Row],[Implement type]]&amp;", "&amp;Implements7[[#This Row],[Width]]&amp;" "&amp;Implements7[[#This Row],[Width Unit]]</f>
        <v>Peanut digger, 10 Ft</v>
      </c>
      <c r="C69" s="105" t="s">
        <v>671</v>
      </c>
      <c r="D69" s="106">
        <v>10</v>
      </c>
      <c r="E69" s="105" t="s">
        <v>439</v>
      </c>
      <c r="F69" s="106"/>
      <c r="G69" s="106" t="s">
        <v>684</v>
      </c>
      <c r="H69" s="186"/>
      <c r="I69" s="187"/>
      <c r="J69" s="195"/>
      <c r="K69" s="195"/>
      <c r="L69" s="180"/>
      <c r="M69" s="106"/>
      <c r="N69" s="310" t="s">
        <v>706</v>
      </c>
      <c r="O69" s="106"/>
      <c r="P69" s="106"/>
      <c r="Q69" s="187"/>
      <c r="R69" s="187"/>
      <c r="S69" s="106"/>
      <c r="T69" s="188"/>
      <c r="U69" s="189"/>
      <c r="V69" s="190"/>
      <c r="W69" s="191"/>
      <c r="X69" s="192"/>
      <c r="Y69" s="115"/>
      <c r="Z69" s="116"/>
      <c r="AA69" s="116"/>
      <c r="AB69" s="116">
        <f t="shared" si="10"/>
        <v>1.554</v>
      </c>
      <c r="AC69" s="115">
        <v>0.35</v>
      </c>
      <c r="AD69" s="116">
        <v>7.77</v>
      </c>
      <c r="AE69" s="116"/>
      <c r="AF69" s="116" t="s">
        <v>692</v>
      </c>
      <c r="AG69" s="116"/>
    </row>
    <row r="70" spans="2:33">
      <c r="B70" s="100" t="str">
        <f>Implements7[[#This Row],[Implement type]]&amp;", "&amp;Implements7[[#This Row],[Width]]&amp;" "&amp;Implements7[[#This Row],[Width Unit]]</f>
        <v>Peanut digger, 15 Ft Folding</v>
      </c>
      <c r="C70" s="105" t="s">
        <v>671</v>
      </c>
      <c r="D70" s="106">
        <v>15</v>
      </c>
      <c r="E70" s="105" t="s">
        <v>458</v>
      </c>
      <c r="F70" s="106"/>
      <c r="G70" s="106" t="s">
        <v>238</v>
      </c>
      <c r="H70" s="186"/>
      <c r="I70" s="187"/>
      <c r="J70" s="195"/>
      <c r="K70" s="195"/>
      <c r="L70" s="180"/>
      <c r="M70" s="106"/>
      <c r="N70" s="310" t="s">
        <v>706</v>
      </c>
      <c r="O70" s="106"/>
      <c r="P70" s="106"/>
      <c r="Q70" s="187"/>
      <c r="R70" s="187"/>
      <c r="S70" s="106"/>
      <c r="T70" s="188"/>
      <c r="U70" s="189"/>
      <c r="V70" s="190"/>
      <c r="W70" s="191"/>
      <c r="X70" s="192"/>
      <c r="Y70" s="115"/>
      <c r="Z70" s="116"/>
      <c r="AA70" s="116"/>
      <c r="AB70" s="116">
        <f t="shared" si="10"/>
        <v>1.5840000000000001</v>
      </c>
      <c r="AC70" s="115">
        <v>0.28999999999999998</v>
      </c>
      <c r="AD70" s="116">
        <v>7.92</v>
      </c>
      <c r="AE70" s="116"/>
      <c r="AF70" s="116" t="s">
        <v>692</v>
      </c>
      <c r="AG70" s="116"/>
    </row>
    <row r="71" spans="2:33">
      <c r="B71" s="100" t="str">
        <f>Implements7[[#This Row],[Implement type]]&amp;", "&amp;Implements7[[#This Row],[Width]]&amp;" "&amp;Implements7[[#This Row],[Width Unit]]</f>
        <v>Peanut shaker, 15 Ft Folding</v>
      </c>
      <c r="C71" s="105" t="s">
        <v>672</v>
      </c>
      <c r="D71" s="106">
        <v>15</v>
      </c>
      <c r="E71" s="105" t="s">
        <v>458</v>
      </c>
      <c r="F71" s="106"/>
      <c r="G71" s="105" t="s">
        <v>238</v>
      </c>
      <c r="H71" s="186"/>
      <c r="I71" s="187"/>
      <c r="J71" s="195"/>
      <c r="K71" s="195"/>
      <c r="L71" s="180"/>
      <c r="M71" s="106"/>
      <c r="N71" s="310" t="s">
        <v>706</v>
      </c>
      <c r="O71" s="106"/>
      <c r="P71" s="106"/>
      <c r="Q71" s="187"/>
      <c r="R71" s="187"/>
      <c r="S71" s="106"/>
      <c r="T71" s="188"/>
      <c r="U71" s="189"/>
      <c r="V71" s="190"/>
      <c r="W71" s="191"/>
      <c r="X71" s="192"/>
      <c r="Y71" s="115"/>
      <c r="Z71" s="116"/>
      <c r="AA71" s="116"/>
      <c r="AB71" s="116">
        <f t="shared" si="10"/>
        <v>1.0580000000000001</v>
      </c>
      <c r="AC71" s="115">
        <v>0.27</v>
      </c>
      <c r="AD71" s="116">
        <v>5.29</v>
      </c>
      <c r="AE71" s="116"/>
      <c r="AF71" s="116" t="s">
        <v>692</v>
      </c>
      <c r="AG71" s="116"/>
    </row>
    <row r="72" spans="2:33">
      <c r="B72" s="100" t="str">
        <f>Implements7[[#This Row],[Implement type]]&amp;", "&amp;Implements7[[#This Row],[Width]]&amp;" "&amp;Implements7[[#This Row],[Width Unit]]</f>
        <v>Peanut shaker, 20 Ft Folding</v>
      </c>
      <c r="C72" s="105" t="s">
        <v>672</v>
      </c>
      <c r="D72" s="106">
        <v>20</v>
      </c>
      <c r="E72" s="105" t="s">
        <v>458</v>
      </c>
      <c r="F72" s="106"/>
      <c r="G72" s="105" t="s">
        <v>260</v>
      </c>
      <c r="H72" s="186"/>
      <c r="I72" s="187"/>
      <c r="J72" s="195"/>
      <c r="K72" s="195"/>
      <c r="L72" s="180"/>
      <c r="M72" s="106"/>
      <c r="N72" s="310" t="s">
        <v>706</v>
      </c>
      <c r="O72" s="106"/>
      <c r="P72" s="106"/>
      <c r="Q72" s="187"/>
      <c r="R72" s="187"/>
      <c r="S72" s="106"/>
      <c r="T72" s="188"/>
      <c r="U72" s="189"/>
      <c r="V72" s="190"/>
      <c r="W72" s="191"/>
      <c r="X72" s="192"/>
      <c r="Y72" s="115"/>
      <c r="Z72" s="116"/>
      <c r="AA72" s="116"/>
      <c r="AB72" s="116">
        <f t="shared" si="10"/>
        <v>0.69200000000000006</v>
      </c>
      <c r="AC72" s="115">
        <v>0.18</v>
      </c>
      <c r="AD72" s="116">
        <v>3.46</v>
      </c>
      <c r="AE72" s="116"/>
      <c r="AF72" s="116" t="s">
        <v>692</v>
      </c>
      <c r="AG72" s="116"/>
    </row>
    <row r="73" spans="2:33">
      <c r="B73" s="100" t="str">
        <f>Implements7[[#This Row],[Implement type]]&amp;", "&amp;Implements7[[#This Row],[Width]]&amp;" "&amp;Implements7[[#This Row],[Width Unit]]</f>
        <v>Peanut combine, 10 Ft</v>
      </c>
      <c r="C73" s="105" t="s">
        <v>673</v>
      </c>
      <c r="D73" s="106">
        <v>10</v>
      </c>
      <c r="E73" s="105" t="s">
        <v>439</v>
      </c>
      <c r="F73" s="106"/>
      <c r="G73" s="105" t="s">
        <v>684</v>
      </c>
      <c r="H73" s="186"/>
      <c r="I73" s="187"/>
      <c r="J73" s="195"/>
      <c r="K73" s="195"/>
      <c r="L73" s="180"/>
      <c r="M73" s="106"/>
      <c r="N73" s="310" t="s">
        <v>706</v>
      </c>
      <c r="O73" s="106"/>
      <c r="P73" s="106"/>
      <c r="Q73" s="187"/>
      <c r="R73" s="187"/>
      <c r="S73" s="106"/>
      <c r="T73" s="188"/>
      <c r="U73" s="189"/>
      <c r="V73" s="190"/>
      <c r="W73" s="191"/>
      <c r="X73" s="192"/>
      <c r="Y73" s="115"/>
      <c r="Z73" s="116"/>
      <c r="AA73" s="116"/>
      <c r="AB73" s="116">
        <f t="shared" si="10"/>
        <v>6.4860000000000007</v>
      </c>
      <c r="AC73" s="115">
        <v>0.56999999999999995</v>
      </c>
      <c r="AD73" s="116">
        <v>32.43</v>
      </c>
      <c r="AE73" s="116"/>
      <c r="AF73" s="116" t="s">
        <v>692</v>
      </c>
      <c r="AG73" s="116"/>
    </row>
    <row r="74" spans="2:33">
      <c r="B74" s="100" t="str">
        <f>Implements7[[#This Row],[Implement type]]&amp;", "&amp;Implements7[[#This Row],[Width]]&amp;" "&amp;Implements7[[#This Row],[Width Unit]]</f>
        <v>Peanut combine, 15 ft</v>
      </c>
      <c r="C74" s="105" t="s">
        <v>673</v>
      </c>
      <c r="D74" s="106">
        <v>15</v>
      </c>
      <c r="E74" s="105" t="s">
        <v>687</v>
      </c>
      <c r="F74" s="106"/>
      <c r="G74" s="105" t="s">
        <v>238</v>
      </c>
      <c r="H74" s="186"/>
      <c r="I74" s="187"/>
      <c r="J74" s="195"/>
      <c r="K74" s="195"/>
      <c r="L74" s="180"/>
      <c r="M74" s="106"/>
      <c r="N74" s="310" t="s">
        <v>706</v>
      </c>
      <c r="O74" s="106"/>
      <c r="P74" s="106"/>
      <c r="Q74" s="187"/>
      <c r="R74" s="187"/>
      <c r="S74" s="106"/>
      <c r="T74" s="188"/>
      <c r="U74" s="189"/>
      <c r="V74" s="190"/>
      <c r="W74" s="191"/>
      <c r="X74" s="192"/>
      <c r="Y74" s="115"/>
      <c r="Z74" s="116"/>
      <c r="AA74" s="116"/>
      <c r="AB74" s="116">
        <f t="shared" si="10"/>
        <v>4.7220000000000004</v>
      </c>
      <c r="AC74" s="115">
        <v>0.38</v>
      </c>
      <c r="AD74" s="116">
        <v>23.61</v>
      </c>
      <c r="AE74" s="116"/>
      <c r="AF74" s="116" t="s">
        <v>692</v>
      </c>
      <c r="AG74" s="116"/>
    </row>
    <row r="75" spans="2:33">
      <c r="B75" s="100" t="str">
        <f>Implements7[[#This Row],[Implement type]]&amp;", "&amp;Implements7[[#This Row],[Width]]&amp;" "&amp;Implements7[[#This Row],[Width Unit]]</f>
        <v>Peanut dump cart, 30 Ft</v>
      </c>
      <c r="C75" s="105" t="s">
        <v>674</v>
      </c>
      <c r="D75" s="106">
        <v>30</v>
      </c>
      <c r="E75" s="105" t="s">
        <v>439</v>
      </c>
      <c r="F75" s="106"/>
      <c r="G75" s="105" t="s">
        <v>688</v>
      </c>
      <c r="H75" s="186"/>
      <c r="I75" s="187"/>
      <c r="J75" s="195"/>
      <c r="K75" s="195"/>
      <c r="L75" s="180"/>
      <c r="M75" s="106"/>
      <c r="N75" s="310" t="s">
        <v>706</v>
      </c>
      <c r="O75" s="106"/>
      <c r="P75" s="106"/>
      <c r="Q75" s="187"/>
      <c r="R75" s="187"/>
      <c r="S75" s="106"/>
      <c r="T75" s="188"/>
      <c r="U75" s="189"/>
      <c r="V75" s="190"/>
      <c r="W75" s="191"/>
      <c r="X75" s="192"/>
      <c r="Y75" s="115"/>
      <c r="Z75" s="116"/>
      <c r="AA75" s="116"/>
      <c r="AB75" s="116">
        <f t="shared" si="10"/>
        <v>2.25</v>
      </c>
      <c r="AC75" s="115">
        <v>0.2</v>
      </c>
      <c r="AD75" s="116">
        <v>11.25</v>
      </c>
      <c r="AE75" s="116"/>
      <c r="AF75" s="116" t="s">
        <v>692</v>
      </c>
      <c r="AG75" s="116"/>
    </row>
    <row r="76" spans="2:33">
      <c r="B76" s="100" t="str">
        <f>Implements7[[#This Row],[Implement type]]&amp;", "&amp;Implements7[[#This Row],[Width]]&amp;" "&amp;Implements7[[#This Row],[Width Unit]]</f>
        <v>Subsoiler, 10 Ft</v>
      </c>
      <c r="C76" s="105" t="s">
        <v>666</v>
      </c>
      <c r="D76" s="106">
        <v>10</v>
      </c>
      <c r="E76" s="105" t="s">
        <v>439</v>
      </c>
      <c r="F76" s="106"/>
      <c r="G76" s="105" t="s">
        <v>680</v>
      </c>
      <c r="H76" s="186"/>
      <c r="I76" s="187"/>
      <c r="J76" s="195"/>
      <c r="K76" s="195"/>
      <c r="L76" s="180"/>
      <c r="M76" s="106"/>
      <c r="N76" s="310" t="s">
        <v>706</v>
      </c>
      <c r="O76" s="106"/>
      <c r="P76" s="106"/>
      <c r="Q76" s="187"/>
      <c r="R76" s="187"/>
      <c r="S76" s="106"/>
      <c r="T76" s="188"/>
      <c r="U76" s="189"/>
      <c r="V76" s="190"/>
      <c r="W76" s="191"/>
      <c r="X76" s="192"/>
      <c r="Y76" s="115"/>
      <c r="Z76" s="116"/>
      <c r="AA76" s="116"/>
      <c r="AB76" s="116">
        <f t="shared" si="10"/>
        <v>0.82200000000000006</v>
      </c>
      <c r="AC76" s="115">
        <v>0.26</v>
      </c>
      <c r="AD76" s="116">
        <v>4.1100000000000003</v>
      </c>
      <c r="AE76" s="116"/>
      <c r="AF76" s="116" t="s">
        <v>501</v>
      </c>
      <c r="AG76" s="116"/>
    </row>
    <row r="77" spans="2:33">
      <c r="B77" s="100" t="str">
        <f>Implements7[[#This Row],[Implement type]]&amp;", "&amp;Implements7[[#This Row],[Width]]&amp;" "&amp;Implements7[[#This Row],[Width Unit]]</f>
        <v>Subsoiler, 15 Ft</v>
      </c>
      <c r="C77" s="105" t="s">
        <v>666</v>
      </c>
      <c r="D77" s="106">
        <v>15</v>
      </c>
      <c r="E77" s="105" t="s">
        <v>439</v>
      </c>
      <c r="F77" s="106"/>
      <c r="G77" s="105" t="s">
        <v>681</v>
      </c>
      <c r="H77" s="186"/>
      <c r="I77" s="187"/>
      <c r="J77" s="195"/>
      <c r="K77" s="195"/>
      <c r="L77" s="180"/>
      <c r="M77" s="106"/>
      <c r="N77" s="310" t="s">
        <v>706</v>
      </c>
      <c r="O77" s="106"/>
      <c r="P77" s="106"/>
      <c r="Q77" s="187"/>
      <c r="R77" s="187"/>
      <c r="S77" s="106"/>
      <c r="T77" s="188"/>
      <c r="U77" s="189"/>
      <c r="V77" s="190"/>
      <c r="W77" s="191"/>
      <c r="X77" s="192"/>
      <c r="Y77" s="115"/>
      <c r="Z77" s="116"/>
      <c r="AA77" s="116"/>
      <c r="AB77" s="116">
        <f t="shared" si="10"/>
        <v>0.59400000000000008</v>
      </c>
      <c r="AC77" s="115">
        <v>0.17</v>
      </c>
      <c r="AD77" s="116">
        <v>2.97</v>
      </c>
      <c r="AE77" s="116"/>
      <c r="AF77" s="116" t="s">
        <v>501</v>
      </c>
      <c r="AG77" s="116"/>
    </row>
    <row r="78" spans="2:33">
      <c r="B78" s="100" t="str">
        <f>Implements7[[#This Row],[Implement type]]&amp;", "&amp;Implements7[[#This Row],[Width]]&amp;" "&amp;Implements7[[#This Row],[Width Unit]]</f>
        <v>Subsoiler, 20 Ft Folding</v>
      </c>
      <c r="C78" s="105" t="s">
        <v>666</v>
      </c>
      <c r="D78" s="106">
        <v>20</v>
      </c>
      <c r="E78" s="105" t="s">
        <v>458</v>
      </c>
      <c r="F78" s="106"/>
      <c r="G78" s="105" t="s">
        <v>682</v>
      </c>
      <c r="H78" s="186"/>
      <c r="I78" s="187"/>
      <c r="J78" s="195"/>
      <c r="K78" s="195"/>
      <c r="L78" s="180"/>
      <c r="M78" s="106"/>
      <c r="N78" s="310" t="s">
        <v>706</v>
      </c>
      <c r="O78" s="106"/>
      <c r="P78" s="106"/>
      <c r="Q78" s="187"/>
      <c r="R78" s="187"/>
      <c r="S78" s="106"/>
      <c r="T78" s="188"/>
      <c r="U78" s="189"/>
      <c r="V78" s="190"/>
      <c r="W78" s="191"/>
      <c r="X78" s="192"/>
      <c r="Y78" s="115"/>
      <c r="Z78" s="116"/>
      <c r="AA78" s="116"/>
      <c r="AB78" s="116">
        <f t="shared" si="10"/>
        <v>0.53600000000000003</v>
      </c>
      <c r="AC78" s="115">
        <v>0.11</v>
      </c>
      <c r="AD78" s="116">
        <v>2.68</v>
      </c>
      <c r="AE78" s="116"/>
      <c r="AF78" s="116" t="s">
        <v>501</v>
      </c>
      <c r="AG78" s="116"/>
    </row>
    <row r="79" spans="2:33">
      <c r="B79" s="100" t="str">
        <f>Implements7[[#This Row],[Implement type]]&amp;", "&amp;Implements7[[#This Row],[Width]]&amp;" "&amp;Implements7[[#This Row],[Width Unit]]</f>
        <v>Vegetable transplanter, 14 Ft</v>
      </c>
      <c r="C79" s="105" t="s">
        <v>670</v>
      </c>
      <c r="D79" s="106">
        <v>14</v>
      </c>
      <c r="E79" s="105" t="s">
        <v>439</v>
      </c>
      <c r="F79" s="106"/>
      <c r="G79" s="105" t="s">
        <v>684</v>
      </c>
      <c r="H79" s="186"/>
      <c r="I79" s="187"/>
      <c r="J79" s="195"/>
      <c r="K79" s="195"/>
      <c r="L79" s="180"/>
      <c r="M79" s="106"/>
      <c r="N79" s="310" t="s">
        <v>706</v>
      </c>
      <c r="O79" s="106"/>
      <c r="P79" s="106"/>
      <c r="Q79" s="187"/>
      <c r="R79" s="187"/>
      <c r="S79" s="106"/>
      <c r="T79" s="188"/>
      <c r="U79" s="189"/>
      <c r="V79" s="190"/>
      <c r="W79" s="191"/>
      <c r="X79" s="192"/>
      <c r="Y79" s="115"/>
      <c r="Z79" s="116"/>
      <c r="AA79" s="116"/>
      <c r="AB79" s="116">
        <f t="shared" si="10"/>
        <v>1.3980000000000001</v>
      </c>
      <c r="AC79" s="115">
        <v>0.19</v>
      </c>
      <c r="AD79" s="116">
        <v>6.99</v>
      </c>
      <c r="AE79" s="116"/>
      <c r="AF79" s="116" t="s">
        <v>690</v>
      </c>
      <c r="AG79" s="116"/>
    </row>
    <row r="80" spans="2:33">
      <c r="B80" s="100" t="str">
        <f>Implements7[[#This Row],[Implement type]]&amp;", "&amp;Implements7[[#This Row],[Width]]&amp;" "&amp;Implements7[[#This Row],[Width Unit]]</f>
        <v>Vegetable transplanter, 18 Ft Folding</v>
      </c>
      <c r="C80" s="105" t="s">
        <v>670</v>
      </c>
      <c r="D80" s="106">
        <v>18</v>
      </c>
      <c r="E80" s="105" t="s">
        <v>458</v>
      </c>
      <c r="F80" s="106"/>
      <c r="G80" s="105" t="s">
        <v>238</v>
      </c>
      <c r="H80" s="186"/>
      <c r="I80" s="187"/>
      <c r="J80" s="195"/>
      <c r="K80" s="195"/>
      <c r="L80" s="180"/>
      <c r="M80" s="106"/>
      <c r="N80" s="310" t="s">
        <v>706</v>
      </c>
      <c r="O80" s="106"/>
      <c r="P80" s="106"/>
      <c r="Q80" s="187"/>
      <c r="R80" s="187"/>
      <c r="S80" s="106"/>
      <c r="T80" s="188"/>
      <c r="U80" s="189"/>
      <c r="V80" s="190"/>
      <c r="W80" s="191"/>
      <c r="X80" s="192"/>
      <c r="Y80" s="115"/>
      <c r="Z80" s="116"/>
      <c r="AA80" s="116"/>
      <c r="AB80" s="116">
        <f t="shared" si="10"/>
        <v>1.304</v>
      </c>
      <c r="AC80" s="115">
        <v>0.16</v>
      </c>
      <c r="AD80" s="116">
        <v>6.52</v>
      </c>
      <c r="AE80" s="116"/>
      <c r="AF80" s="116" t="s">
        <v>690</v>
      </c>
      <c r="AG80" s="116"/>
    </row>
    <row r="81" spans="2:33">
      <c r="B81" s="100" t="str">
        <f>Implements7[[#This Row],[Implement type]]&amp;", "&amp;Implements7[[#This Row],[Width]]&amp;" "&amp;Implements7[[#This Row],[Width Unit]]</f>
        <v>Sprayer, hooded, 18 Ft Folding</v>
      </c>
      <c r="C81" s="105" t="s">
        <v>685</v>
      </c>
      <c r="D81" s="106">
        <v>18</v>
      </c>
      <c r="E81" s="105" t="s">
        <v>458</v>
      </c>
      <c r="F81" s="106"/>
      <c r="G81" s="105" t="s">
        <v>238</v>
      </c>
      <c r="H81" s="186"/>
      <c r="I81" s="187"/>
      <c r="J81" s="195"/>
      <c r="K81" s="195"/>
      <c r="L81" s="180"/>
      <c r="M81" s="106"/>
      <c r="N81" s="310" t="s">
        <v>706</v>
      </c>
      <c r="O81" s="106"/>
      <c r="P81" s="106"/>
      <c r="Q81" s="187"/>
      <c r="R81" s="187"/>
      <c r="S81" s="106"/>
      <c r="T81" s="188"/>
      <c r="U81" s="189"/>
      <c r="V81" s="190"/>
      <c r="W81" s="191"/>
      <c r="X81" s="192"/>
      <c r="Y81" s="115"/>
      <c r="Z81" s="116"/>
      <c r="AA81" s="116"/>
      <c r="AB81" s="116">
        <f t="shared" si="10"/>
        <v>0.26600000000000001</v>
      </c>
      <c r="AC81" s="115">
        <v>0.12</v>
      </c>
      <c r="AD81" s="116">
        <v>1.33</v>
      </c>
      <c r="AE81" s="116"/>
      <c r="AF81" s="116" t="s">
        <v>691</v>
      </c>
      <c r="AG81" s="116"/>
    </row>
    <row r="82" spans="2:33">
      <c r="B82" s="100" t="str">
        <f>Implements7[[#This Row],[Implement type]]&amp;", "&amp;Implements7[[#This Row],[Width]]&amp;" "&amp;Implements7[[#This Row],[Width Unit]]</f>
        <v>Sprayer, hooded, 24 Ft Folding</v>
      </c>
      <c r="C82" s="105" t="s">
        <v>685</v>
      </c>
      <c r="D82" s="106">
        <v>24</v>
      </c>
      <c r="E82" s="105" t="s">
        <v>458</v>
      </c>
      <c r="F82" s="106"/>
      <c r="G82" s="105" t="s">
        <v>260</v>
      </c>
      <c r="H82" s="186"/>
      <c r="I82" s="187"/>
      <c r="J82" s="195"/>
      <c r="K82" s="195"/>
      <c r="L82" s="180"/>
      <c r="M82" s="106"/>
      <c r="N82" s="310" t="s">
        <v>706</v>
      </c>
      <c r="O82" s="106"/>
      <c r="P82" s="106"/>
      <c r="Q82" s="187"/>
      <c r="R82" s="187"/>
      <c r="S82" s="106"/>
      <c r="T82" s="188"/>
      <c r="U82" s="189"/>
      <c r="V82" s="190"/>
      <c r="W82" s="191"/>
      <c r="X82" s="192"/>
      <c r="Y82" s="115"/>
      <c r="Z82" s="116"/>
      <c r="AA82" s="116"/>
      <c r="AB82" s="116">
        <f t="shared" si="10"/>
        <v>0.22999999999999998</v>
      </c>
      <c r="AC82" s="115">
        <v>0.09</v>
      </c>
      <c r="AD82" s="116">
        <v>1.1499999999999999</v>
      </c>
      <c r="AE82" s="116"/>
      <c r="AF82" s="116" t="s">
        <v>691</v>
      </c>
      <c r="AG82" s="116"/>
    </row>
    <row r="83" spans="2:33">
      <c r="B83" s="100" t="str">
        <f>Implements7[[#This Row],[Implement type]]&amp;", "&amp;Implements7[[#This Row],[Width]]&amp;" "&amp;Implements7[[#This Row],[Width Unit]]</f>
        <v>Sprayer, hooded, 36 Ft Folding</v>
      </c>
      <c r="C83" s="105" t="s">
        <v>685</v>
      </c>
      <c r="D83" s="106">
        <v>36</v>
      </c>
      <c r="E83" s="105" t="s">
        <v>458</v>
      </c>
      <c r="F83" s="106"/>
      <c r="G83" s="105" t="s">
        <v>683</v>
      </c>
      <c r="H83" s="186"/>
      <c r="I83" s="187"/>
      <c r="J83" s="195"/>
      <c r="K83" s="195"/>
      <c r="L83" s="180"/>
      <c r="M83" s="106"/>
      <c r="N83" s="310" t="s">
        <v>706</v>
      </c>
      <c r="O83" s="106"/>
      <c r="P83" s="106"/>
      <c r="Q83" s="187"/>
      <c r="R83" s="187"/>
      <c r="S83" s="106"/>
      <c r="T83" s="188"/>
      <c r="U83" s="189"/>
      <c r="V83" s="190"/>
      <c r="W83" s="191"/>
      <c r="X83" s="192"/>
      <c r="Y83" s="115"/>
      <c r="Z83" s="116"/>
      <c r="AA83" s="116"/>
      <c r="AB83" s="116">
        <f t="shared" si="10"/>
        <v>0.22599999999999998</v>
      </c>
      <c r="AC83" s="115">
        <v>0.06</v>
      </c>
      <c r="AD83" s="116">
        <v>1.1299999999999999</v>
      </c>
      <c r="AE83" s="116"/>
      <c r="AF83" s="116" t="s">
        <v>691</v>
      </c>
      <c r="AG83" s="116"/>
    </row>
    <row r="84" spans="2:33">
      <c r="B84" s="100" t="str">
        <f>Implements7[[#This Row],[Implement type]]&amp;", "&amp;Implements7[[#This Row],[Width]]&amp;" "&amp;Implements7[[#This Row],[Width Unit]]</f>
        <v>Sprayer, lay-by, 18 Ft Folding</v>
      </c>
      <c r="C84" s="105" t="s">
        <v>686</v>
      </c>
      <c r="D84" s="106">
        <v>18</v>
      </c>
      <c r="E84" s="105" t="s">
        <v>458</v>
      </c>
      <c r="F84" s="106"/>
      <c r="G84" s="105" t="s">
        <v>238</v>
      </c>
      <c r="H84" s="186"/>
      <c r="I84" s="187"/>
      <c r="J84" s="195"/>
      <c r="K84" s="195"/>
      <c r="L84" s="180"/>
      <c r="M84" s="106"/>
      <c r="N84" s="310" t="s">
        <v>706</v>
      </c>
      <c r="O84" s="106"/>
      <c r="P84" s="106"/>
      <c r="Q84" s="187"/>
      <c r="R84" s="187"/>
      <c r="S84" s="106"/>
      <c r="T84" s="188"/>
      <c r="U84" s="189"/>
      <c r="V84" s="190"/>
      <c r="W84" s="191"/>
      <c r="X84" s="192"/>
      <c r="Y84" s="115"/>
      <c r="Z84" s="116"/>
      <c r="AA84" s="116"/>
      <c r="AB84" s="116">
        <f t="shared" si="10"/>
        <v>0.24199999999999999</v>
      </c>
      <c r="AC84" s="115">
        <v>0.12</v>
      </c>
      <c r="AD84" s="116">
        <v>1.21</v>
      </c>
      <c r="AE84" s="116"/>
      <c r="AF84" s="116" t="s">
        <v>691</v>
      </c>
      <c r="AG84" s="116"/>
    </row>
    <row r="85" spans="2:33">
      <c r="B85" s="100" t="str">
        <f>Implements7[[#This Row],[Implement type]]&amp;", "&amp;Implements7[[#This Row],[Width]]&amp;" "&amp;Implements7[[#This Row],[Width Unit]]</f>
        <v>Sprayer, lay-by, 24 Ft Folding</v>
      </c>
      <c r="C85" s="105" t="s">
        <v>686</v>
      </c>
      <c r="D85" s="106">
        <v>24</v>
      </c>
      <c r="E85" s="105" t="s">
        <v>458</v>
      </c>
      <c r="F85" s="106"/>
      <c r="G85" s="105" t="s">
        <v>260</v>
      </c>
      <c r="H85" s="186"/>
      <c r="I85" s="187"/>
      <c r="J85" s="195"/>
      <c r="K85" s="195"/>
      <c r="L85" s="180"/>
      <c r="M85" s="106"/>
      <c r="N85" s="310" t="s">
        <v>706</v>
      </c>
      <c r="O85" s="106"/>
      <c r="P85" s="106"/>
      <c r="Q85" s="187"/>
      <c r="R85" s="187"/>
      <c r="S85" s="106"/>
      <c r="T85" s="188"/>
      <c r="U85" s="189"/>
      <c r="V85" s="190"/>
      <c r="W85" s="191"/>
      <c r="X85" s="192"/>
      <c r="Y85" s="115"/>
      <c r="Z85" s="116"/>
      <c r="AA85" s="116"/>
      <c r="AB85" s="116">
        <f t="shared" si="10"/>
        <v>0.20800000000000002</v>
      </c>
      <c r="AC85" s="115">
        <v>0.09</v>
      </c>
      <c r="AD85" s="116">
        <v>1.04</v>
      </c>
      <c r="AE85" s="116"/>
      <c r="AF85" s="116" t="s">
        <v>691</v>
      </c>
      <c r="AG85" s="116"/>
    </row>
    <row r="86" spans="2:33">
      <c r="B86" s="100" t="str">
        <f>Implements7[[#This Row],[Implement type]]&amp;", "&amp;Implements7[[#This Row],[Width]]&amp;" "&amp;Implements7[[#This Row],[Width Unit]]</f>
        <v>Sprayer, lay-by, 36 Ft Folding</v>
      </c>
      <c r="C86" s="105" t="s">
        <v>686</v>
      </c>
      <c r="D86" s="106">
        <v>36</v>
      </c>
      <c r="E86" s="105" t="s">
        <v>458</v>
      </c>
      <c r="F86" s="106"/>
      <c r="G86" s="105" t="s">
        <v>683</v>
      </c>
      <c r="H86" s="186"/>
      <c r="I86" s="187"/>
      <c r="J86" s="195"/>
      <c r="K86" s="195"/>
      <c r="L86" s="180"/>
      <c r="M86" s="106"/>
      <c r="N86" s="310" t="s">
        <v>706</v>
      </c>
      <c r="O86" s="106"/>
      <c r="P86" s="106"/>
      <c r="Q86" s="187"/>
      <c r="R86" s="187"/>
      <c r="S86" s="106"/>
      <c r="T86" s="188"/>
      <c r="U86" s="189"/>
      <c r="V86" s="190"/>
      <c r="W86" s="191"/>
      <c r="X86" s="192"/>
      <c r="Y86" s="115"/>
      <c r="Z86" s="116"/>
      <c r="AA86" s="116"/>
      <c r="AB86" s="116">
        <f t="shared" si="10"/>
        <v>0.22799999999999998</v>
      </c>
      <c r="AC86" s="115">
        <v>0.06</v>
      </c>
      <c r="AD86" s="116">
        <v>1.1399999999999999</v>
      </c>
      <c r="AE86" s="116"/>
      <c r="AF86" s="116" t="s">
        <v>691</v>
      </c>
      <c r="AG86" s="116"/>
    </row>
    <row r="87" spans="2:33">
      <c r="B87" s="100" t="str">
        <f>Implements7[[#This Row],[Implement type]]&amp;", "&amp;Implements7[[#This Row],[Width]]&amp;" "&amp;Implements7[[#This Row],[Width Unit]]</f>
        <v>Coulter-side dress applicator, 15 Ft</v>
      </c>
      <c r="C87" s="105" t="s">
        <v>679</v>
      </c>
      <c r="D87" s="106">
        <v>15</v>
      </c>
      <c r="E87" s="105" t="s">
        <v>439</v>
      </c>
      <c r="F87" s="106"/>
      <c r="G87" s="105" t="s">
        <v>238</v>
      </c>
      <c r="H87" s="186"/>
      <c r="I87" s="187"/>
      <c r="J87" s="195"/>
      <c r="K87" s="195"/>
      <c r="L87" s="180"/>
      <c r="M87" s="106"/>
      <c r="N87" s="310" t="s">
        <v>706</v>
      </c>
      <c r="O87" s="106"/>
      <c r="P87" s="106"/>
      <c r="Q87" s="187"/>
      <c r="R87" s="187"/>
      <c r="S87" s="106"/>
      <c r="T87" s="188"/>
      <c r="U87" s="189"/>
      <c r="V87" s="190"/>
      <c r="W87" s="191"/>
      <c r="X87" s="192"/>
      <c r="Y87" s="115"/>
      <c r="Z87" s="116"/>
      <c r="AA87" s="116"/>
      <c r="AB87" s="116">
        <f t="shared" si="10"/>
        <v>0.29799999999999999</v>
      </c>
      <c r="AC87" s="115">
        <v>0.14000000000000001</v>
      </c>
      <c r="AD87" s="116">
        <v>1.49</v>
      </c>
      <c r="AE87" s="116"/>
      <c r="AF87" s="116" t="s">
        <v>694</v>
      </c>
      <c r="AG87" s="116"/>
    </row>
    <row r="88" spans="2:33">
      <c r="B88" s="100" t="str">
        <f>Implements7[[#This Row],[Implement type]]&amp;", "&amp;Implements7[[#This Row],[Width]]&amp;" "&amp;Implements7[[#This Row],[Width Unit]]</f>
        <v>Coulter-side dress applicator, 20 Ft Folding</v>
      </c>
      <c r="C88" s="105" t="s">
        <v>679</v>
      </c>
      <c r="D88" s="106">
        <v>20</v>
      </c>
      <c r="E88" s="105" t="s">
        <v>458</v>
      </c>
      <c r="F88" s="106"/>
      <c r="G88" s="105" t="s">
        <v>260</v>
      </c>
      <c r="H88" s="186"/>
      <c r="I88" s="187"/>
      <c r="J88" s="195"/>
      <c r="K88" s="195"/>
      <c r="L88" s="180"/>
      <c r="M88" s="106"/>
      <c r="N88" s="310" t="s">
        <v>706</v>
      </c>
      <c r="O88" s="106"/>
      <c r="P88" s="106"/>
      <c r="Q88" s="187"/>
      <c r="R88" s="187"/>
      <c r="S88" s="106"/>
      <c r="T88" s="188"/>
      <c r="U88" s="189"/>
      <c r="V88" s="190"/>
      <c r="W88" s="191"/>
      <c r="X88" s="192"/>
      <c r="Y88" s="115"/>
      <c r="Z88" s="116"/>
      <c r="AA88" s="116"/>
      <c r="AB88" s="116">
        <f t="shared" si="10"/>
        <v>0.28599999999999998</v>
      </c>
      <c r="AC88" s="115">
        <v>0.1</v>
      </c>
      <c r="AD88" s="116">
        <v>1.43</v>
      </c>
      <c r="AE88" s="116"/>
      <c r="AF88" s="116" t="s">
        <v>694</v>
      </c>
      <c r="AG88" s="116"/>
    </row>
    <row r="89" spans="2:33">
      <c r="B89" s="100" t="str">
        <f>Implements7[[#This Row],[Implement type]]&amp;", "&amp;Implements7[[#This Row],[Width]]&amp;" "&amp;Implements7[[#This Row],[Width Unit]]</f>
        <v>Coulter-side dress applicator, 30 Ft Folding</v>
      </c>
      <c r="C89" s="105" t="s">
        <v>679</v>
      </c>
      <c r="D89" s="106">
        <v>30</v>
      </c>
      <c r="E89" s="105" t="s">
        <v>458</v>
      </c>
      <c r="F89" s="106"/>
      <c r="G89" s="105" t="s">
        <v>683</v>
      </c>
      <c r="H89" s="186"/>
      <c r="I89" s="187"/>
      <c r="J89" s="195"/>
      <c r="K89" s="195"/>
      <c r="L89" s="180"/>
      <c r="M89" s="106"/>
      <c r="N89" s="310" t="s">
        <v>706</v>
      </c>
      <c r="O89" s="106"/>
      <c r="P89" s="106"/>
      <c r="Q89" s="187"/>
      <c r="R89" s="187"/>
      <c r="S89" s="106"/>
      <c r="T89" s="188"/>
      <c r="U89" s="189"/>
      <c r="V89" s="190"/>
      <c r="W89" s="191"/>
      <c r="X89" s="192"/>
      <c r="Y89" s="115"/>
      <c r="Z89" s="116"/>
      <c r="AA89" s="116"/>
      <c r="AB89" s="116">
        <f t="shared" si="10"/>
        <v>0.29799999999999999</v>
      </c>
      <c r="AC89" s="115">
        <v>7.0000000000000007E-2</v>
      </c>
      <c r="AD89" s="116">
        <v>1.49</v>
      </c>
      <c r="AE89" s="116"/>
      <c r="AF89" s="116" t="s">
        <v>694</v>
      </c>
      <c r="AG89" s="116"/>
    </row>
    <row r="90" spans="2:33">
      <c r="B90" s="100" t="str">
        <f>Implements7[[#This Row],[Implement type]]&amp;", "&amp;Implements7[[#This Row],[Width]]&amp;" "&amp;Implements7[[#This Row],[Width Unit]]</f>
        <v>Strip-till, 20 Ft</v>
      </c>
      <c r="C90" s="105" t="s">
        <v>668</v>
      </c>
      <c r="D90" s="106">
        <v>20</v>
      </c>
      <c r="E90" s="105" t="s">
        <v>439</v>
      </c>
      <c r="F90" s="106"/>
      <c r="G90" s="105"/>
      <c r="H90" s="186"/>
      <c r="I90" s="187"/>
      <c r="J90" s="195"/>
      <c r="K90" s="195"/>
      <c r="L90" s="180"/>
      <c r="M90" s="106"/>
      <c r="N90" s="310" t="s">
        <v>706</v>
      </c>
      <c r="O90" s="106"/>
      <c r="P90" s="106"/>
      <c r="Q90" s="187"/>
      <c r="R90" s="187"/>
      <c r="S90" s="106"/>
      <c r="T90" s="188"/>
      <c r="U90" s="189"/>
      <c r="V90" s="190"/>
      <c r="W90" s="191"/>
      <c r="X90" s="192"/>
      <c r="Y90" s="115"/>
      <c r="Z90" s="116"/>
      <c r="AA90" s="116"/>
      <c r="AB90" s="116">
        <f t="shared" si="10"/>
        <v>0.29599999999999999</v>
      </c>
      <c r="AC90" s="115">
        <v>0.14000000000000001</v>
      </c>
      <c r="AD90" s="116">
        <v>1.48</v>
      </c>
      <c r="AE90" s="116"/>
      <c r="AF90" s="116" t="s">
        <v>446</v>
      </c>
      <c r="AG90" s="116"/>
    </row>
    <row r="91" spans="2:33">
      <c r="B91" s="100" t="str">
        <f>Implements7[[#This Row],[Implement type]]&amp;", "&amp;Implements7[[#This Row],[Width]]&amp;" "&amp;Implements7[[#This Row],[Width Unit]]</f>
        <v>Strip-till, 30 Ft Folding</v>
      </c>
      <c r="C91" s="105" t="s">
        <v>668</v>
      </c>
      <c r="D91" s="106">
        <v>30</v>
      </c>
      <c r="E91" s="105" t="s">
        <v>458</v>
      </c>
      <c r="F91" s="106"/>
      <c r="G91" s="105"/>
      <c r="H91" s="186"/>
      <c r="I91" s="187"/>
      <c r="J91" s="195"/>
      <c r="K91" s="195"/>
      <c r="L91" s="180"/>
      <c r="M91" s="106"/>
      <c r="N91" s="310" t="s">
        <v>706</v>
      </c>
      <c r="O91" s="106"/>
      <c r="P91" s="106"/>
      <c r="Q91" s="187"/>
      <c r="R91" s="187"/>
      <c r="S91" s="106"/>
      <c r="T91" s="188"/>
      <c r="U91" s="189"/>
      <c r="V91" s="190"/>
      <c r="W91" s="191"/>
      <c r="X91" s="192"/>
      <c r="Y91" s="115"/>
      <c r="Z91" s="116"/>
      <c r="AA91" s="116"/>
      <c r="AB91" s="116">
        <f t="shared" si="10"/>
        <v>0.45</v>
      </c>
      <c r="AC91" s="115">
        <v>0.11</v>
      </c>
      <c r="AD91" s="116">
        <v>2.25</v>
      </c>
      <c r="AE91" s="116"/>
      <c r="AF91" s="116" t="s">
        <v>446</v>
      </c>
      <c r="AG91" s="116"/>
    </row>
    <row r="92" spans="2:33">
      <c r="B92" s="100" t="str">
        <f>Implements7[[#This Row],[Implement type]]&amp;", "&amp;Implements7[[#This Row],[Width]]&amp;" "&amp;Implements7[[#This Row],[Width Unit]]</f>
        <v>Strip-till, 40 Ft Folding</v>
      </c>
      <c r="C92" s="105" t="s">
        <v>668</v>
      </c>
      <c r="D92" s="106">
        <v>40</v>
      </c>
      <c r="E92" s="105" t="s">
        <v>458</v>
      </c>
      <c r="F92" s="106"/>
      <c r="G92" s="105"/>
      <c r="H92" s="186"/>
      <c r="I92" s="187"/>
      <c r="J92" s="195"/>
      <c r="K92" s="195"/>
      <c r="L92" s="180"/>
      <c r="M92" s="106"/>
      <c r="N92" s="310" t="s">
        <v>706</v>
      </c>
      <c r="O92" s="106"/>
      <c r="P92" s="106"/>
      <c r="Q92" s="187"/>
      <c r="R92" s="187"/>
      <c r="S92" s="106"/>
      <c r="T92" s="188"/>
      <c r="U92" s="189"/>
      <c r="V92" s="190"/>
      <c r="W92" s="191"/>
      <c r="X92" s="192"/>
      <c r="Y92" s="115"/>
      <c r="Z92" s="116"/>
      <c r="AA92" s="116"/>
      <c r="AB92" s="116">
        <f t="shared" si="10"/>
        <v>0.39400000000000002</v>
      </c>
      <c r="AC92" s="115">
        <v>7.0000000000000007E-2</v>
      </c>
      <c r="AD92" s="116">
        <v>1.97</v>
      </c>
      <c r="AE92" s="116"/>
      <c r="AF92" s="116" t="s">
        <v>446</v>
      </c>
      <c r="AG92" s="116"/>
    </row>
    <row r="93" spans="2:33">
      <c r="B93" s="100" t="str">
        <f>Implements7[[#This Row],[Implement type]]&amp;", "&amp;Implements7[[#This Row],[Width]]&amp;" "&amp;Implements7[[#This Row],[Width Unit]]</f>
        <v>Disk bedder, 18 Ft</v>
      </c>
      <c r="C93" s="105" t="s">
        <v>669</v>
      </c>
      <c r="D93" s="106">
        <v>18</v>
      </c>
      <c r="E93" s="105" t="s">
        <v>439</v>
      </c>
      <c r="F93" s="106"/>
      <c r="G93" s="105" t="s">
        <v>238</v>
      </c>
      <c r="H93" s="186"/>
      <c r="I93" s="187"/>
      <c r="J93" s="195"/>
      <c r="K93" s="195"/>
      <c r="L93" s="180"/>
      <c r="M93" s="106"/>
      <c r="N93" s="310" t="s">
        <v>706</v>
      </c>
      <c r="O93" s="106"/>
      <c r="P93" s="106"/>
      <c r="Q93" s="187"/>
      <c r="R93" s="187"/>
      <c r="S93" s="106"/>
      <c r="T93" s="188"/>
      <c r="U93" s="189"/>
      <c r="V93" s="190"/>
      <c r="W93" s="191"/>
      <c r="X93" s="192"/>
      <c r="Y93" s="115"/>
      <c r="Z93" s="116"/>
      <c r="AA93" s="116"/>
      <c r="AB93" s="116">
        <f t="shared" si="10"/>
        <v>0.30000000000000004</v>
      </c>
      <c r="AC93" s="115">
        <v>0.13</v>
      </c>
      <c r="AD93" s="116">
        <v>1.5</v>
      </c>
      <c r="AE93" s="116"/>
      <c r="AF93" s="116" t="s">
        <v>689</v>
      </c>
      <c r="AG93" s="116"/>
    </row>
    <row r="94" spans="2:33">
      <c r="B94" s="100" t="str">
        <f>Implements7[[#This Row],[Implement type]]&amp;", "&amp;Implements7[[#This Row],[Width]]&amp;" "&amp;Implements7[[#This Row],[Width Unit]]</f>
        <v>Disk bedder, 24 Ft Folding</v>
      </c>
      <c r="C94" s="105" t="s">
        <v>669</v>
      </c>
      <c r="D94" s="106">
        <v>24</v>
      </c>
      <c r="E94" s="105" t="s">
        <v>458</v>
      </c>
      <c r="F94" s="106"/>
      <c r="G94" s="105" t="s">
        <v>260</v>
      </c>
      <c r="H94" s="186"/>
      <c r="I94" s="187"/>
      <c r="J94" s="195"/>
      <c r="K94" s="195"/>
      <c r="L94" s="180"/>
      <c r="M94" s="106"/>
      <c r="N94" s="310" t="s">
        <v>706</v>
      </c>
      <c r="O94" s="106"/>
      <c r="P94" s="106"/>
      <c r="Q94" s="187"/>
      <c r="R94" s="187"/>
      <c r="S94" s="106"/>
      <c r="T94" s="188"/>
      <c r="U94" s="189"/>
      <c r="V94" s="190"/>
      <c r="W94" s="191"/>
      <c r="X94" s="192"/>
      <c r="Y94" s="115"/>
      <c r="Z94" s="116"/>
      <c r="AA94" s="116"/>
      <c r="AB94" s="116">
        <f t="shared" si="10"/>
        <v>0.38400000000000001</v>
      </c>
      <c r="AC94" s="115">
        <v>0.1</v>
      </c>
      <c r="AD94" s="116">
        <v>1.92</v>
      </c>
      <c r="AE94" s="116"/>
      <c r="AF94" s="116" t="s">
        <v>689</v>
      </c>
      <c r="AG94" s="116"/>
    </row>
    <row r="95" spans="2:33">
      <c r="B95" s="100" t="str">
        <f>Implements7[[#This Row],[Implement type]]&amp;", "&amp;Implements7[[#This Row],[Width]]&amp;" "&amp;Implements7[[#This Row],[Width Unit]]</f>
        <v>Disk bedder, 36 Ft Folding</v>
      </c>
      <c r="C95" s="105" t="s">
        <v>669</v>
      </c>
      <c r="D95" s="106">
        <v>36</v>
      </c>
      <c r="E95" s="105" t="s">
        <v>458</v>
      </c>
      <c r="F95" s="106"/>
      <c r="G95" s="105" t="s">
        <v>683</v>
      </c>
      <c r="H95" s="186"/>
      <c r="I95" s="187"/>
      <c r="J95" s="195"/>
      <c r="K95" s="195"/>
      <c r="L95" s="180"/>
      <c r="M95" s="106"/>
      <c r="N95" s="310" t="s">
        <v>706</v>
      </c>
      <c r="O95" s="106"/>
      <c r="P95" s="106"/>
      <c r="Q95" s="187"/>
      <c r="R95" s="187"/>
      <c r="S95" s="106"/>
      <c r="T95" s="188"/>
      <c r="U95" s="189"/>
      <c r="V95" s="190"/>
      <c r="W95" s="191"/>
      <c r="X95" s="192"/>
      <c r="Y95" s="115"/>
      <c r="Z95" s="116"/>
      <c r="AA95" s="116"/>
      <c r="AB95" s="116">
        <f t="shared" si="10"/>
        <v>0.31800000000000006</v>
      </c>
      <c r="AC95" s="115">
        <v>0.06</v>
      </c>
      <c r="AD95" s="116">
        <v>1.59</v>
      </c>
      <c r="AE95" s="116"/>
      <c r="AF95" s="116" t="s">
        <v>689</v>
      </c>
      <c r="AG95" s="116"/>
    </row>
    <row r="96" spans="2:33">
      <c r="B96" s="100" t="str">
        <f>Implements7[[#This Row],[Implement type]]&amp;", "&amp;Implements7[[#This Row],[Width]]&amp;" "&amp;Implements7[[#This Row],[Width Unit]]</f>
        <v>Bed leveler, 18 Ft Folding</v>
      </c>
      <c r="C96" s="105" t="s">
        <v>667</v>
      </c>
      <c r="D96" s="106">
        <v>18</v>
      </c>
      <c r="E96" s="105" t="s">
        <v>458</v>
      </c>
      <c r="F96" s="106"/>
      <c r="G96" s="105"/>
      <c r="H96" s="186"/>
      <c r="I96" s="187"/>
      <c r="J96" s="195"/>
      <c r="K96" s="195"/>
      <c r="L96" s="180"/>
      <c r="M96" s="106"/>
      <c r="N96" s="310" t="s">
        <v>706</v>
      </c>
      <c r="O96" s="106"/>
      <c r="P96" s="106"/>
      <c r="Q96" s="187"/>
      <c r="R96" s="187"/>
      <c r="S96" s="106"/>
      <c r="T96" s="188"/>
      <c r="U96" s="189"/>
      <c r="V96" s="190"/>
      <c r="W96" s="191"/>
      <c r="X96" s="192"/>
      <c r="Y96" s="115"/>
      <c r="Z96" s="116"/>
      <c r="AA96" s="116"/>
      <c r="AB96" s="116">
        <f t="shared" si="10"/>
        <v>0.40599999999999997</v>
      </c>
      <c r="AC96" s="115">
        <v>0.13</v>
      </c>
      <c r="AD96" s="116">
        <v>2.0299999999999998</v>
      </c>
      <c r="AE96" s="116"/>
      <c r="AF96" s="116" t="s">
        <v>689</v>
      </c>
      <c r="AG96" s="116"/>
    </row>
    <row r="97" spans="2:52">
      <c r="B97" s="100" t="str">
        <f>Implements7[[#This Row],[Implement type]]&amp;", "&amp;Implements7[[#This Row],[Width]]&amp;" "&amp;Implements7[[#This Row],[Width Unit]]</f>
        <v>Bed leveler, 24 Ft Folding</v>
      </c>
      <c r="C97" s="105" t="s">
        <v>667</v>
      </c>
      <c r="D97" s="106">
        <v>24</v>
      </c>
      <c r="E97" s="105" t="s">
        <v>458</v>
      </c>
      <c r="F97" s="106"/>
      <c r="G97" s="105"/>
      <c r="H97" s="186"/>
      <c r="I97" s="187"/>
      <c r="J97" s="195"/>
      <c r="K97" s="195"/>
      <c r="L97" s="180"/>
      <c r="M97" s="106"/>
      <c r="N97" s="310" t="s">
        <v>706</v>
      </c>
      <c r="O97" s="106"/>
      <c r="P97" s="106"/>
      <c r="Q97" s="187"/>
      <c r="R97" s="187"/>
      <c r="S97" s="106"/>
      <c r="T97" s="188"/>
      <c r="U97" s="189"/>
      <c r="V97" s="190"/>
      <c r="W97" s="191"/>
      <c r="X97" s="192"/>
      <c r="Y97" s="115"/>
      <c r="Z97" s="116"/>
      <c r="AA97" s="116"/>
      <c r="AB97" s="116">
        <f t="shared" si="10"/>
        <v>0.37000000000000005</v>
      </c>
      <c r="AC97" s="115">
        <v>0.1</v>
      </c>
      <c r="AD97" s="116">
        <v>1.85</v>
      </c>
      <c r="AE97" s="116"/>
      <c r="AF97" s="116" t="s">
        <v>689</v>
      </c>
      <c r="AG97" s="116"/>
    </row>
    <row r="98" spans="2:52">
      <c r="B98" s="100" t="str">
        <f>Implements7[[#This Row],[Implement type]]&amp;", "&amp;Implements7[[#This Row],[Width]]&amp;" "&amp;Implements7[[#This Row],[Width Unit]]</f>
        <v>Bed leveler, 36 Ft Folding</v>
      </c>
      <c r="C98" s="105" t="s">
        <v>667</v>
      </c>
      <c r="D98" s="106">
        <v>36</v>
      </c>
      <c r="E98" s="105" t="s">
        <v>458</v>
      </c>
      <c r="F98" s="106"/>
      <c r="G98" s="105"/>
      <c r="H98" s="186"/>
      <c r="I98" s="187"/>
      <c r="J98" s="195"/>
      <c r="K98" s="195"/>
      <c r="L98" s="180"/>
      <c r="M98" s="106"/>
      <c r="N98" s="310" t="s">
        <v>706</v>
      </c>
      <c r="O98" s="106"/>
      <c r="P98" s="106"/>
      <c r="Q98" s="187"/>
      <c r="R98" s="187"/>
      <c r="S98" s="106"/>
      <c r="T98" s="188"/>
      <c r="U98" s="189"/>
      <c r="V98" s="190"/>
      <c r="W98" s="191"/>
      <c r="X98" s="192"/>
      <c r="Y98" s="115"/>
      <c r="Z98" s="116"/>
      <c r="AA98" s="116"/>
      <c r="AB98" s="116">
        <f t="shared" si="10"/>
        <v>0.31600000000000006</v>
      </c>
      <c r="AC98" s="115">
        <v>0.06</v>
      </c>
      <c r="AD98" s="116">
        <v>1.58</v>
      </c>
      <c r="AE98" s="116"/>
      <c r="AF98" s="116" t="s">
        <v>689</v>
      </c>
      <c r="AG98" s="116"/>
    </row>
    <row r="99" spans="2:52">
      <c r="B99" s="100" t="str">
        <f>Implements7[[#This Row],[Implement type]]&amp;", "&amp;Implements7[[#This Row],[Width]]&amp;" "&amp;Implements7[[#This Row],[Width Unit]]&amp; ", per "&amp;Implements7[[#This Row],[Use basis]]</f>
        <v>Chisel plow, 55 Ft Folding, per acre</v>
      </c>
      <c r="C99" s="107" t="s">
        <v>451</v>
      </c>
      <c r="D99" s="106">
        <v>55</v>
      </c>
      <c r="E99" s="107" t="str">
        <f t="shared" si="9"/>
        <v>Ft Folding</v>
      </c>
      <c r="F99" s="106"/>
      <c r="G99" s="106"/>
      <c r="H99" s="108">
        <v>141000</v>
      </c>
      <c r="I99" s="109">
        <v>0.1</v>
      </c>
      <c r="J99" s="195">
        <f t="shared" si="1"/>
        <v>156666.66666666666</v>
      </c>
      <c r="K99" s="306">
        <f>VLOOKUP(Implements7[[#This Row],[ASABEtype]],ASABECoefficients8[],4,FALSE)/Implements7[[#This Row],[Use (hr/yr)]]</f>
        <v>33.333333333333336</v>
      </c>
      <c r="L99" s="106">
        <v>60</v>
      </c>
      <c r="M99" s="111">
        <f t="shared" ref="M99:M121" si="11">IF(AND(P99&lt;&gt;0,Q99&lt;&gt;0),L99*(D99*P99*Q99)/8.25,L99*D99)</f>
        <v>1700</v>
      </c>
      <c r="N99" s="111" t="s">
        <v>706</v>
      </c>
      <c r="O99" s="106" t="s">
        <v>451</v>
      </c>
      <c r="P99" s="106">
        <v>5</v>
      </c>
      <c r="Q99" s="109">
        <v>0.85</v>
      </c>
      <c r="R99" s="109">
        <v>1.02</v>
      </c>
      <c r="S99" s="106">
        <v>370</v>
      </c>
      <c r="T99"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0.13570861969981018</v>
      </c>
      <c r="U99" s="113">
        <f>Implements7[[#This Row],[TradeIn%]]*Implements7[[#This Row],[PriceL]]</f>
        <v>21261.017086303593</v>
      </c>
      <c r="V99" s="114">
        <f>(Implements7[[#This Row],[PriceP]]-Implements7[[#This Row],[TradeIn$]])/Implements7[[#This Row],[Life (yr)]]/Implements7[[#This Row],[Use (hr/yr)]]</f>
        <v>59.869491456848202</v>
      </c>
      <c r="W99" s="114">
        <f>((Implements7[[#This Row],[PriceP]]+Implements7[[#This Row],[TradeIn$]])/2*($BP$7+$BP$8+$BP$9)+Implements7[[#This Row],[Shed (ft^2)]]*$BP$12)/Implements7[[#This Row],[Use (hr/yr)]]</f>
        <v>125.6443503740002</v>
      </c>
      <c r="X99" s="114">
        <f>Implements7[[#This Row],[PriceL]]*(VLOOKUP(Implements7[[#This Row],[ASABEtype]],$BC$6:$BM$52,2)*(Implements7[[#This Row],[Life (yr)]]*Implements7[[#This Row],[Use (hr/yr)]]/1000)^VLOOKUP(Implements7[[#This Row],[ASABEtype]],$BC$6:$BM$52,3))/Implements7[[#This Row],[Life (yr)]]/Implements7[[#This Row],[Use (hr/yr)]]</f>
        <v>57.882413685904311</v>
      </c>
      <c r="Y99" s="114">
        <f>Implements7[[#This Row],[Depr ($/hr)]]+Implements7[[#This Row],[OH ($/hr)]]</f>
        <v>185.51384183084841</v>
      </c>
      <c r="Z99" s="114">
        <f>(Implements7[[#This Row],[PriceP]]-Implements7[[#This Row],[TradeIn$]])/Implements7[[#This Row],[Life (yr)]]/Implements7[[#This Row],[Use (ac/yr)]]</f>
        <v>2.1130408749475835</v>
      </c>
      <c r="AA99" s="114">
        <f>((Implements7[[#This Row],[PriceP]]+Implements7[[#This Row],[TradeIn$]])/2*($BP$7+$BP$8+$BP$9)+Implements7[[#This Row],[Shed (ft^2)]]*$BP$12)/Implements7[[#This Row],[Use (ac/yr)]]</f>
        <v>4.4345064837882422</v>
      </c>
      <c r="AB99"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2.0429087183260344</v>
      </c>
      <c r="AC99" s="115">
        <f>$BP$18/(Implements7[[#This Row],[Width]]*Implements7[[#This Row],[Speed]]*Implements7[[#This Row],[Efficiency]])</f>
        <v>3.5294117647058823E-2</v>
      </c>
      <c r="AD99" s="116">
        <f>IF(Implements7[[#This Row],[Use basis]]=$N$128,Implements7[[#This Row],[Ownership costs ($/hr)]],SUM(Implements7[[#This Row],[Depr ($/ac)2]:[OH ($/ac)]]))</f>
        <v>6.5475473587358257</v>
      </c>
      <c r="AE99" s="118">
        <v>3</v>
      </c>
      <c r="AF99" s="100" t="s">
        <v>501</v>
      </c>
      <c r="AG99" s="116"/>
    </row>
    <row r="100" spans="2:52">
      <c r="B100" s="100" t="str">
        <f>Implements7[[#This Row],[Implement type]]&amp;", "&amp;Implements7[[#This Row],[Width]]&amp;" "&amp;Implements7[[#This Row],[Width Unit]]&amp; ", per "&amp;Implements7[[#This Row],[Use basis]]</f>
        <v>Chisel plow, front dsk , 16 Ft Folding, per acre</v>
      </c>
      <c r="C100" s="105" t="s">
        <v>502</v>
      </c>
      <c r="D100" s="106">
        <v>16</v>
      </c>
      <c r="E100" s="107" t="str">
        <f t="shared" si="9"/>
        <v>Ft Folding</v>
      </c>
      <c r="F100" s="106"/>
      <c r="G100" s="106"/>
      <c r="H100" s="108">
        <v>37500</v>
      </c>
      <c r="I100" s="109">
        <v>0.1</v>
      </c>
      <c r="J100" s="195">
        <f t="shared" si="1"/>
        <v>41666.666666666664</v>
      </c>
      <c r="K100" s="306">
        <f>VLOOKUP(Implements7[[#This Row],[ASABEtype]],ASABECoefficients8[],4,FALSE)/Implements7[[#This Row],[Use (hr/yr)]]</f>
        <v>25</v>
      </c>
      <c r="L100" s="106">
        <v>80</v>
      </c>
      <c r="M100" s="111">
        <f t="shared" si="11"/>
        <v>659.39393939393938</v>
      </c>
      <c r="N100" s="111" t="s">
        <v>706</v>
      </c>
      <c r="O100" s="106" t="s">
        <v>450</v>
      </c>
      <c r="P100" s="106">
        <v>5</v>
      </c>
      <c r="Q100" s="109">
        <v>0.85</v>
      </c>
      <c r="R100" s="109">
        <v>1.02</v>
      </c>
      <c r="S100" s="106">
        <v>225</v>
      </c>
      <c r="T100"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0.13294208768150634</v>
      </c>
      <c r="U100" s="113">
        <f>Implements7[[#This Row],[TradeIn%]]*Implements7[[#This Row],[PriceL]]</f>
        <v>5539.2536533960974</v>
      </c>
      <c r="V100" s="114">
        <f>(Implements7[[#This Row],[PriceP]]-Implements7[[#This Row],[TradeIn$]])/Implements7[[#This Row],[Life (yr)]]/Implements7[[#This Row],[Use (hr/yr)]]</f>
        <v>15.980373173301953</v>
      </c>
      <c r="W100" s="114">
        <f>((Implements7[[#This Row],[PriceP]]+Implements7[[#This Row],[TradeIn$]])/2*($BP$7+$BP$8+$BP$9)+Implements7[[#This Row],[Shed (ft^2)]]*$BP$12)/Implements7[[#This Row],[Use (hr/yr)]]</f>
        <v>26.532015510936485</v>
      </c>
      <c r="X100" s="114">
        <f>Implements7[[#This Row],[PriceL]]*(VLOOKUP(Implements7[[#This Row],[ASABEtype]],$BC$6:$BM$52,2)*(Implements7[[#This Row],[Life (yr)]]*Implements7[[#This Row],[Use (hr/yr)]]/1000)^VLOOKUP(Implements7[[#This Row],[ASABEtype]],$BC$6:$BM$52,3))/Implements7[[#This Row],[Life (yr)]]/Implements7[[#This Row],[Use (hr/yr)]]</f>
        <v>12.18378594534353</v>
      </c>
      <c r="Y100" s="114">
        <f>Implements7[[#This Row],[Depr ($/hr)]]+Implements7[[#This Row],[OH ($/hr)]]</f>
        <v>42.512388684238438</v>
      </c>
      <c r="Z100" s="114">
        <f>(Implements7[[#This Row],[PriceP]]-Implements7[[#This Row],[TradeIn$]])/Implements7[[#This Row],[Life (yr)]]/Implements7[[#This Row],[Use (ac/yr)]]</f>
        <v>1.9387952747020754</v>
      </c>
      <c r="AA100" s="114">
        <f>((Implements7[[#This Row],[PriceP]]+Implements7[[#This Row],[TradeIn$]])/2*($BP$7+$BP$8+$BP$9)+Implements7[[#This Row],[Shed (ft^2)]]*$BP$12)/Implements7[[#This Row],[Use (ac/yr)]]</f>
        <v>3.2189577641945002</v>
      </c>
      <c r="AB100"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1.4781799124865314</v>
      </c>
      <c r="AC100" s="115">
        <f>$BP$18/(Implements7[[#This Row],[Width]]*Implements7[[#This Row],[Speed]]*Implements7[[#This Row],[Efficiency]])</f>
        <v>0.12132352941176471</v>
      </c>
      <c r="AD100" s="116">
        <f>IF(Implements7[[#This Row],[Use basis]]=$N$128,Implements7[[#This Row],[Ownership costs ($/hr)]],SUM(Implements7[[#This Row],[Depr ($/ac)2]:[OH ($/ac)]]))</f>
        <v>5.1577530388965753</v>
      </c>
      <c r="AE100" s="118">
        <v>4</v>
      </c>
      <c r="AF100" s="100" t="s">
        <v>501</v>
      </c>
      <c r="AG100" s="116"/>
    </row>
    <row r="101" spans="2:52">
      <c r="B101" s="100" t="str">
        <f>Implements7[[#This Row],[Implement type]]&amp;", "&amp;Implements7[[#This Row],[Width]]&amp;" "&amp;Implements7[[#This Row],[Width Unit]]&amp; ", per "&amp;Implements7[[#This Row],[Use basis]]</f>
        <v>Chisel plow, front dsk , 21 Ft Folding, per acre</v>
      </c>
      <c r="C101" s="105" t="s">
        <v>502</v>
      </c>
      <c r="D101" s="106">
        <v>21</v>
      </c>
      <c r="E101" s="107" t="str">
        <f t="shared" si="9"/>
        <v>Ft Folding</v>
      </c>
      <c r="F101" s="106"/>
      <c r="G101" s="106"/>
      <c r="H101" s="108">
        <v>59000</v>
      </c>
      <c r="I101" s="109">
        <v>0.1</v>
      </c>
      <c r="J101" s="195">
        <f t="shared" si="1"/>
        <v>65555.555555555547</v>
      </c>
      <c r="K101" s="306">
        <f>VLOOKUP(Implements7[[#This Row],[ASABEtype]],ASABECoefficients8[],4,FALSE)/Implements7[[#This Row],[Use (hr/yr)]]</f>
        <v>25</v>
      </c>
      <c r="L101" s="106">
        <v>80</v>
      </c>
      <c r="M101" s="111">
        <f t="shared" si="11"/>
        <v>865.4545454545455</v>
      </c>
      <c r="N101" s="111" t="s">
        <v>706</v>
      </c>
      <c r="O101" s="106" t="s">
        <v>450</v>
      </c>
      <c r="P101" s="106">
        <v>5</v>
      </c>
      <c r="Q101" s="109">
        <v>0.85</v>
      </c>
      <c r="R101" s="109">
        <v>1.02</v>
      </c>
      <c r="S101" s="106">
        <v>225</v>
      </c>
      <c r="T101"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0.13294208768150634</v>
      </c>
      <c r="U101" s="113">
        <f>Implements7[[#This Row],[TradeIn%]]*Implements7[[#This Row],[PriceL]]</f>
        <v>8715.0924146765246</v>
      </c>
      <c r="V101" s="114">
        <f>(Implements7[[#This Row],[PriceP]]-Implements7[[#This Row],[TradeIn$]])/Implements7[[#This Row],[Life (yr)]]/Implements7[[#This Row],[Use (hr/yr)]]</f>
        <v>25.142453792661737</v>
      </c>
      <c r="W101" s="114">
        <f>((Implements7[[#This Row],[PriceP]]+Implements7[[#This Row],[TradeIn$]])/2*($BP$7+$BP$8+$BP$9)+Implements7[[#This Row],[Shed (ft^2)]]*$BP$12)/Implements7[[#This Row],[Use (hr/yr)]]</f>
        <v>40.180838825769726</v>
      </c>
      <c r="X101" s="114">
        <f>Implements7[[#This Row],[PriceL]]*(VLOOKUP(Implements7[[#This Row],[ASABEtype]],$BC$6:$BM$52,2)*(Implements7[[#This Row],[Life (yr)]]*Implements7[[#This Row],[Use (hr/yr)]]/1000)^VLOOKUP(Implements7[[#This Row],[ASABEtype]],$BC$6:$BM$52,3))/Implements7[[#This Row],[Life (yr)]]/Implements7[[#This Row],[Use (hr/yr)]]</f>
        <v>19.169156554007152</v>
      </c>
      <c r="Y101" s="114">
        <f>Implements7[[#This Row],[Depr ($/hr)]]+Implements7[[#This Row],[OH ($/hr)]]</f>
        <v>65.323292618431466</v>
      </c>
      <c r="Z101" s="114">
        <f>(Implements7[[#This Row],[PriceP]]-Implements7[[#This Row],[TradeIn$]])/Implements7[[#This Row],[Life (yr)]]/Implements7[[#This Row],[Use (ac/yr)]]</f>
        <v>2.3240923673889</v>
      </c>
      <c r="AA101" s="114">
        <f>((Implements7[[#This Row],[PriceP]]+Implements7[[#This Row],[TradeIn$]])/2*($BP$7+$BP$8+$BP$9)+Implements7[[#This Row],[Shed (ft^2)]]*$BP$12)/Implements7[[#This Row],[Use (ac/yr)]]</f>
        <v>3.714195185575353</v>
      </c>
      <c r="AB101"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1.7719388411267116</v>
      </c>
      <c r="AC101" s="115">
        <f>$BP$18/(Implements7[[#This Row],[Width]]*Implements7[[#This Row],[Speed]]*Implements7[[#This Row],[Efficiency]])</f>
        <v>9.2436974789915971E-2</v>
      </c>
      <c r="AD101" s="116">
        <f>IF(Implements7[[#This Row],[Use basis]]=$N$128,Implements7[[#This Row],[Ownership costs ($/hr)]],SUM(Implements7[[#This Row],[Depr ($/ac)2]:[OH ($/ac)]]))</f>
        <v>6.0382875529642526</v>
      </c>
      <c r="AE101" s="118">
        <v>5</v>
      </c>
      <c r="AF101" s="100" t="s">
        <v>501</v>
      </c>
      <c r="AG101" s="116"/>
    </row>
    <row r="102" spans="2:52">
      <c r="B102" s="100" t="str">
        <f>Implements7[[#This Row],[Implement type]]&amp;", "&amp;Implements7[[#This Row],[Width]]&amp;" "&amp;Implements7[[#This Row],[Width Unit]]&amp; ", per "&amp;Implements7[[#This Row],[Use basis]]</f>
        <v>Moldboard plow, 12 Ft, per acre</v>
      </c>
      <c r="C102" s="107" t="s">
        <v>503</v>
      </c>
      <c r="D102" s="106">
        <v>12</v>
      </c>
      <c r="E102" s="107" t="str">
        <f t="shared" si="9"/>
        <v>Ft</v>
      </c>
      <c r="F102" s="106">
        <v>8</v>
      </c>
      <c r="G102" s="105" t="s">
        <v>504</v>
      </c>
      <c r="H102" s="108">
        <v>59500</v>
      </c>
      <c r="I102" s="109">
        <v>0.1</v>
      </c>
      <c r="J102" s="195">
        <f t="shared" si="1"/>
        <v>66111.111111111109</v>
      </c>
      <c r="K102" s="306">
        <f>VLOOKUP(Implements7[[#This Row],[ASABEtype]],ASABECoefficients8[],4,FALSE)/Implements7[[#This Row],[Use (hr/yr)]]</f>
        <v>16.666666666666668</v>
      </c>
      <c r="L102" s="106">
        <v>120</v>
      </c>
      <c r="M102" s="111">
        <f t="shared" si="11"/>
        <v>667.63636363636363</v>
      </c>
      <c r="N102" s="111" t="s">
        <v>706</v>
      </c>
      <c r="O102" s="106" t="s">
        <v>584</v>
      </c>
      <c r="P102" s="106">
        <v>4.5</v>
      </c>
      <c r="Q102" s="109">
        <v>0.85</v>
      </c>
      <c r="R102" s="109">
        <v>1.02</v>
      </c>
      <c r="S102" s="106">
        <v>150</v>
      </c>
      <c r="T102"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0.23621226290521788</v>
      </c>
      <c r="U102" s="113">
        <f>Implements7[[#This Row],[TradeIn%]]*Implements7[[#This Row],[PriceL]]</f>
        <v>15616.255158733848</v>
      </c>
      <c r="V102" s="114">
        <f>(Implements7[[#This Row],[PriceP]]-Implements7[[#This Row],[TradeIn$]])/Implements7[[#This Row],[Life (yr)]]/Implements7[[#This Row],[Use (hr/yr)]]</f>
        <v>21.941872420633079</v>
      </c>
      <c r="W102" s="114">
        <f>((Implements7[[#This Row],[PriceP]]+Implements7[[#This Row],[TradeIn$]])/2*($BP$7+$BP$8+$BP$9)+Implements7[[#This Row],[Shed (ft^2)]]*$BP$12)/Implements7[[#This Row],[Use (hr/yr)]]</f>
        <v>28.910642793739452</v>
      </c>
      <c r="X102" s="114">
        <f>Implements7[[#This Row],[PriceL]]*(VLOOKUP(Implements7[[#This Row],[ASABEtype]],$BC$6:$BM$52,2)*(Implements7[[#This Row],[Life (yr)]]*Implements7[[#This Row],[Use (hr/yr)]]/1000)^VLOOKUP(Implements7[[#This Row],[ASABEtype]],$BC$6:$BM$52,3))/Implements7[[#This Row],[Life (yr)]]/Implements7[[#This Row],[Use (hr/yr)]]</f>
        <v>33.380777710388053</v>
      </c>
      <c r="Y102" s="114">
        <f>Implements7[[#This Row],[Depr ($/hr)]]+Implements7[[#This Row],[OH ($/hr)]]</f>
        <v>50.852515214372531</v>
      </c>
      <c r="Z102" s="114">
        <f>(Implements7[[#This Row],[PriceP]]-Implements7[[#This Row],[TradeIn$]])/Implements7[[#This Row],[Life (yr)]]/Implements7[[#This Row],[Use (ac/yr)]]</f>
        <v>3.9438005984798017</v>
      </c>
      <c r="AA102" s="114">
        <f>((Implements7[[#This Row],[PriceP]]+Implements7[[#This Row],[TradeIn$]])/2*($BP$7+$BP$8+$BP$9)+Implements7[[#This Row],[Shed (ft^2)]]*$BP$12)/Implements7[[#This Row],[Use (ac/yr)]]</f>
        <v>5.1963573648878105</v>
      </c>
      <c r="AB102"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5.9998129871612518</v>
      </c>
      <c r="AC102" s="115">
        <f>$BP$18/(Implements7[[#This Row],[Width]]*Implements7[[#This Row],[Speed]]*Implements7[[#This Row],[Efficiency]])</f>
        <v>0.17973856209150327</v>
      </c>
      <c r="AD102" s="116">
        <f>IF(Implements7[[#This Row],[Use basis]]=$N$128,Implements7[[#This Row],[Ownership costs ($/hr)]],SUM(Implements7[[#This Row],[Depr ($/ac)2]:[OH ($/ac)]]))</f>
        <v>9.1401579633676118</v>
      </c>
      <c r="AE102" s="118">
        <v>7</v>
      </c>
      <c r="AF102" s="100" t="s">
        <v>501</v>
      </c>
      <c r="AG102" s="116"/>
    </row>
    <row r="103" spans="2:52">
      <c r="B103" s="100" t="str">
        <f>Implements7[[#This Row],[Implement type]]&amp;", "&amp;Implements7[[#This Row],[Width]]&amp;" "&amp;Implements7[[#This Row],[Width Unit]]&amp; ", per "&amp;Implements7[[#This Row],[Use basis]]</f>
        <v>Moldboard plow, 9 Ft, per acre</v>
      </c>
      <c r="C103" s="107" t="s">
        <v>503</v>
      </c>
      <c r="D103" s="106">
        <v>9</v>
      </c>
      <c r="E103" s="107" t="str">
        <f t="shared" si="9"/>
        <v>Ft</v>
      </c>
      <c r="F103" s="106">
        <v>6</v>
      </c>
      <c r="G103" s="105" t="s">
        <v>504</v>
      </c>
      <c r="H103" s="108">
        <v>33000</v>
      </c>
      <c r="I103" s="109">
        <v>0.1</v>
      </c>
      <c r="J103" s="195">
        <f t="shared" si="1"/>
        <v>36666.666666666664</v>
      </c>
      <c r="K103" s="306">
        <f>VLOOKUP(Implements7[[#This Row],[ASABEtype]],ASABECoefficients8[],4,FALSE)/Implements7[[#This Row],[Use (hr/yr)]]</f>
        <v>16.666666666666668</v>
      </c>
      <c r="L103" s="106">
        <v>120</v>
      </c>
      <c r="M103" s="111">
        <f t="shared" si="11"/>
        <v>500.72727272727275</v>
      </c>
      <c r="N103" s="111" t="s">
        <v>706</v>
      </c>
      <c r="O103" s="106" t="s">
        <v>584</v>
      </c>
      <c r="P103" s="106">
        <v>4.5</v>
      </c>
      <c r="Q103" s="109">
        <v>0.85</v>
      </c>
      <c r="R103" s="109">
        <v>1.02</v>
      </c>
      <c r="S103" s="106">
        <v>132</v>
      </c>
      <c r="T103"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0.23621226290521788</v>
      </c>
      <c r="U103" s="113">
        <f>Implements7[[#This Row],[TradeIn%]]*Implements7[[#This Row],[PriceL]]</f>
        <v>8661.1163065246546</v>
      </c>
      <c r="V103" s="114">
        <f>(Implements7[[#This Row],[PriceP]]-Implements7[[#This Row],[TradeIn$]])/Implements7[[#This Row],[Life (yr)]]/Implements7[[#This Row],[Use (hr/yr)]]</f>
        <v>12.169441846737671</v>
      </c>
      <c r="W103" s="114">
        <f>((Implements7[[#This Row],[PriceP]]+Implements7[[#This Row],[TradeIn$]])/2*($BP$7+$BP$8+$BP$9)+Implements7[[#This Row],[Shed (ft^2)]]*$BP$12)/Implements7[[#This Row],[Use (hr/yr)]]</f>
        <v>16.428677497512545</v>
      </c>
      <c r="X103" s="114">
        <f>Implements7[[#This Row],[PriceL]]*(VLOOKUP(Implements7[[#This Row],[ASABEtype]],$BC$6:$BM$52,2)*(Implements7[[#This Row],[Life (yr)]]*Implements7[[#This Row],[Use (hr/yr)]]/1000)^VLOOKUP(Implements7[[#This Row],[ASABEtype]],$BC$6:$BM$52,3))/Implements7[[#This Row],[Life (yr)]]/Implements7[[#This Row],[Use (hr/yr)]]</f>
        <v>18.513708646097577</v>
      </c>
      <c r="Y103" s="114">
        <f>Implements7[[#This Row],[Depr ($/hr)]]+Implements7[[#This Row],[OH ($/hr)]]</f>
        <v>28.598119344250215</v>
      </c>
      <c r="Z103" s="114">
        <f>(Implements7[[#This Row],[PriceP]]-Implements7[[#This Row],[TradeIn$]])/Implements7[[#This Row],[Life (yr)]]/Implements7[[#This Row],[Use (ac/yr)]]</f>
        <v>2.9164239719850626</v>
      </c>
      <c r="AA103" s="114">
        <f>((Implements7[[#This Row],[PriceP]]+Implements7[[#This Row],[TradeIn$]])/2*($BP$7+$BP$8+$BP$9)+Implements7[[#This Row],[Shed (ft^2)]]*$BP$12)/Implements7[[#This Row],[Use (ac/yr)]]</f>
        <v>3.9371558272905882</v>
      </c>
      <c r="AB103"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4.4368364947074799</v>
      </c>
      <c r="AC103" s="115">
        <f>$BP$18/(Implements7[[#This Row],[Width]]*Implements7[[#This Row],[Speed]]*Implements7[[#This Row],[Efficiency]])</f>
        <v>0.23965141612200438</v>
      </c>
      <c r="AD103" s="116">
        <f>IF(Implements7[[#This Row],[Use basis]]=$N$128,Implements7[[#This Row],[Ownership costs ($/hr)]],SUM(Implements7[[#This Row],[Depr ($/ac)2]:[OH ($/ac)]]))</f>
        <v>6.8535797992756509</v>
      </c>
      <c r="AE103" s="118">
        <v>6</v>
      </c>
      <c r="AF103" s="100" t="s">
        <v>501</v>
      </c>
      <c r="AG103" s="116"/>
    </row>
    <row r="104" spans="2:52">
      <c r="B104" s="100" t="str">
        <f>Implements7[[#This Row],[Implement type]]&amp;", "&amp;Implements7[[#This Row],[Width]]&amp;" "&amp;Implements7[[#This Row],[Width Unit]]&amp; ", per "&amp;Implements7[[#This Row],[Use basis]]</f>
        <v>Boom sprayer - pull-type, 90 Ft Folding, per acre</v>
      </c>
      <c r="C104" s="105" t="s">
        <v>505</v>
      </c>
      <c r="D104" s="106">
        <v>90</v>
      </c>
      <c r="E104" s="107" t="str">
        <f t="shared" si="9"/>
        <v>Ft Folding</v>
      </c>
      <c r="F104" s="106"/>
      <c r="G104" s="106"/>
      <c r="H104" s="108">
        <v>54500</v>
      </c>
      <c r="I104" s="109">
        <v>0.1</v>
      </c>
      <c r="J104" s="195">
        <f t="shared" si="1"/>
        <v>60555.555555555555</v>
      </c>
      <c r="K104" s="306">
        <f>VLOOKUP(Implements7[[#This Row],[ASABEtype]],ASABECoefficients8[],4,FALSE)/Implements7[[#This Row],[Use (hr/yr)]]</f>
        <v>6</v>
      </c>
      <c r="L104" s="106">
        <v>250</v>
      </c>
      <c r="M104" s="111">
        <f t="shared" si="11"/>
        <v>17454.545454545456</v>
      </c>
      <c r="N104" s="111" t="s">
        <v>706</v>
      </c>
      <c r="O104" s="106" t="s">
        <v>506</v>
      </c>
      <c r="P104" s="106">
        <v>8</v>
      </c>
      <c r="Q104" s="109">
        <v>0.8</v>
      </c>
      <c r="R104" s="109">
        <v>1.25</v>
      </c>
      <c r="S104" s="106">
        <v>250</v>
      </c>
      <c r="T104"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0.56934594166002883</v>
      </c>
      <c r="U104" s="113">
        <f>Implements7[[#This Row],[TradeIn%]]*Implements7[[#This Row],[PriceL]]</f>
        <v>34477.059800523966</v>
      </c>
      <c r="V104" s="114">
        <f>(Implements7[[#This Row],[PriceP]]-Implements7[[#This Row],[TradeIn$]])/Implements7[[#This Row],[Life (yr)]]/Implements7[[#This Row],[Use (hr/yr)]]</f>
        <v>13.348626799650688</v>
      </c>
      <c r="W104" s="114">
        <f>((Implements7[[#This Row],[PriceP]]+Implements7[[#This Row],[TradeIn$]])/2*($BP$7+$BP$8+$BP$9)+Implements7[[#This Row],[Shed (ft^2)]]*$BP$12)/Implements7[[#This Row],[Use (hr/yr)]]</f>
        <v>16.718158547857815</v>
      </c>
      <c r="X104" s="114">
        <f>Implements7[[#This Row],[PriceL]]*(VLOOKUP(Implements7[[#This Row],[ASABEtype]],$BC$6:$BM$52,2)*(Implements7[[#This Row],[Life (yr)]]*Implements7[[#This Row],[Use (hr/yr)]]/1000)^VLOOKUP(Implements7[[#This Row],[ASABEtype]],$BC$6:$BM$52,3))/Implements7[[#This Row],[Life (yr)]]/Implements7[[#This Row],[Use (hr/yr)]]</f>
        <v>28.03917474753715</v>
      </c>
      <c r="Y104" s="114">
        <f>Implements7[[#This Row],[Depr ($/hr)]]+Implements7[[#This Row],[OH ($/hr)]]</f>
        <v>30.066785347508503</v>
      </c>
      <c r="Z104" s="114">
        <f>(Implements7[[#This Row],[PriceP]]-Implements7[[#This Row],[TradeIn$]])/Implements7[[#This Row],[Life (yr)]]/Implements7[[#This Row],[Use (ac/yr)]]</f>
        <v>0.19119126926583016</v>
      </c>
      <c r="AA104" s="114">
        <f>((Implements7[[#This Row],[PriceP]]+Implements7[[#This Row],[TradeIn$]])/2*($BP$7+$BP$8+$BP$9)+Implements7[[#This Row],[Shed (ft^2)]]*$BP$12)/Implements7[[#This Row],[Use (ac/yr)]]</f>
        <v>0.23945279170108849</v>
      </c>
      <c r="AB104"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0.40160276331107891</v>
      </c>
      <c r="AC104" s="115">
        <f>$BP$18/(Implements7[[#This Row],[Width]]*Implements7[[#This Row],[Speed]]*Implements7[[#This Row],[Efficiency]])</f>
        <v>1.4322916666666666E-2</v>
      </c>
      <c r="AD104" s="116">
        <f>IF(Implements7[[#This Row],[Use basis]]=$N$128,Implements7[[#This Row],[Ownership costs ($/hr)]],SUM(Implements7[[#This Row],[Depr ($/ac)2]:[OH ($/ac)]]))</f>
        <v>0.43064406096691865</v>
      </c>
      <c r="AE104" s="118">
        <v>26</v>
      </c>
      <c r="AF104" s="100" t="s">
        <v>507</v>
      </c>
      <c r="AG104" s="116"/>
    </row>
    <row r="105" spans="2:52">
      <c r="B105" s="100" t="str">
        <f>Implements7[[#This Row],[Implement type]]&amp;", "&amp;Implements7[[#This Row],[Width]]&amp;" "&amp;Implements7[[#This Row],[Width Unit]]&amp; ", per "&amp;Implements7[[#This Row],[Use basis]]</f>
        <v>Boom sprayer - self-propelled, 120 Ft Folding, per acre</v>
      </c>
      <c r="C105" s="107" t="s">
        <v>508</v>
      </c>
      <c r="D105" s="106">
        <v>120</v>
      </c>
      <c r="E105" s="107" t="str">
        <f t="shared" si="9"/>
        <v>Ft Folding</v>
      </c>
      <c r="F105" s="106"/>
      <c r="G105" s="106"/>
      <c r="H105" s="108">
        <v>607500</v>
      </c>
      <c r="I105" s="109">
        <v>0.1</v>
      </c>
      <c r="J105" s="195">
        <f t="shared" si="1"/>
        <v>675000</v>
      </c>
      <c r="K105" s="306">
        <f>VLOOKUP(Implements7[[#This Row],[ASABEtype]],ASABECoefficients8[],4,FALSE)/Implements7[[#This Row],[Use (hr/yr)]]</f>
        <v>3</v>
      </c>
      <c r="L105" s="106">
        <v>500</v>
      </c>
      <c r="M105" s="111">
        <f t="shared" si="11"/>
        <v>58181.818181818184</v>
      </c>
      <c r="N105" s="111" t="s">
        <v>706</v>
      </c>
      <c r="O105" s="106" t="s">
        <v>506</v>
      </c>
      <c r="P105" s="106">
        <v>10</v>
      </c>
      <c r="Q105" s="109">
        <v>0.8</v>
      </c>
      <c r="R105" s="109">
        <v>1.25</v>
      </c>
      <c r="S105" s="106">
        <v>360</v>
      </c>
      <c r="T105"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0.70345387348317567</v>
      </c>
      <c r="U105" s="113">
        <f>Implements7[[#This Row],[TradeIn%]]*Implements7[[#This Row],[PriceL]]</f>
        <v>474831.36460114358</v>
      </c>
      <c r="V105" s="114">
        <f>(Implements7[[#This Row],[PriceP]]-Implements7[[#This Row],[TradeIn$]])/Implements7[[#This Row],[Life (yr)]]/Implements7[[#This Row],[Use (hr/yr)]]</f>
        <v>88.445756932570944</v>
      </c>
      <c r="W105" s="114">
        <f>((Implements7[[#This Row],[PriceP]]+Implements7[[#This Row],[TradeIn$]])/2*($BP$7+$BP$8+$BP$9)+Implements7[[#This Row],[Shed (ft^2)]]*$BP$12)/Implements7[[#This Row],[Use (hr/yr)]]</f>
        <v>96.484163420680062</v>
      </c>
      <c r="X105" s="114">
        <f>Implements7[[#This Row],[PriceL]]*(VLOOKUP(Implements7[[#This Row],[ASABEtype]],$BC$6:$BM$52,2)*(Implements7[[#This Row],[Life (yr)]]*Implements7[[#This Row],[Use (hr/yr)]]/1000)^VLOOKUP(Implements7[[#This Row],[ASABEtype]],$BC$6:$BM$52,3))/Implements7[[#This Row],[Life (yr)]]/Implements7[[#This Row],[Use (hr/yr)]]</f>
        <v>312.54676438768473</v>
      </c>
      <c r="Y105" s="114">
        <f>Implements7[[#This Row],[Depr ($/hr)]]+Implements7[[#This Row],[OH ($/hr)]]</f>
        <v>184.92992035325102</v>
      </c>
      <c r="Z105" s="114">
        <f>(Implements7[[#This Row],[PriceP]]-Implements7[[#This Row],[TradeIn$]])/Implements7[[#This Row],[Life (yr)]]/Implements7[[#This Row],[Use (ac/yr)]]</f>
        <v>0.76008072363928159</v>
      </c>
      <c r="AA105" s="114">
        <f>((Implements7[[#This Row],[PriceP]]+Implements7[[#This Row],[TradeIn$]])/2*($BP$7+$BP$8+$BP$9)+Implements7[[#This Row],[Shed (ft^2)]]*$BP$12)/Implements7[[#This Row],[Use (ac/yr)]]</f>
        <v>0.82916077939646926</v>
      </c>
      <c r="AB105"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2.685948756456666</v>
      </c>
      <c r="AC105" s="115">
        <f>$BP$18/(Implements7[[#This Row],[Width]]*Implements7[[#This Row],[Speed]]*Implements7[[#This Row],[Efficiency]])</f>
        <v>8.5937500000000007E-3</v>
      </c>
      <c r="AD105" s="116">
        <f>IF(Implements7[[#This Row],[Use basis]]=$N$128,Implements7[[#This Row],[Ownership costs ($/hr)]],SUM(Implements7[[#This Row],[Depr ($/ac)2]:[OH ($/ac)]]))</f>
        <v>1.5892415030357507</v>
      </c>
      <c r="AE105" s="118">
        <v>25</v>
      </c>
      <c r="AF105" s="100" t="s">
        <v>507</v>
      </c>
      <c r="AG105" s="116"/>
      <c r="AZ105" s="167"/>
    </row>
    <row r="106" spans="2:52">
      <c r="B106" s="100" t="str">
        <f>Implements7[[#This Row],[Implement type]]&amp;", "&amp;Implements7[[#This Row],[Width]]&amp;" "&amp;Implements7[[#This Row],[Width Unit]]&amp; ", per "&amp;Implements7[[#This Row],[Use basis]]</f>
        <v>Row cultivator, 30 Ft Folding, per acre</v>
      </c>
      <c r="C106" s="107" t="s">
        <v>509</v>
      </c>
      <c r="D106" s="106">
        <v>30</v>
      </c>
      <c r="E106" s="107" t="str">
        <f t="shared" si="9"/>
        <v>Ft Folding</v>
      </c>
      <c r="F106" s="106">
        <v>12</v>
      </c>
      <c r="G106" s="106" t="s">
        <v>453</v>
      </c>
      <c r="H106" s="108">
        <v>48000</v>
      </c>
      <c r="I106" s="109">
        <v>0.1</v>
      </c>
      <c r="J106" s="195">
        <f t="shared" si="1"/>
        <v>53333.333333333328</v>
      </c>
      <c r="K106" s="306">
        <f>VLOOKUP(Implements7[[#This Row],[ASABEtype]],ASABECoefficients8[],4,FALSE)/Implements7[[#This Row],[Use (hr/yr)]]</f>
        <v>20</v>
      </c>
      <c r="L106" s="106">
        <v>100</v>
      </c>
      <c r="M106" s="111">
        <f t="shared" si="11"/>
        <v>1545.4545454545455</v>
      </c>
      <c r="N106" s="111" t="s">
        <v>706</v>
      </c>
      <c r="O106" s="106" t="s">
        <v>510</v>
      </c>
      <c r="P106" s="106">
        <v>5</v>
      </c>
      <c r="Q106" s="109">
        <v>0.85</v>
      </c>
      <c r="R106" s="109">
        <v>1.04</v>
      </c>
      <c r="S106" s="106">
        <v>140</v>
      </c>
      <c r="T106"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0.21054767935982382</v>
      </c>
      <c r="U106" s="113">
        <f>Implements7[[#This Row],[TradeIn%]]*Implements7[[#This Row],[PriceL]]</f>
        <v>11229.209565857269</v>
      </c>
      <c r="V106" s="114">
        <f>(Implements7[[#This Row],[PriceP]]-Implements7[[#This Row],[TradeIn$]])/Implements7[[#This Row],[Life (yr)]]/Implements7[[#This Row],[Use (hr/yr)]]</f>
        <v>18.38539521707137</v>
      </c>
      <c r="W106" s="114">
        <f>((Implements7[[#This Row],[PriceP]]+Implements7[[#This Row],[TradeIn$]])/2*($BP$7+$BP$8+$BP$9)+Implements7[[#This Row],[Shed (ft^2)]]*$BP$12)/Implements7[[#This Row],[Use (hr/yr)]]</f>
        <v>27.565831781322945</v>
      </c>
      <c r="X106" s="114">
        <f>Implements7[[#This Row],[PriceL]]*(VLOOKUP(Implements7[[#This Row],[ASABEtype]],$BC$6:$BM$52,2)*(Implements7[[#This Row],[Life (yr)]]*Implements7[[#This Row],[Use (hr/yr)]]/1000)^VLOOKUP(Implements7[[#This Row],[ASABEtype]],$BC$6:$BM$52,3))/Implements7[[#This Row],[Life (yr)]]/Implements7[[#This Row],[Use (hr/yr)]]</f>
        <v>20.829730170612901</v>
      </c>
      <c r="Y106" s="114">
        <f>Implements7[[#This Row],[Depr ($/hr)]]+Implements7[[#This Row],[OH ($/hr)]]</f>
        <v>45.951226998394318</v>
      </c>
      <c r="Z106" s="114">
        <f>(Implements7[[#This Row],[PriceP]]-Implements7[[#This Row],[TradeIn$]])/Implements7[[#This Row],[Life (yr)]]/Implements7[[#This Row],[Use (ac/yr)]]</f>
        <v>1.1896432199281473</v>
      </c>
      <c r="AA106" s="114">
        <f>((Implements7[[#This Row],[PriceP]]+Implements7[[#This Row],[TradeIn$]])/2*($BP$7+$BP$8+$BP$9)+Implements7[[#This Row],[Shed (ft^2)]]*$BP$12)/Implements7[[#This Row],[Use (ac/yr)]]</f>
        <v>1.7836714682032493</v>
      </c>
      <c r="AB106"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1.3478060698631877</v>
      </c>
      <c r="AC106" s="115">
        <f>$BP$18/(Implements7[[#This Row],[Width]]*Implements7[[#This Row],[Speed]]*Implements7[[#This Row],[Efficiency]])</f>
        <v>6.4705882352941183E-2</v>
      </c>
      <c r="AD106" s="116">
        <f>IF(Implements7[[#This Row],[Use basis]]=$N$128,Implements7[[#This Row],[Ownership costs ($/hr)]],SUM(Implements7[[#This Row],[Depr ($/ac)2]:[OH ($/ac)]]))</f>
        <v>2.9733146881313965</v>
      </c>
      <c r="AE106" s="118">
        <v>24</v>
      </c>
      <c r="AF106" s="100" t="s">
        <v>507</v>
      </c>
      <c r="AG106" s="116"/>
    </row>
    <row r="107" spans="2:52">
      <c r="B107" s="100" t="str">
        <f>Implements7[[#This Row],[Implement type]]&amp;", "&amp;Implements7[[#This Row],[Width]]&amp;" "&amp;Implements7[[#This Row],[Width Unit]]&amp; ", per "&amp;Implements7[[#This Row],[Use basis]]</f>
        <v>Grain trailer, 1000 Bushel HB, per hour</v>
      </c>
      <c r="C107" s="105" t="s">
        <v>721</v>
      </c>
      <c r="D107" s="106">
        <v>1000</v>
      </c>
      <c r="E107" s="105" t="s">
        <v>722</v>
      </c>
      <c r="F107" s="106"/>
      <c r="G107" s="105"/>
      <c r="H107" s="186">
        <v>50000</v>
      </c>
      <c r="I107" s="187">
        <v>0.1</v>
      </c>
      <c r="J107" s="195">
        <f t="shared" si="1"/>
        <v>55555.555555555555</v>
      </c>
      <c r="K107" s="306">
        <f>VLOOKUP(Implements7[[#This Row],[ASABEtype]],ASABECoefficients8[],4,FALSE)/Implements7[[#This Row],[Use (hr/yr)]]</f>
        <v>7.5</v>
      </c>
      <c r="L107" s="106">
        <v>400</v>
      </c>
      <c r="M107" s="111">
        <f t="shared" si="11"/>
        <v>2424242.4242424243</v>
      </c>
      <c r="N107" s="111" t="s">
        <v>720</v>
      </c>
      <c r="O107" s="106" t="s">
        <v>468</v>
      </c>
      <c r="P107" s="106">
        <v>50</v>
      </c>
      <c r="Q107" s="187">
        <v>1</v>
      </c>
      <c r="R107" s="187">
        <v>1.1000000000000001</v>
      </c>
      <c r="S107" s="106">
        <v>400</v>
      </c>
      <c r="T107"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0.35754221251605883</v>
      </c>
      <c r="U107" s="113">
        <f>Implements7[[#This Row],[TradeIn%]]*Implements7[[#This Row],[PriceL]]</f>
        <v>19863.456250892155</v>
      </c>
      <c r="V107" s="114">
        <f>(Implements7[[#This Row],[PriceP]]-Implements7[[#This Row],[TradeIn$]])/Implements7[[#This Row],[Life (yr)]]/Implements7[[#This Row],[Use (hr/yr)]]</f>
        <v>10.045514583035947</v>
      </c>
      <c r="W107" s="114">
        <f>((Implements7[[#This Row],[PriceP]]+Implements7[[#This Row],[TradeIn$]])/2*($BP$7+$BP$8+$BP$9)+Implements7[[#This Row],[Shed (ft^2)]]*$BP$12)/Implements7[[#This Row],[Use (hr/yr)]]</f>
        <v>8.697863810920019</v>
      </c>
      <c r="X107" s="114">
        <f>Implements7[[#This Row],[PriceL]]*(VLOOKUP(Implements7[[#This Row],[ASABEtype]],$BC$6:$BM$52,2)*(Implements7[[#This Row],[Life (yr)]]*Implements7[[#This Row],[Use (hr/yr)]]/1000)^VLOOKUP(Implements7[[#This Row],[ASABEtype]],$BC$6:$BM$52,3))/Implements7[[#This Row],[Life (yr)]]/Implements7[[#This Row],[Use (hr/yr)]]</f>
        <v>14.676330131112376</v>
      </c>
      <c r="Y107" s="114">
        <f>Implements7[[#This Row],[Depr ($/hr)]]+Implements7[[#This Row],[OH ($/hr)]]</f>
        <v>18.743378393955965</v>
      </c>
      <c r="Z107" s="114">
        <f>(Implements7[[#This Row],[PriceP]]-Implements7[[#This Row],[TradeIn$]])/Implements7[[#This Row],[Life (yr)]]/Implements7[[#This Row],[Use (ac/yr)]]</f>
        <v>1.6575099062009313E-3</v>
      </c>
      <c r="AA107" s="114">
        <f>((Implements7[[#This Row],[PriceP]]+Implements7[[#This Row],[TradeIn$]])/2*($BP$7+$BP$8+$BP$9)+Implements7[[#This Row],[Shed (ft^2)]]*$BP$12)/Implements7[[#This Row],[Use (ac/yr)]]</f>
        <v>1.435147528801803E-3</v>
      </c>
      <c r="AB107"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14.676330131112376</v>
      </c>
      <c r="AC107" s="115">
        <f>$BP$18/(Implements7[[#This Row],[Width]]*Implements7[[#This Row],[Speed]]*Implements7[[#This Row],[Efficiency]])</f>
        <v>1.65E-4</v>
      </c>
      <c r="AD107" s="116">
        <f>IF(Implements7[[#This Row],[Use basis]]=$N$128,Implements7[[#This Row],[Ownership costs ($/hr)]],SUM(Implements7[[#This Row],[Depr ($/ac)2]:[OH ($/ac)]]))</f>
        <v>18.743378393955965</v>
      </c>
      <c r="AE107" s="116"/>
      <c r="AF107" s="116" t="s">
        <v>723</v>
      </c>
      <c r="AG107" s="116"/>
    </row>
    <row r="108" spans="2:52">
      <c r="B108" s="100" t="str">
        <f>Implements7[[#This Row],[Implement type]]&amp;", "&amp;Implements7[[#This Row],[Width]]&amp;" "&amp;Implements7[[#This Row],[Width Unit]]&amp; ", per "&amp;Implements7[[#This Row],[Use basis]]</f>
        <v>Hay trailer, 7 Bale, per hour</v>
      </c>
      <c r="C108" s="105" t="s">
        <v>724</v>
      </c>
      <c r="D108" s="106">
        <v>7</v>
      </c>
      <c r="E108" s="105" t="s">
        <v>725</v>
      </c>
      <c r="F108" s="106"/>
      <c r="G108" s="105"/>
      <c r="H108" s="186">
        <v>7500</v>
      </c>
      <c r="I108" s="187">
        <v>0.1</v>
      </c>
      <c r="J108" s="195">
        <f t="shared" si="1"/>
        <v>8333.3333333333339</v>
      </c>
      <c r="K108" s="306">
        <f>VLOOKUP(Implements7[[#This Row],[ASABEtype]],ASABECoefficients8[],4,FALSE)/Implements7[[#This Row],[Use (hr/yr)]]</f>
        <v>15</v>
      </c>
      <c r="L108" s="106">
        <v>200</v>
      </c>
      <c r="M108" s="111">
        <f t="shared" si="11"/>
        <v>8484.8484848484841</v>
      </c>
      <c r="N108" s="111" t="s">
        <v>720</v>
      </c>
      <c r="O108" s="106" t="s">
        <v>468</v>
      </c>
      <c r="P108" s="106">
        <v>50</v>
      </c>
      <c r="Q108" s="187">
        <v>1</v>
      </c>
      <c r="R108" s="187">
        <v>1.05</v>
      </c>
      <c r="S108" s="106">
        <v>300</v>
      </c>
      <c r="T108"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0.22376917082458905</v>
      </c>
      <c r="U108" s="113">
        <f>Implements7[[#This Row],[TradeIn%]]*Implements7[[#This Row],[PriceL]]</f>
        <v>1864.7430902049089</v>
      </c>
      <c r="V108" s="114">
        <f>(Implements7[[#This Row],[PriceP]]-Implements7[[#This Row],[TradeIn$]])/Implements7[[#This Row],[Life (yr)]]/Implements7[[#This Row],[Use (hr/yr)]]</f>
        <v>1.8784189699316969</v>
      </c>
      <c r="W108" s="114">
        <f>((Implements7[[#This Row],[PriceP]]+Implements7[[#This Row],[TradeIn$]])/2*($BP$7+$BP$8+$BP$9)+Implements7[[#This Row],[Shed (ft^2)]]*$BP$12)/Implements7[[#This Row],[Use (hr/yr)]]</f>
        <v>3.5257778534554483</v>
      </c>
      <c r="X108" s="114">
        <f>Implements7[[#This Row],[PriceL]]*(VLOOKUP(Implements7[[#This Row],[ASABEtype]],$BC$6:$BM$52,2)*(Implements7[[#This Row],[Life (yr)]]*Implements7[[#This Row],[Use (hr/yr)]]/1000)^VLOOKUP(Implements7[[#This Row],[ASABEtype]],$BC$6:$BM$52,3))/Implements7[[#This Row],[Life (yr)]]/Implements7[[#This Row],[Use (hr/yr)]]</f>
        <v>2.2014495196668569</v>
      </c>
      <c r="Y108" s="114">
        <f>Implements7[[#This Row],[Depr ($/hr)]]+Implements7[[#This Row],[OH ($/hr)]]</f>
        <v>5.4041968233871449</v>
      </c>
      <c r="Z108" s="114">
        <f>(Implements7[[#This Row],[PriceP]]-Implements7[[#This Row],[TradeIn$]])/Implements7[[#This Row],[Life (yr)]]/Implements7[[#This Row],[Use (ac/yr)]]</f>
        <v>4.4277018576961431E-2</v>
      </c>
      <c r="AA108" s="114">
        <f>((Implements7[[#This Row],[PriceP]]+Implements7[[#This Row],[TradeIn$]])/2*($BP$7+$BP$8+$BP$9)+Implements7[[#This Row],[Shed (ft^2)]]*$BP$12)/Implements7[[#This Row],[Use (ac/yr)]]</f>
        <v>8.310762083144986E-2</v>
      </c>
      <c r="AB108"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2.2014495196668569</v>
      </c>
      <c r="AC108" s="115">
        <f>$BP$18/(Implements7[[#This Row],[Width]]*Implements7[[#This Row],[Speed]]*Implements7[[#This Row],[Efficiency]])</f>
        <v>2.3571428571428573E-2</v>
      </c>
      <c r="AD108" s="116">
        <f>IF(Implements7[[#This Row],[Use basis]]=$N$128,Implements7[[#This Row],[Ownership costs ($/hr)]],SUM(Implements7[[#This Row],[Depr ($/ac)2]:[OH ($/ac)]]))</f>
        <v>5.4041968233871449</v>
      </c>
      <c r="AE108" s="116"/>
      <c r="AF108" s="116" t="s">
        <v>723</v>
      </c>
      <c r="AG108" s="116"/>
    </row>
    <row r="109" spans="2:52">
      <c r="B109" s="100" t="str">
        <f>Implements7[[#This Row],[Implement type]]&amp;", "&amp;Implements7[[#This Row],[Width]]&amp;" "&amp;Implements7[[#This Row],[Width Unit]]&amp; ", per "&amp;Implements7[[#This Row],[Use basis]]</f>
        <v>Livestock trailer, 6.5  ton cap. 7x20 gooseneck, per hour</v>
      </c>
      <c r="C109" s="105" t="s">
        <v>726</v>
      </c>
      <c r="D109" s="106">
        <v>6.5</v>
      </c>
      <c r="E109" s="105" t="s">
        <v>727</v>
      </c>
      <c r="F109" s="106"/>
      <c r="G109" s="105"/>
      <c r="H109" s="186">
        <v>21000</v>
      </c>
      <c r="I109" s="187">
        <v>0.1</v>
      </c>
      <c r="J109" s="195">
        <f t="shared" ref="J109:J120" si="12">H109/(1-I109)</f>
        <v>23333.333333333332</v>
      </c>
      <c r="K109" s="306">
        <f>VLOOKUP(Implements7[[#This Row],[ASABEtype]],ASABECoefficients8[],4,FALSE)/Implements7[[#This Row],[Use (hr/yr)]]</f>
        <v>15</v>
      </c>
      <c r="L109" s="106">
        <v>200</v>
      </c>
      <c r="M109" s="111">
        <f t="shared" si="11"/>
        <v>7878.787878787879</v>
      </c>
      <c r="N109" s="111" t="s">
        <v>720</v>
      </c>
      <c r="O109" s="106" t="s">
        <v>468</v>
      </c>
      <c r="P109" s="106">
        <v>50</v>
      </c>
      <c r="Q109" s="187">
        <v>1</v>
      </c>
      <c r="R109" s="187">
        <v>1.05</v>
      </c>
      <c r="S109" s="106">
        <v>250</v>
      </c>
      <c r="T109"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0.22376917082458905</v>
      </c>
      <c r="U109" s="113">
        <f>Implements7[[#This Row],[TradeIn%]]*Implements7[[#This Row],[PriceL]]</f>
        <v>5221.2806525737442</v>
      </c>
      <c r="V109" s="114">
        <f>(Implements7[[#This Row],[PriceP]]-Implements7[[#This Row],[TradeIn$]])/Implements7[[#This Row],[Life (yr)]]/Implements7[[#This Row],[Use (hr/yr)]]</f>
        <v>5.2595731158087515</v>
      </c>
      <c r="W109" s="114">
        <f>((Implements7[[#This Row],[PriceP]]+Implements7[[#This Row],[TradeIn$]])/2*($BP$7+$BP$8+$BP$9)+Implements7[[#This Row],[Shed (ft^2)]]*$BP$12)/Implements7[[#This Row],[Use (hr/yr)]]</f>
        <v>7.0129820483382845</v>
      </c>
      <c r="X109" s="114">
        <f>Implements7[[#This Row],[PriceL]]*(VLOOKUP(Implements7[[#This Row],[ASABEtype]],$BC$6:$BM$52,2)*(Implements7[[#This Row],[Life (yr)]]*Implements7[[#This Row],[Use (hr/yr)]]/1000)^VLOOKUP(Implements7[[#This Row],[ASABEtype]],$BC$6:$BM$52,3))/Implements7[[#This Row],[Life (yr)]]/Implements7[[#This Row],[Use (hr/yr)]]</f>
        <v>6.1640586550671976</v>
      </c>
      <c r="Y109" s="114">
        <f>Implements7[[#This Row],[Depr ($/hr)]]+Implements7[[#This Row],[OH ($/hr)]]</f>
        <v>12.272555164147036</v>
      </c>
      <c r="Z109" s="114">
        <f>(Implements7[[#This Row],[PriceP]]-Implements7[[#This Row],[TradeIn$]])/Implements7[[#This Row],[Life (yr)]]/Implements7[[#This Row],[Use (ac/yr)]]</f>
        <v>0.13351224063206832</v>
      </c>
      <c r="AA109" s="114">
        <f>((Implements7[[#This Row],[PriceP]]+Implements7[[#This Row],[TradeIn$]])/2*($BP$7+$BP$8+$BP$9)+Implements7[[#This Row],[Shed (ft^2)]]*$BP$12)/Implements7[[#This Row],[Use (ac/yr)]]</f>
        <v>0.17802185199627951</v>
      </c>
      <c r="AB109"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6.1640586550671976</v>
      </c>
      <c r="AC109" s="115">
        <f>$BP$18/(Implements7[[#This Row],[Width]]*Implements7[[#This Row],[Speed]]*Implements7[[#This Row],[Efficiency]])</f>
        <v>2.5384615384615384E-2</v>
      </c>
      <c r="AD109" s="116">
        <f>IF(Implements7[[#This Row],[Use basis]]=$N$128,Implements7[[#This Row],[Ownership costs ($/hr)]],SUM(Implements7[[#This Row],[Depr ($/ac)2]:[OH ($/ac)]]))</f>
        <v>12.272555164147036</v>
      </c>
      <c r="AE109" s="116"/>
      <c r="AF109" s="116" t="s">
        <v>723</v>
      </c>
      <c r="AG109" s="116"/>
    </row>
    <row r="110" spans="2:52">
      <c r="B110" s="100" t="str">
        <f>Implements7[[#This Row],[Implement type]]&amp;", "&amp;Implements7[[#This Row],[Width]]&amp;" "&amp;Implements7[[#This Row],[Width Unit]]</f>
        <v>Air blast sprayer, 20 Ft</v>
      </c>
      <c r="C110" s="105" t="s">
        <v>844</v>
      </c>
      <c r="D110" s="106">
        <v>20</v>
      </c>
      <c r="E110" s="105" t="s">
        <v>439</v>
      </c>
      <c r="F110" s="106"/>
      <c r="G110" s="106" t="s">
        <v>845</v>
      </c>
      <c r="H110" s="186">
        <v>8000</v>
      </c>
      <c r="I110" s="187">
        <v>0.1</v>
      </c>
      <c r="J110" s="195">
        <f t="shared" si="12"/>
        <v>8888.8888888888887</v>
      </c>
      <c r="K110" s="306">
        <f>VLOOKUP(Implements7[[#This Row],[ASABEtype]],ASABECoefficients8[],4,FALSE)/Implements7[[#This Row],[Use (hr/yr)]]</f>
        <v>40</v>
      </c>
      <c r="L110" s="106">
        <v>50</v>
      </c>
      <c r="M110" s="111">
        <f t="shared" si="11"/>
        <v>127.27272727272727</v>
      </c>
      <c r="N110" s="111" t="s">
        <v>706</v>
      </c>
      <c r="O110" s="106" t="s">
        <v>555</v>
      </c>
      <c r="P110" s="106">
        <v>1.5</v>
      </c>
      <c r="Q110" s="187">
        <v>0.7</v>
      </c>
      <c r="R110" s="187">
        <v>1.25</v>
      </c>
      <c r="S110" s="106">
        <v>100</v>
      </c>
      <c r="T110"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9.153244730977092E-2</v>
      </c>
      <c r="U110" s="113">
        <f>Implements7[[#This Row],[TradeIn%]]*Implements7[[#This Row],[PriceL]]</f>
        <v>813.62175386463036</v>
      </c>
      <c r="V110" s="114">
        <f>(Implements7[[#This Row],[PriceP]]-Implements7[[#This Row],[TradeIn$]])/Implements7[[#This Row],[Life (yr)]]/Implements7[[#This Row],[Use (hr/yr)]]</f>
        <v>3.5931891230676847</v>
      </c>
      <c r="W110" s="117">
        <f>((Implements7[[#This Row],[PriceP]]+Implements7[[#This Row],[TradeIn$]])/2*($BP$7+$BP$8+$BP$9)+Implements7[[#This Row],[Shed (ft^2)]]*$BP$12)/Implements7[[#This Row],[Use (hr/yr)]]</f>
        <v>9.7384931785003488</v>
      </c>
      <c r="X110" s="114">
        <f>Implements7[[#This Row],[PriceL]]*(VLOOKUP(Implements7[[#This Row],[ASABEtype]],$BC$6:$BM$52,2)*(Implements7[[#This Row],[Life (yr)]]*Implements7[[#This Row],[Use (hr/yr)]]/1000)^VLOOKUP(Implements7[[#This Row],[ASABEtype]],$BC$6:$BM$52,3))/Implements7[[#This Row],[Life (yr)]]/Implements7[[#This Row],[Use (hr/yr)]]</f>
        <v>2.6946072293518188</v>
      </c>
      <c r="Y110" s="114">
        <f>Implements7[[#This Row],[Depr ($/hr)]]+Implements7[[#This Row],[OH ($/hr)]]</f>
        <v>13.331682301568033</v>
      </c>
      <c r="Z110" s="114">
        <f>(Implements7[[#This Row],[PriceP]]-Implements7[[#This Row],[TradeIn$]])/Implements7[[#This Row],[Life (yr)]]/Implements7[[#This Row],[Use (ac/yr)]]</f>
        <v>1.4116100126337334</v>
      </c>
      <c r="AA110" s="117">
        <f>((Implements7[[#This Row],[PriceP]]+Implements7[[#This Row],[TradeIn$]])/2*($BP$7+$BP$8+$BP$9)+Implements7[[#This Row],[Shed (ft^2)]]*$BP$12)/Implements7[[#This Row],[Use (ac/yr)]]</f>
        <v>3.8258366058394229</v>
      </c>
      <c r="AB110"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1.0585956972453574</v>
      </c>
      <c r="AC110" s="115">
        <f>$BP$18/(Implements7[[#This Row],[Width]]*Implements7[[#This Row],[Speed]]*Implements7[[#This Row],[Efficiency]])</f>
        <v>0.39285714285714285</v>
      </c>
      <c r="AD110" s="116">
        <f>IF(Implements7[[#This Row],[Use basis]]=$N$128,Implements7[[#This Row],[Ownership costs ($/hr)]],SUM(Implements7[[#This Row],[Depr ($/ac)2]:[OH ($/ac)]]))</f>
        <v>5.2374466184731565</v>
      </c>
      <c r="AE110" s="116"/>
      <c r="AF110" s="116" t="s">
        <v>507</v>
      </c>
      <c r="AG110" s="116"/>
    </row>
    <row r="111" spans="2:52">
      <c r="B111" s="100" t="str">
        <f>Implements7[[#This Row],[Implement type]]&amp;", "&amp;Implements7[[#This Row],[Width]]&amp;" "&amp;Implements7[[#This Row],[Width Unit]]</f>
        <v xml:space="preserve">Flatbed trailer, 7 ton cap.  </v>
      </c>
      <c r="C111" s="105" t="s">
        <v>846</v>
      </c>
      <c r="D111" s="106">
        <v>7</v>
      </c>
      <c r="E111" s="105" t="s">
        <v>847</v>
      </c>
      <c r="F111" s="106"/>
      <c r="G111" s="105"/>
      <c r="H111" s="186">
        <v>6800</v>
      </c>
      <c r="I111" s="187">
        <v>0.15</v>
      </c>
      <c r="J111" s="195">
        <f t="shared" si="12"/>
        <v>8000</v>
      </c>
      <c r="K111" s="306">
        <f>VLOOKUP(Implements7[[#This Row],[ASABEtype]],ASABECoefficients8[],4,FALSE)/Implements7[[#This Row],[Use (hr/yr)]]</f>
        <v>30</v>
      </c>
      <c r="L111" s="106">
        <v>100</v>
      </c>
      <c r="M111" s="111">
        <f t="shared" si="11"/>
        <v>3393.939393939394</v>
      </c>
      <c r="N111" s="111" t="s">
        <v>720</v>
      </c>
      <c r="O111" s="106" t="s">
        <v>468</v>
      </c>
      <c r="P111" s="106">
        <v>40</v>
      </c>
      <c r="Q111" s="187">
        <v>1</v>
      </c>
      <c r="R111" s="187">
        <v>1.05</v>
      </c>
      <c r="S111" s="106">
        <v>220</v>
      </c>
      <c r="T111"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8.8619091711737444E-2</v>
      </c>
      <c r="U111" s="113">
        <f>Implements7[[#This Row],[TradeIn%]]*Implements7[[#This Row],[PriceL]]</f>
        <v>708.95273369389952</v>
      </c>
      <c r="V111" s="114">
        <f>(Implements7[[#This Row],[PriceP]]-Implements7[[#This Row],[TradeIn$]])/Implements7[[#This Row],[Life (yr)]]/Implements7[[#This Row],[Use (hr/yr)]]</f>
        <v>2.0303490887687001</v>
      </c>
      <c r="W111" s="117">
        <f>((Implements7[[#This Row],[PriceP]]+Implements7[[#This Row],[TradeIn$]])/2*($BP$7+$BP$8+$BP$9)+Implements7[[#This Row],[Shed (ft^2)]]*$BP$12)/Implements7[[#This Row],[Use (hr/yr)]]</f>
        <v>5.4549933036227154</v>
      </c>
      <c r="X111" s="114">
        <f>Implements7[[#This Row],[PriceL]]*(VLOOKUP(Implements7[[#This Row],[ASABEtype]],$BC$6:$BM$52,2)*(Implements7[[#This Row],[Life (yr)]]*Implements7[[#This Row],[Use (hr/yr)]]/1000)^VLOOKUP(Implements7[[#This Row],[ASABEtype]],$BC$6:$BM$52,3))/Implements7[[#This Row],[Life (yr)]]/Implements7[[#This Row],[Use (hr/yr)]]</f>
        <v>2.1133915388801823</v>
      </c>
      <c r="Y111" s="114">
        <f>Implements7[[#This Row],[Depr ($/hr)]]+Implements7[[#This Row],[OH ($/hr)]]</f>
        <v>7.4853423923914155</v>
      </c>
      <c r="Z111" s="114">
        <f>(Implements7[[#This Row],[PriceP]]-Implements7[[#This Row],[TradeIn$]])/Implements7[[#This Row],[Life (yr)]]/Implements7[[#This Row],[Use (ac/yr)]]</f>
        <v>5.9822785651220629E-2</v>
      </c>
      <c r="AA111" s="117">
        <f>((Implements7[[#This Row],[PriceP]]+Implements7[[#This Row],[TradeIn$]])/2*($BP$7+$BP$8+$BP$9)+Implements7[[#This Row],[Shed (ft^2)]]*$BP$12)/Implements7[[#This Row],[Use (ac/yr)]]</f>
        <v>0.16072748126745501</v>
      </c>
      <c r="AB111"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2.1133915388801823</v>
      </c>
      <c r="AC111" s="115">
        <f>$BP$18/(Implements7[[#This Row],[Width]]*Implements7[[#This Row],[Speed]]*Implements7[[#This Row],[Efficiency]])</f>
        <v>2.9464285714285714E-2</v>
      </c>
      <c r="AD111" s="116">
        <f>IF(Implements7[[#This Row],[Use basis]]=$N$128,Implements7[[#This Row],[Ownership costs ($/hr)]],SUM(Implements7[[#This Row],[Depr ($/ac)2]:[OH ($/ac)]]))</f>
        <v>7.4853423923914155</v>
      </c>
      <c r="AE111" s="116"/>
      <c r="AF111" s="116" t="s">
        <v>723</v>
      </c>
      <c r="AG111" s="116"/>
    </row>
    <row r="112" spans="2:52">
      <c r="B112" s="100" t="str">
        <f>Implements7[[#This Row],[Implement type]]&amp;", "&amp;Implements7[[#This Row],[Width]]&amp;" "&amp;Implements7[[#This Row],[Width Unit]]</f>
        <v>Finish mower, 7 Ft</v>
      </c>
      <c r="C112" s="105" t="s">
        <v>848</v>
      </c>
      <c r="D112" s="106">
        <v>7</v>
      </c>
      <c r="E112" s="105" t="s">
        <v>439</v>
      </c>
      <c r="F112" s="106"/>
      <c r="G112" s="105"/>
      <c r="H112" s="186">
        <v>3200</v>
      </c>
      <c r="I112" s="187">
        <v>0.2</v>
      </c>
      <c r="J112" s="195">
        <f t="shared" si="12"/>
        <v>4000</v>
      </c>
      <c r="K112" s="306">
        <f>VLOOKUP(Implements7[[#This Row],[ASABEtype]],ASABECoefficients8[],4,FALSE)/Implements7[[#This Row],[Use (hr/yr)]]</f>
        <v>40</v>
      </c>
      <c r="L112" s="106">
        <v>50</v>
      </c>
      <c r="M112" s="111">
        <f t="shared" si="11"/>
        <v>144.24242424242425</v>
      </c>
      <c r="N112" s="111" t="s">
        <v>706</v>
      </c>
      <c r="O112" s="106" t="s">
        <v>470</v>
      </c>
      <c r="P112" s="106">
        <v>4</v>
      </c>
      <c r="Q112" s="187">
        <v>0.85</v>
      </c>
      <c r="R112" s="187">
        <v>1.05</v>
      </c>
      <c r="S112" s="106">
        <v>50</v>
      </c>
      <c r="T112"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8.1508141810376536E-2</v>
      </c>
      <c r="U112" s="113">
        <f>Implements7[[#This Row],[TradeIn%]]*Implements7[[#This Row],[PriceL]]</f>
        <v>326.03256724150617</v>
      </c>
      <c r="V112" s="114">
        <f>(Implements7[[#This Row],[PriceP]]-Implements7[[#This Row],[TradeIn$]])/Implements7[[#This Row],[Life (yr)]]/Implements7[[#This Row],[Use (hr/yr)]]</f>
        <v>1.4369837163792472</v>
      </c>
      <c r="W112" s="117">
        <f>((Implements7[[#This Row],[PriceP]]+Implements7[[#This Row],[TradeIn$]])/2*($BP$7+$BP$8+$BP$9)+Implements7[[#This Row],[Shed (ft^2)]]*$BP$12)/Implements7[[#This Row],[Use (hr/yr)]]</f>
        <v>4.0897577851738074</v>
      </c>
      <c r="X112" s="114">
        <f>Implements7[[#This Row],[PriceL]]*(VLOOKUP(Implements7[[#This Row],[ASABEtype]],$BC$6:$BM$52,2)*(Implements7[[#This Row],[Life (yr)]]*Implements7[[#This Row],[Use (hr/yr)]]/1000)^VLOOKUP(Implements7[[#This Row],[ASABEtype]],$BC$6:$BM$52,3))/Implements7[[#This Row],[Life (yr)]]/Implements7[[#This Row],[Use (hr/yr)]]</f>
        <v>3.52</v>
      </c>
      <c r="Y112" s="114">
        <f>Implements7[[#This Row],[Depr ($/hr)]]+Implements7[[#This Row],[OH ($/hr)]]</f>
        <v>5.5267415015530545</v>
      </c>
      <c r="Z112" s="114">
        <f>(Implements7[[#This Row],[PriceP]]-Implements7[[#This Row],[TradeIn$]])/Implements7[[#This Row],[Life (yr)]]/Implements7[[#This Row],[Use (ac/yr)]]</f>
        <v>0.49811410336675577</v>
      </c>
      <c r="AA112" s="117">
        <f>((Implements7[[#This Row],[PriceP]]+Implements7[[#This Row],[TradeIn$]])/2*($BP$7+$BP$8+$BP$9)+Implements7[[#This Row],[Shed (ft^2)]]*$BP$12)/Implements7[[#This Row],[Use (ac/yr)]]</f>
        <v>1.4176681398186517</v>
      </c>
      <c r="AB112"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1.2201680672268906</v>
      </c>
      <c r="AC112" s="115">
        <f>$BP$18/(Implements7[[#This Row],[Width]]*Implements7[[#This Row],[Speed]]*Implements7[[#This Row],[Efficiency]])</f>
        <v>0.34663865546218486</v>
      </c>
      <c r="AD112" s="116">
        <f>IF(Implements7[[#This Row],[Use basis]]=$N$128,Implements7[[#This Row],[Ownership costs ($/hr)]],SUM(Implements7[[#This Row],[Depr ($/ac)2]:[OH ($/ac)]]))</f>
        <v>1.9157822431854075</v>
      </c>
      <c r="AE112" s="116"/>
      <c r="AF112" s="116" t="s">
        <v>493</v>
      </c>
      <c r="AG112" s="116"/>
    </row>
    <row r="113" spans="2:33">
      <c r="B113" s="100" t="str">
        <f>Implements7[[#This Row],[Implement type]]&amp;", "&amp;Implements7[[#This Row],[Width]]&amp;" "&amp;Implements7[[#This Row],[Width Unit]]</f>
        <v>Fertilizer spreader, 20 Ft</v>
      </c>
      <c r="C113" s="105" t="s">
        <v>442</v>
      </c>
      <c r="D113" s="106">
        <v>20</v>
      </c>
      <c r="E113" s="105" t="s">
        <v>439</v>
      </c>
      <c r="F113" s="106"/>
      <c r="G113" s="105" t="s">
        <v>849</v>
      </c>
      <c r="H113" s="186">
        <v>780</v>
      </c>
      <c r="I113" s="187">
        <v>0.1</v>
      </c>
      <c r="J113" s="195">
        <f t="shared" si="12"/>
        <v>866.66666666666663</v>
      </c>
      <c r="K113" s="306">
        <f>VLOOKUP(Implements7[[#This Row],[ASABEtype]],ASABECoefficients8[],4,FALSE)/Implements7[[#This Row],[Use (hr/yr)]]</f>
        <v>24</v>
      </c>
      <c r="L113" s="106">
        <v>50</v>
      </c>
      <c r="M113" s="111">
        <f t="shared" si="11"/>
        <v>581.81818181818187</v>
      </c>
      <c r="N113" s="111" t="s">
        <v>706</v>
      </c>
      <c r="O113" s="106" t="s">
        <v>442</v>
      </c>
      <c r="P113" s="106">
        <v>6</v>
      </c>
      <c r="Q113" s="187">
        <v>0.8</v>
      </c>
      <c r="R113" s="187">
        <v>1.1000000000000001</v>
      </c>
      <c r="S113" s="106">
        <v>6</v>
      </c>
      <c r="T113"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0.12231260378398887</v>
      </c>
      <c r="U113" s="113">
        <f>Implements7[[#This Row],[TradeIn%]]*Implements7[[#This Row],[PriceL]]</f>
        <v>106.00425661279034</v>
      </c>
      <c r="V113" s="114">
        <f>(Implements7[[#This Row],[PriceP]]-Implements7[[#This Row],[TradeIn$]])/Implements7[[#This Row],[Life (yr)]]/Implements7[[#This Row],[Use (hr/yr)]]</f>
        <v>0.56166311948934144</v>
      </c>
      <c r="W113" s="117">
        <f>((Implements7[[#This Row],[PriceP]]+Implements7[[#This Row],[TradeIn$]])/2*($BP$7+$BP$8+$BP$9)+Implements7[[#This Row],[Shed (ft^2)]]*$BP$12)/Implements7[[#This Row],[Use (hr/yr)]]</f>
        <v>0.90042004268212839</v>
      </c>
      <c r="X113" s="114">
        <f>Implements7[[#This Row],[PriceL]]*(VLOOKUP(Implements7[[#This Row],[ASABEtype]],$BC$6:$BM$52,2)*(Implements7[[#This Row],[Life (yr)]]*Implements7[[#This Row],[Use (hr/yr)]]/1000)^VLOOKUP(Implements7[[#This Row],[ASABEtype]],$BC$6:$BM$52,3))/Implements7[[#This Row],[Life (yr)]]/Implements7[[#This Row],[Use (hr/yr)]]</f>
        <v>0.57669610276783489</v>
      </c>
      <c r="Y113" s="114">
        <f>Implements7[[#This Row],[Depr ($/hr)]]+Implements7[[#This Row],[OH ($/hr)]]</f>
        <v>1.4620831621714698</v>
      </c>
      <c r="Z113" s="114">
        <f>(Implements7[[#This Row],[PriceP]]-Implements7[[#This Row],[TradeIn$]])/Implements7[[#This Row],[Life (yr)]]/Implements7[[#This Row],[Use (ac/yr)]]</f>
        <v>4.8267924331115278E-2</v>
      </c>
      <c r="AA113" s="117">
        <f>((Implements7[[#This Row],[PriceP]]+Implements7[[#This Row],[TradeIn$]])/2*($BP$7+$BP$8+$BP$9)+Implements7[[#This Row],[Shed (ft^2)]]*$BP$12)/Implements7[[#This Row],[Use (ac/yr)]]</f>
        <v>7.7379847417995404E-2</v>
      </c>
      <c r="AB113"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4.9559821331610812E-2</v>
      </c>
      <c r="AC113" s="115">
        <f>$BP$18/(Implements7[[#This Row],[Width]]*Implements7[[#This Row],[Speed]]*Implements7[[#This Row],[Efficiency]])</f>
        <v>8.59375E-2</v>
      </c>
      <c r="AD113" s="116">
        <f>IF(Implements7[[#This Row],[Use basis]]=$N$128,Implements7[[#This Row],[Ownership costs ($/hr)]],SUM(Implements7[[#This Row],[Depr ($/ac)2]:[OH ($/ac)]]))</f>
        <v>0.12564777174911068</v>
      </c>
      <c r="AE113" s="116"/>
      <c r="AF113" s="116" t="s">
        <v>694</v>
      </c>
      <c r="AG113" s="116"/>
    </row>
    <row r="114" spans="2:33">
      <c r="B114" s="100" t="str">
        <f>Implements7[[#This Row],[Implement type]]&amp;", "&amp;Implements7[[#This Row],[Width]]&amp;" "&amp;Implements7[[#This Row],[Width Unit]]</f>
        <v>Fertilizer spreader, 40 Ft</v>
      </c>
      <c r="C114" s="105" t="s">
        <v>442</v>
      </c>
      <c r="D114" s="106">
        <v>40</v>
      </c>
      <c r="E114" s="105" t="s">
        <v>439</v>
      </c>
      <c r="F114" s="106"/>
      <c r="G114" s="105" t="s">
        <v>850</v>
      </c>
      <c r="H114" s="186">
        <v>18750</v>
      </c>
      <c r="I114" s="187">
        <v>0.1</v>
      </c>
      <c r="J114" s="195">
        <f t="shared" si="12"/>
        <v>20833.333333333332</v>
      </c>
      <c r="K114" s="306">
        <f>VLOOKUP(Implements7[[#This Row],[ASABEtype]],ASABECoefficients8[],4,FALSE)/Implements7[[#This Row],[Use (hr/yr)]]</f>
        <v>12</v>
      </c>
      <c r="L114" s="106">
        <v>100</v>
      </c>
      <c r="M114" s="111">
        <f t="shared" si="11"/>
        <v>3103.030303030303</v>
      </c>
      <c r="N114" s="111" t="s">
        <v>706</v>
      </c>
      <c r="O114" s="106" t="s">
        <v>442</v>
      </c>
      <c r="P114" s="106">
        <v>8</v>
      </c>
      <c r="Q114" s="187">
        <v>0.8</v>
      </c>
      <c r="R114" s="187">
        <v>1.1000000000000001</v>
      </c>
      <c r="S114" s="106">
        <v>150</v>
      </c>
      <c r="T114"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0.28244357578252999</v>
      </c>
      <c r="U114" s="113">
        <f>Implements7[[#This Row],[TradeIn%]]*Implements7[[#This Row],[PriceL]]</f>
        <v>5884.2411621360407</v>
      </c>
      <c r="V114" s="114">
        <f>(Implements7[[#This Row],[PriceP]]-Implements7[[#This Row],[TradeIn$]])/Implements7[[#This Row],[Life (yr)]]/Implements7[[#This Row],[Use (hr/yr)]]</f>
        <v>10.721465698219966</v>
      </c>
      <c r="W114" s="117">
        <f>((Implements7[[#This Row],[PriceP]]+Implements7[[#This Row],[TradeIn$]])/2*($BP$7+$BP$8+$BP$9)+Implements7[[#This Row],[Shed (ft^2)]]*$BP$12)/Implements7[[#This Row],[Use (hr/yr)]]</f>
        <v>12.354480158992811</v>
      </c>
      <c r="X114" s="114">
        <f>Implements7[[#This Row],[PriceL]]*(VLOOKUP(Implements7[[#This Row],[ASABEtype]],$BC$6:$BM$52,2)*(Implements7[[#This Row],[Life (yr)]]*Implements7[[#This Row],[Use (hr/yr)]]/1000)^VLOOKUP(Implements7[[#This Row],[ASABEtype]],$BC$6:$BM$52,3))/Implements7[[#This Row],[Life (yr)]]/Implements7[[#This Row],[Use (hr/yr)]]</f>
        <v>13.862887085765262</v>
      </c>
      <c r="Y114" s="114">
        <f>Implements7[[#This Row],[Depr ($/hr)]]+Implements7[[#This Row],[OH ($/hr)]]</f>
        <v>23.075945857212776</v>
      </c>
      <c r="Z114" s="114">
        <f>(Implements7[[#This Row],[PriceP]]-Implements7[[#This Row],[TradeIn$]])/Implements7[[#This Row],[Life (yr)]]/Implements7[[#This Row],[Use (ac/yr)]]</f>
        <v>0.34551598441529185</v>
      </c>
      <c r="AA114" s="117">
        <f>((Implements7[[#This Row],[PriceP]]+Implements7[[#This Row],[TradeIn$]])/2*($BP$7+$BP$8+$BP$9)+Implements7[[#This Row],[Shed (ft^2)]]*$BP$12)/Implements7[[#This Row],[Use (ac/yr)]]</f>
        <v>0.39814242699879177</v>
      </c>
      <c r="AB114"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0.44675319709985711</v>
      </c>
      <c r="AC114" s="115">
        <f>$BP$18/(Implements7[[#This Row],[Width]]*Implements7[[#This Row],[Speed]]*Implements7[[#This Row],[Efficiency]])</f>
        <v>3.22265625E-2</v>
      </c>
      <c r="AD114" s="116">
        <f>IF(Implements7[[#This Row],[Use basis]]=$N$128,Implements7[[#This Row],[Ownership costs ($/hr)]],SUM(Implements7[[#This Row],[Depr ($/ac)2]:[OH ($/ac)]]))</f>
        <v>0.74365841141408362</v>
      </c>
      <c r="AE114" s="116"/>
      <c r="AF114" s="116" t="s">
        <v>694</v>
      </c>
      <c r="AG114" s="116"/>
    </row>
    <row r="115" spans="2:33">
      <c r="B115" s="100" t="str">
        <f>Implements7[[#This Row],[Implement type]]&amp;", "&amp;Implements7[[#This Row],[Width]]&amp;" "&amp;Implements7[[#This Row],[Width Unit]]</f>
        <v>Fertilizer spreader, 60 Ft</v>
      </c>
      <c r="C115" s="105" t="s">
        <v>442</v>
      </c>
      <c r="D115" s="106">
        <v>60</v>
      </c>
      <c r="E115" s="105" t="s">
        <v>439</v>
      </c>
      <c r="F115" s="106"/>
      <c r="G115" s="105" t="s">
        <v>851</v>
      </c>
      <c r="H115" s="186">
        <v>48500</v>
      </c>
      <c r="I115" s="187">
        <v>0.1</v>
      </c>
      <c r="J115" s="195">
        <f t="shared" si="12"/>
        <v>53888.888888888891</v>
      </c>
      <c r="K115" s="306">
        <f>VLOOKUP(Implements7[[#This Row],[ASABEtype]],ASABECoefficients8[],4,FALSE)/Implements7[[#This Row],[Use (hr/yr)]]</f>
        <v>6</v>
      </c>
      <c r="L115" s="106">
        <v>200</v>
      </c>
      <c r="M115" s="111">
        <f t="shared" si="11"/>
        <v>9309.0909090909099</v>
      </c>
      <c r="N115" s="111" t="s">
        <v>706</v>
      </c>
      <c r="O115" s="106" t="s">
        <v>442</v>
      </c>
      <c r="P115" s="106">
        <v>8</v>
      </c>
      <c r="Q115" s="187">
        <v>0.8</v>
      </c>
      <c r="R115" s="187">
        <v>1.1000000000000001</v>
      </c>
      <c r="S115" s="106">
        <v>180</v>
      </c>
      <c r="T115"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0.43690269820173988</v>
      </c>
      <c r="U115" s="113">
        <f>Implements7[[#This Row],[TradeIn%]]*Implements7[[#This Row],[PriceL]]</f>
        <v>23544.200958649315</v>
      </c>
      <c r="V115" s="114">
        <f>(Implements7[[#This Row],[PriceP]]-Implements7[[#This Row],[TradeIn$]])/Implements7[[#This Row],[Life (yr)]]/Implements7[[#This Row],[Use (hr/yr)]]</f>
        <v>20.79649920112557</v>
      </c>
      <c r="W115" s="117">
        <f>((Implements7[[#This Row],[PriceP]]+Implements7[[#This Row],[TradeIn$]])/2*($BP$7+$BP$8+$BP$9)+Implements7[[#This Row],[Shed (ft^2)]]*$BP$12)/Implements7[[#This Row],[Use (hr/yr)]]</f>
        <v>16.812076528949728</v>
      </c>
      <c r="X115" s="114">
        <f>Implements7[[#This Row],[PriceL]]*(VLOOKUP(Implements7[[#This Row],[ASABEtype]],$BC$6:$BM$52,2)*(Implements7[[#This Row],[Life (yr)]]*Implements7[[#This Row],[Use (hr/yr)]]/1000)^VLOOKUP(Implements7[[#This Row],[ASABEtype]],$BC$6:$BM$52,3))/Implements7[[#This Row],[Life (yr)]]/Implements7[[#This Row],[Use (hr/yr)]]</f>
        <v>35.858667928512816</v>
      </c>
      <c r="Y115" s="114">
        <f>Implements7[[#This Row],[Depr ($/hr)]]+Implements7[[#This Row],[OH ($/hr)]]</f>
        <v>37.608575730075302</v>
      </c>
      <c r="Z115" s="114">
        <f>(Implements7[[#This Row],[PriceP]]-Implements7[[#This Row],[TradeIn$]])/Implements7[[#This Row],[Life (yr)]]/Implements7[[#This Row],[Use (ac/yr)]]</f>
        <v>0.44679978752418215</v>
      </c>
      <c r="AA115" s="117">
        <f>((Implements7[[#This Row],[PriceP]]+Implements7[[#This Row],[TradeIn$]])/2*($BP$7+$BP$8+$BP$9)+Implements7[[#This Row],[Shed (ft^2)]]*$BP$12)/Implements7[[#This Row],[Use (ac/yr)]]</f>
        <v>0.36119695667665425</v>
      </c>
      <c r="AB115"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0.77040106877664249</v>
      </c>
      <c r="AC115" s="115">
        <f>$BP$18/(Implements7[[#This Row],[Width]]*Implements7[[#This Row],[Speed]]*Implements7[[#This Row],[Efficiency]])</f>
        <v>2.1484375E-2</v>
      </c>
      <c r="AD115" s="116">
        <f>IF(Implements7[[#This Row],[Use basis]]=$N$128,Implements7[[#This Row],[Ownership costs ($/hr)]],SUM(Implements7[[#This Row],[Depr ($/ac)2]:[OH ($/ac)]]))</f>
        <v>0.80799674420083645</v>
      </c>
      <c r="AE115" s="116"/>
      <c r="AF115" s="116" t="s">
        <v>694</v>
      </c>
      <c r="AG115" s="116"/>
    </row>
    <row r="116" spans="2:33">
      <c r="B116" s="100" t="str">
        <f>Implements7[[#This Row],[Implement type]]&amp;", "&amp;Implements7[[#This Row],[Width]]&amp;" "&amp;Implements7[[#This Row],[Width Unit]]</f>
        <v>Air boom spreader, 80 Ft</v>
      </c>
      <c r="C116" s="105" t="s">
        <v>852</v>
      </c>
      <c r="D116" s="106">
        <v>80</v>
      </c>
      <c r="E116" s="105" t="s">
        <v>439</v>
      </c>
      <c r="F116" s="106"/>
      <c r="G116" s="105" t="s">
        <v>853</v>
      </c>
      <c r="H116" s="186">
        <v>175000</v>
      </c>
      <c r="I116" s="187">
        <v>0.1</v>
      </c>
      <c r="J116" s="195">
        <f t="shared" si="12"/>
        <v>194444.44444444444</v>
      </c>
      <c r="K116" s="306">
        <f>VLOOKUP(Implements7[[#This Row],[ASABEtype]],ASABECoefficients8[],4,FALSE)/Implements7[[#This Row],[Use (hr/yr)]]</f>
        <v>6</v>
      </c>
      <c r="L116" s="106">
        <v>200</v>
      </c>
      <c r="M116" s="111">
        <f t="shared" si="11"/>
        <v>15515.151515151516</v>
      </c>
      <c r="N116" s="111" t="s">
        <v>706</v>
      </c>
      <c r="O116" s="106" t="s">
        <v>442</v>
      </c>
      <c r="P116" s="106">
        <v>10</v>
      </c>
      <c r="Q116" s="187">
        <v>0.8</v>
      </c>
      <c r="R116" s="187">
        <v>1.1000000000000001</v>
      </c>
      <c r="S116" s="106">
        <v>250</v>
      </c>
      <c r="T116"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0.43690269820173988</v>
      </c>
      <c r="U116" s="113">
        <f>Implements7[[#This Row],[TradeIn%]]*Implements7[[#This Row],[PriceL]]</f>
        <v>84953.302428116091</v>
      </c>
      <c r="V116" s="114">
        <f>(Implements7[[#This Row],[PriceP]]-Implements7[[#This Row],[TradeIn$]])/Implements7[[#This Row],[Life (yr)]]/Implements7[[#This Row],[Use (hr/yr)]]</f>
        <v>75.038914643236595</v>
      </c>
      <c r="W116" s="117">
        <f>((Implements7[[#This Row],[PriceP]]+Implements7[[#This Row],[TradeIn$]])/2*($BP$7+$BP$8+$BP$9)+Implements7[[#This Row],[Shed (ft^2)]]*$BP$12)/Implements7[[#This Row],[Use (hr/yr)]]</f>
        <v>58.726191866177025</v>
      </c>
      <c r="X116" s="114">
        <f>Implements7[[#This Row],[PriceL]]*(VLOOKUP(Implements7[[#This Row],[ASABEtype]],$BC$6:$BM$52,2)*(Implements7[[#This Row],[Life (yr)]]*Implements7[[#This Row],[Use (hr/yr)]]/1000)^VLOOKUP(Implements7[[#This Row],[ASABEtype]],$BC$6:$BM$52,3))/Implements7[[#This Row],[Life (yr)]]/Implements7[[#This Row],[Use (hr/yr)]]</f>
        <v>129.38694613380912</v>
      </c>
      <c r="Y116" s="114">
        <f>Implements7[[#This Row],[Depr ($/hr)]]+Implements7[[#This Row],[OH ($/hr)]]</f>
        <v>133.76510650941361</v>
      </c>
      <c r="Z116" s="114">
        <f>(Implements7[[#This Row],[PriceP]]-Implements7[[#This Row],[TradeIn$]])/Implements7[[#This Row],[Life (yr)]]/Implements7[[#This Row],[Use (ac/yr)]]</f>
        <v>0.96729850907297166</v>
      </c>
      <c r="AA116" s="117">
        <f>((Implements7[[#This Row],[PriceP]]+Implements7[[#This Row],[TradeIn$]])/2*($BP$7+$BP$8+$BP$9)+Implements7[[#This Row],[Shed (ft^2)]]*$BP$12)/Implements7[[#This Row],[Use (ac/yr)]]</f>
        <v>0.75701731702493813</v>
      </c>
      <c r="AB116"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1.6678786025061332</v>
      </c>
      <c r="AC116" s="115">
        <f>$BP$18/(Implements7[[#This Row],[Width]]*Implements7[[#This Row],[Speed]]*Implements7[[#This Row],[Efficiency]])</f>
        <v>1.2890624999999999E-2</v>
      </c>
      <c r="AD116" s="116">
        <f>IF(Implements7[[#This Row],[Use basis]]=$N$128,Implements7[[#This Row],[Ownership costs ($/hr)]],SUM(Implements7[[#This Row],[Depr ($/ac)2]:[OH ($/ac)]]))</f>
        <v>1.7243158260979099</v>
      </c>
      <c r="AE116" s="116"/>
      <c r="AF116" s="116" t="s">
        <v>694</v>
      </c>
      <c r="AG116" s="116"/>
    </row>
    <row r="117" spans="2:33">
      <c r="B117" s="100" t="str">
        <f>Implements7[[#This Row],[Implement type]]&amp;", "&amp;Implements7[[#This Row],[Width]]&amp;" "&amp;Implements7[[#This Row],[Width Unit]]</f>
        <v xml:space="preserve">Boomless sprayer, 15 Ft. </v>
      </c>
      <c r="C117" s="105" t="s">
        <v>854</v>
      </c>
      <c r="D117" s="106">
        <v>15</v>
      </c>
      <c r="E117" s="105" t="s">
        <v>855</v>
      </c>
      <c r="F117" s="106"/>
      <c r="G117" s="105" t="s">
        <v>856</v>
      </c>
      <c r="H117" s="186">
        <v>2700</v>
      </c>
      <c r="I117" s="187">
        <v>0.1</v>
      </c>
      <c r="J117" s="195">
        <f t="shared" si="12"/>
        <v>3000</v>
      </c>
      <c r="K117" s="306">
        <f>VLOOKUP(Implements7[[#This Row],[ASABEtype]],ASABECoefficients8[],4,FALSE)/Implements7[[#This Row],[Use (hr/yr)]]</f>
        <v>75</v>
      </c>
      <c r="L117" s="106">
        <v>20</v>
      </c>
      <c r="M117" s="111">
        <f t="shared" si="11"/>
        <v>76.363636363636346</v>
      </c>
      <c r="N117" s="111" t="s">
        <v>706</v>
      </c>
      <c r="O117" s="106" t="s">
        <v>506</v>
      </c>
      <c r="P117" s="106">
        <v>3</v>
      </c>
      <c r="Q117" s="187">
        <v>0.7</v>
      </c>
      <c r="R117" s="187">
        <v>1.25</v>
      </c>
      <c r="S117" s="106">
        <v>40</v>
      </c>
      <c r="T117"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4.4923949483343176E-3</v>
      </c>
      <c r="U117" s="113">
        <f>Implements7[[#This Row],[TradeIn%]]*Implements7[[#This Row],[PriceL]]</f>
        <v>13.477184845002952</v>
      </c>
      <c r="V117" s="114">
        <f>(Implements7[[#This Row],[PriceP]]-Implements7[[#This Row],[TradeIn$]])/Implements7[[#This Row],[Life (yr)]]/Implements7[[#This Row],[Use (hr/yr)]]</f>
        <v>1.7910152101033314</v>
      </c>
      <c r="W117" s="117">
        <f>((Implements7[[#This Row],[PriceP]]+Implements7[[#This Row],[TradeIn$]])/2*($BP$7+$BP$8+$BP$9)+Implements7[[#This Row],[Shed (ft^2)]]*$BP$12)/Implements7[[#This Row],[Use (hr/yr)]]</f>
        <v>7.9420061977997189</v>
      </c>
      <c r="X117" s="114">
        <f>Implements7[[#This Row],[PriceL]]*(VLOOKUP(Implements7[[#This Row],[ASABEtype]],$BC$6:$BM$52,2)*(Implements7[[#This Row],[Life (yr)]]*Implements7[[#This Row],[Use (hr/yr)]]/1000)^VLOOKUP(Implements7[[#This Row],[ASABEtype]],$BC$6:$BM$52,3))/Implements7[[#This Row],[Life (yr)]]/Implements7[[#This Row],[Use (hr/yr)]]</f>
        <v>1.3890967306119322</v>
      </c>
      <c r="Y117" s="114">
        <f>Implements7[[#This Row],[Depr ($/hr)]]+Implements7[[#This Row],[OH ($/hr)]]</f>
        <v>9.7330214079030508</v>
      </c>
      <c r="Z117" s="114">
        <f>(Implements7[[#This Row],[PriceP]]-Implements7[[#This Row],[TradeIn$]])/Implements7[[#This Row],[Life (yr)]]/Implements7[[#This Row],[Use (ac/yr)]]</f>
        <v>0.46907541216992027</v>
      </c>
      <c r="AA117" s="117">
        <f>((Implements7[[#This Row],[PriceP]]+Implements7[[#This Row],[TradeIn$]])/2*($BP$7+$BP$8+$BP$9)+Implements7[[#This Row],[Shed (ft^2)]]*$BP$12)/Implements7[[#This Row],[Use (ac/yr)]]</f>
        <v>2.0800492422808792</v>
      </c>
      <c r="AB117"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0.36381104849360135</v>
      </c>
      <c r="AC117" s="115">
        <f>$BP$18/(Implements7[[#This Row],[Width]]*Implements7[[#This Row],[Speed]]*Implements7[[#This Row],[Efficiency]])</f>
        <v>0.26190476190476192</v>
      </c>
      <c r="AD117" s="116">
        <f>IF(Implements7[[#This Row],[Use basis]]=$N$128,Implements7[[#This Row],[Ownership costs ($/hr)]],SUM(Implements7[[#This Row],[Depr ($/ac)2]:[OH ($/ac)]]))</f>
        <v>2.5491246544507993</v>
      </c>
      <c r="AE117" s="116"/>
      <c r="AF117" s="116" t="s">
        <v>507</v>
      </c>
      <c r="AG117" s="116"/>
    </row>
    <row r="118" spans="2:33">
      <c r="B118" s="100" t="str">
        <f>Implements7[[#This Row],[Implement type]]&amp;", "&amp;Implements7[[#This Row],[Width]]&amp;" "&amp;Implements7[[#This Row],[Width Unit]]</f>
        <v xml:space="preserve">Orchard work platform,  </v>
      </c>
      <c r="C118" s="105" t="s">
        <v>857</v>
      </c>
      <c r="D118" s="106"/>
      <c r="E118" s="105"/>
      <c r="F118" s="106"/>
      <c r="G118" s="105" t="s">
        <v>858</v>
      </c>
      <c r="H118" s="186">
        <v>22500</v>
      </c>
      <c r="I118" s="187">
        <v>0.1</v>
      </c>
      <c r="J118" s="195">
        <f t="shared" si="12"/>
        <v>25000</v>
      </c>
      <c r="K118" s="306">
        <f>VLOOKUP(Implements7[[#This Row],[ASABEtype]],ASABECoefficients8[],4,FALSE)/Implements7[[#This Row],[Use (hr/yr)]]</f>
        <v>4</v>
      </c>
      <c r="L118" s="106">
        <v>500</v>
      </c>
      <c r="M118" s="111">
        <f t="shared" si="11"/>
        <v>0</v>
      </c>
      <c r="N118" s="111" t="s">
        <v>720</v>
      </c>
      <c r="O118" s="106" t="s">
        <v>580</v>
      </c>
      <c r="P118" s="106">
        <v>4</v>
      </c>
      <c r="Q118" s="187">
        <v>0.85</v>
      </c>
      <c r="R118" s="187">
        <v>1.2</v>
      </c>
      <c r="S118" s="106">
        <v>200</v>
      </c>
      <c r="T118" s="112">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0.46165897396399175</v>
      </c>
      <c r="U118" s="113">
        <f>Implements7[[#This Row],[TradeIn%]]*Implements7[[#This Row],[PriceL]]</f>
        <v>11541.474349099793</v>
      </c>
      <c r="V118" s="114">
        <f>(Implements7[[#This Row],[PriceP]]-Implements7[[#This Row],[TradeIn$]])/Implements7[[#This Row],[Life (yr)]]/Implements7[[#This Row],[Use (hr/yr)]]</f>
        <v>5.4792628254501032</v>
      </c>
      <c r="W118" s="117">
        <f>((Implements7[[#This Row],[PriceP]]+Implements7[[#This Row],[TradeIn$]])/2*($BP$7+$BP$8+$BP$9)+Implements7[[#This Row],[Shed (ft^2)]]*$BP$12)/Implements7[[#This Row],[Use (hr/yr)]]</f>
        <v>3.4003580651613614</v>
      </c>
      <c r="X118" s="114">
        <f>Implements7[[#This Row],[PriceL]]*(VLOOKUP(Implements7[[#This Row],[ASABEtype]],$BC$6:$BM$52,2)*(Implements7[[#This Row],[Life (yr)]]*Implements7[[#This Row],[Use (hr/yr)]]/1000)^VLOOKUP(Implements7[[#This Row],[ASABEtype]],$BC$6:$BM$52,3))/Implements7[[#This Row],[Life (yr)]]/Implements7[[#This Row],[Use (hr/yr)]]</f>
        <v>6.062866266041592</v>
      </c>
      <c r="Y118" s="114">
        <f>Implements7[[#This Row],[Depr ($/hr)]]+Implements7[[#This Row],[OH ($/hr)]]</f>
        <v>8.8796208906114646</v>
      </c>
      <c r="Z118" s="114" t="e">
        <f>(Implements7[[#This Row],[PriceP]]-Implements7[[#This Row],[TradeIn$]])/Implements7[[#This Row],[Life (yr)]]/Implements7[[#This Row],[Use (ac/yr)]]</f>
        <v>#DIV/0!</v>
      </c>
      <c r="AA118" s="117" t="e">
        <f>((Implements7[[#This Row],[PriceP]]+Implements7[[#This Row],[TradeIn$]])/2*($BP$7+$BP$8+$BP$9)+Implements7[[#This Row],[Shed (ft^2)]]*$BP$12)/Implements7[[#This Row],[Use (ac/yr)]]</f>
        <v>#DIV/0!</v>
      </c>
      <c r="AB118" s="196">
        <f>IF(Implements7[[#This Row],[Use basis]]=$N$128,Implements7[[#This Row],[Rep ($/hr)]],Implements7[[#This Row],[PriceL]]*(VLOOKUP(Implements7[[#This Row],[ASABEtype]],$BC$6:$BM$52,2)*(Implements7[[#This Row],[Life (yr)]]*Implements7[[#This Row],[Use (hr/yr)]]/1000)^VLOOKUP(Implements7[[#This Row],[ASABEtype]],$BC$6:$BM$52,3))/Implements7[[#This Row],[Life (yr)]]/Implements7[[#This Row],[Use (ac/yr)]])</f>
        <v>6.062866266041592</v>
      </c>
      <c r="AC118" s="115" t="e">
        <f>$BP$18/(Implements7[[#This Row],[Width]]*Implements7[[#This Row],[Speed]]*Implements7[[#This Row],[Efficiency]])</f>
        <v>#DIV/0!</v>
      </c>
      <c r="AD118" s="116">
        <f>IF(Implements7[[#This Row],[Use basis]]=$N$128,Implements7[[#This Row],[Ownership costs ($/hr)]],SUM(Implements7[[#This Row],[Depr ($/ac)2]:[OH ($/ac)]]))</f>
        <v>8.8796208906114646</v>
      </c>
      <c r="AE118" s="116"/>
      <c r="AF118" s="116" t="s">
        <v>723</v>
      </c>
      <c r="AG118" s="116"/>
    </row>
    <row r="119" spans="2:33">
      <c r="B119" s="100" t="str">
        <f>Implements7[[#This Row],[Implement type]]&amp;", "&amp;Implements7[[#This Row],[Width]]&amp;" "&amp;Implements7[[#This Row],[Width Unit]]</f>
        <v xml:space="preserve">,  </v>
      </c>
      <c r="C119" s="105"/>
      <c r="D119" s="106"/>
      <c r="E119" s="105"/>
      <c r="F119" s="106"/>
      <c r="G119" s="105"/>
      <c r="H119" s="186"/>
      <c r="I119" s="187"/>
      <c r="J119" s="195">
        <f t="shared" si="12"/>
        <v>0</v>
      </c>
      <c r="K119" s="306" t="e">
        <f>VLOOKUP(Implements7[[#This Row],[ASABEtype]],ASABECoefficients8[],4,FALSE)/Implements7[[#This Row],[Use (hr/yr)]]</f>
        <v>#N/A</v>
      </c>
      <c r="L119" s="106"/>
      <c r="M119" s="111">
        <f t="shared" si="11"/>
        <v>0</v>
      </c>
      <c r="N119" s="111"/>
      <c r="O119" s="106"/>
      <c r="P119" s="106"/>
      <c r="Q119" s="187"/>
      <c r="R119" s="187"/>
      <c r="S119" s="106"/>
      <c r="T119" s="112" t="e">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#N/A</v>
      </c>
      <c r="U119" s="113" t="e">
        <f>Implements7[[#This Row],[TradeIn%]]*Implements7[[#This Row],[PriceL]]</f>
        <v>#N/A</v>
      </c>
      <c r="V119" s="114" t="e">
        <f>(Implements7[[#This Row],[PriceP]]-Implements7[[#This Row],[TradeIn$]])/Implements7[[#This Row],[Life (yr)]]/Implements7[[#This Row],[Use (hr/yr)]]</f>
        <v>#N/A</v>
      </c>
      <c r="W119" s="117" t="e">
        <f>((Implements7[[#This Row],[PriceP]]+Implements7[[#This Row],[TradeIn$]])/2*($BP$7+$BP$8+$BP$9)+Implements7[[#This Row],[Shed (ft^2)]]*$BP$12)/Implements7[[#This Row],[Use (hr/yr)]]</f>
        <v>#N/A</v>
      </c>
      <c r="X119" s="114" t="e">
        <f>Implements7[[#This Row],[PriceL]]*(VLOOKUP(Implements7[[#This Row],[ASABEtype]],$BC$6:$BM$52,2)*(Implements7[[#This Row],[Life (yr)]]*Implements7[[#This Row],[Use (hr/yr)]]/1000)^VLOOKUP(Implements7[[#This Row],[ASABEtype]],$BC$6:$BM$52,3))/Implements7[[#This Row],[Life (yr)]]/Implements7[[#This Row],[Use (hr/yr)]]</f>
        <v>#N/A</v>
      </c>
      <c r="Y119" s="114" t="e">
        <f>Implements7[[#This Row],[Depr ($/hr)]]+Implements7[[#This Row],[OH ($/hr)]]</f>
        <v>#N/A</v>
      </c>
      <c r="Z119" s="114" t="e">
        <f>(Implements7[[#This Row],[PriceP]]-Implements7[[#This Row],[TradeIn$]])/Implements7[[#This Row],[Life (yr)]]/Implements7[[#This Row],[Use (ac/yr)]]</f>
        <v>#N/A</v>
      </c>
      <c r="AA119" s="117" t="e">
        <f>((Implements7[[#This Row],[PriceP]]+Implements7[[#This Row],[TradeIn$]])/2*($BP$7+$BP$8+$BP$9)+Implements7[[#This Row],[Shed (ft^2)]]*$BP$12)/Implements7[[#This Row],[Use (ac/yr)]]</f>
        <v>#N/A</v>
      </c>
      <c r="AB119" s="196" t="e">
        <f>IF(Implements7[[#This Row],[Use basis]]=N237,Implements7[[#This Row],[Rep ($/hr)]],Implements7[[#This Row],[PriceL]]*(VLOOKUP(Implements7[[#This Row],[ASABEtype]],$BC$6:$BM$52,2)*(Implements7[[#This Row],[Life (yr)]]*Implements7[[#This Row],[Use (hr/yr)]]/1000)^VLOOKUP(Implements7[[#This Row],[ASABEtype]],$BC$6:$BM$52,3))/Implements7[[#This Row],[Life (yr)]]/Implements7[[#This Row],[Use (ac/yr)]])</f>
        <v>#N/A</v>
      </c>
      <c r="AC119" s="115" t="e">
        <f>$BP$18/(Implements7[[#This Row],[Width]]*Implements7[[#This Row],[Speed]]*Implements7[[#This Row],[Efficiency]])</f>
        <v>#DIV/0!</v>
      </c>
      <c r="AD119" s="116" t="e">
        <f>IF(Implements7[[#This Row],[Use basis]]=$N$128,Implements7[[#This Row],[Ownership costs ($/hr)]],SUM(Implements7[[#This Row],[Depr ($/ac)2]:[OH ($/ac)]]))</f>
        <v>#N/A</v>
      </c>
      <c r="AE119" s="116"/>
      <c r="AF119" s="116"/>
    </row>
    <row r="120" spans="2:33">
      <c r="B120" s="100" t="str">
        <f>Implements7[[#This Row],[Implement type]]&amp;", "&amp;Implements7[[#This Row],[Width]]&amp;" "&amp;Implements7[[#This Row],[Width Unit]]</f>
        <v xml:space="preserve">,  </v>
      </c>
      <c r="C120" s="105"/>
      <c r="D120" s="106"/>
      <c r="E120" s="105"/>
      <c r="F120" s="106"/>
      <c r="G120" s="105"/>
      <c r="H120" s="186"/>
      <c r="I120" s="187"/>
      <c r="J120" s="195">
        <f t="shared" si="12"/>
        <v>0</v>
      </c>
      <c r="K120" s="306" t="e">
        <f>VLOOKUP(Implements7[[#This Row],[ASABEtype]],ASABECoefficients8[],4,FALSE)/Implements7[[#This Row],[Use (hr/yr)]]</f>
        <v>#N/A</v>
      </c>
      <c r="L120" s="106"/>
      <c r="M120" s="111">
        <f t="shared" si="11"/>
        <v>0</v>
      </c>
      <c r="N120" s="111"/>
      <c r="O120" s="106"/>
      <c r="P120" s="106"/>
      <c r="Q120" s="187"/>
      <c r="R120" s="187"/>
      <c r="S120" s="106"/>
      <c r="T120" s="112" t="e">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#N/A</v>
      </c>
      <c r="U120" s="113" t="e">
        <f>Implements7[[#This Row],[TradeIn%]]*Implements7[[#This Row],[PriceL]]</f>
        <v>#N/A</v>
      </c>
      <c r="V120" s="114" t="e">
        <f>(Implements7[[#This Row],[PriceP]]-Implements7[[#This Row],[TradeIn$]])/Implements7[[#This Row],[Life (yr)]]/Implements7[[#This Row],[Use (hr/yr)]]</f>
        <v>#N/A</v>
      </c>
      <c r="W120" s="117" t="e">
        <f>((Implements7[[#This Row],[PriceP]]+Implements7[[#This Row],[TradeIn$]])/2*($BP$7+$BP$8+$BP$9)+Implements7[[#This Row],[Shed (ft^2)]]*$BP$12)/Implements7[[#This Row],[Use (hr/yr)]]</f>
        <v>#N/A</v>
      </c>
      <c r="X120" s="114" t="e">
        <f>Implements7[[#This Row],[PriceL]]*(VLOOKUP(Implements7[[#This Row],[ASABEtype]],$BC$6:$BM$52,2)*(Implements7[[#This Row],[Life (yr)]]*Implements7[[#This Row],[Use (hr/yr)]]/1000)^VLOOKUP(Implements7[[#This Row],[ASABEtype]],$BC$6:$BM$52,3))/Implements7[[#This Row],[Life (yr)]]/Implements7[[#This Row],[Use (hr/yr)]]</f>
        <v>#N/A</v>
      </c>
      <c r="Y120" s="114" t="e">
        <f>Implements7[[#This Row],[Depr ($/hr)]]+Implements7[[#This Row],[OH ($/hr)]]</f>
        <v>#N/A</v>
      </c>
      <c r="Z120" s="114" t="e">
        <f>(Implements7[[#This Row],[PriceP]]-Implements7[[#This Row],[TradeIn$]])/Implements7[[#This Row],[Life (yr)]]/Implements7[[#This Row],[Use (ac/yr)]]</f>
        <v>#N/A</v>
      </c>
      <c r="AA120" s="117" t="e">
        <f>((Implements7[[#This Row],[PriceP]]+Implements7[[#This Row],[TradeIn$]])/2*($BP$7+$BP$8+$BP$9)+Implements7[[#This Row],[Shed (ft^2)]]*$BP$12)/Implements7[[#This Row],[Use (ac/yr)]]</f>
        <v>#N/A</v>
      </c>
      <c r="AB120" s="196" t="e">
        <f>IF(Implements7[[#This Row],[Use basis]]=N238,Implements7[[#This Row],[Rep ($/hr)]],Implements7[[#This Row],[PriceL]]*(VLOOKUP(Implements7[[#This Row],[ASABEtype]],$BC$6:$BM$52,2)*(Implements7[[#This Row],[Life (yr)]]*Implements7[[#This Row],[Use (hr/yr)]]/1000)^VLOOKUP(Implements7[[#This Row],[ASABEtype]],$BC$6:$BM$52,3))/Implements7[[#This Row],[Life (yr)]]/Implements7[[#This Row],[Use (ac/yr)]])</f>
        <v>#N/A</v>
      </c>
      <c r="AC120" s="115" t="e">
        <f>$BP$18/(Implements7[[#This Row],[Width]]*Implements7[[#This Row],[Speed]]*Implements7[[#This Row],[Efficiency]])</f>
        <v>#DIV/0!</v>
      </c>
      <c r="AD120" s="116" t="e">
        <f>IF(Implements7[[#This Row],[Use basis]]=$N$128,Implements7[[#This Row],[Ownership costs ($/hr)]],SUM(Implements7[[#This Row],[Depr ($/ac)2]:[OH ($/ac)]]))</f>
        <v>#N/A</v>
      </c>
      <c r="AE120" s="116"/>
      <c r="AF120" s="116"/>
    </row>
    <row r="121" spans="2:33">
      <c r="C121" s="105"/>
      <c r="D121" s="106"/>
      <c r="E121" s="105"/>
      <c r="F121" s="106"/>
      <c r="G121" s="105"/>
      <c r="H121" s="186"/>
      <c r="I121" s="187"/>
      <c r="J121" s="195">
        <f>H121/(1-I121)</f>
        <v>0</v>
      </c>
      <c r="K121" s="306" t="e">
        <f>VLOOKUP(Implements7[[#This Row],[ASABEtype]],ASABECoefficients8[],4,FALSE)/Implements7[[#This Row],[Use (hr/yr)]]</f>
        <v>#N/A</v>
      </c>
      <c r="L121" s="106"/>
      <c r="M121" s="111">
        <f t="shared" si="11"/>
        <v>0</v>
      </c>
      <c r="N121" s="111"/>
      <c r="O121" s="106"/>
      <c r="P121" s="106"/>
      <c r="Q121" s="187"/>
      <c r="R121" s="187"/>
      <c r="S121" s="106"/>
      <c r="T121" s="112" t="e">
        <f>(VLOOKUP(Implements7[[#This Row],[ASABEtype]],$BC$6:$BM$52,5)-VLOOKUP(Implements7[[#This Row],[ASABEtype]],$BC$6:$BM$52,6)*Implements7[[#This Row],[Life (yr)]]^0.5-VLOOKUP(Implements7[[#This Row],[ASABEtype]],$BC$6:$BM$52,7)*Implements7[[#This Row],[Use (hr/yr)]]^0.5+VLOOKUP(Implements7[[#This Row],[ASABEtype]],$BC$6:$BM$52,8)*$BP$17)^2+0.25*VLOOKUP(Implements7[[#This Row],[ASABEtype]],$BC$6:$BM$52,9)</f>
        <v>#N/A</v>
      </c>
      <c r="U121" s="113" t="e">
        <f>Implements7[[#This Row],[TradeIn%]]*Implements7[[#This Row],[PriceL]]</f>
        <v>#N/A</v>
      </c>
      <c r="V121" s="114" t="e">
        <f>(Implements7[[#This Row],[PriceP]]-Implements7[[#This Row],[TradeIn$]])/Implements7[[#This Row],[Life (yr)]]/Implements7[[#This Row],[Use (hr/yr)]]</f>
        <v>#N/A</v>
      </c>
      <c r="W121" s="117" t="e">
        <f>((Implements7[[#This Row],[PriceP]]+Implements7[[#This Row],[TradeIn$]])/2*($BP$7+$BP$8+$BP$9)+Implements7[[#This Row],[Shed (ft^2)]]*$BP$12)/Implements7[[#This Row],[Use (hr/yr)]]</f>
        <v>#N/A</v>
      </c>
      <c r="X121" s="114" t="e">
        <f>Implements7[[#This Row],[PriceL]]*(VLOOKUP(Implements7[[#This Row],[ASABEtype]],$BC$6:$BM$52,2)*(Implements7[[#This Row],[Life (yr)]]*Implements7[[#This Row],[Use (hr/yr)]]/1000)^VLOOKUP(Implements7[[#This Row],[ASABEtype]],$BC$6:$BM$52,3))/Implements7[[#This Row],[Life (yr)]]/Implements7[[#This Row],[Use (hr/yr)]]</f>
        <v>#N/A</v>
      </c>
      <c r="Y121" s="114" t="e">
        <f>Implements7[[#This Row],[Depr ($/hr)]]+Implements7[[#This Row],[OH ($/hr)]]</f>
        <v>#N/A</v>
      </c>
      <c r="Z121" s="114" t="e">
        <f>(Implements7[[#This Row],[PriceP]]-Implements7[[#This Row],[TradeIn$]])/Implements7[[#This Row],[Life (yr)]]/Implements7[[#This Row],[Use (ac/yr)]]</f>
        <v>#N/A</v>
      </c>
      <c r="AA121" s="117" t="e">
        <f>((Implements7[[#This Row],[PriceP]]+Implements7[[#This Row],[TradeIn$]])/2*($BP$7+$BP$8+$BP$9)+Implements7[[#This Row],[Shed (ft^2)]]*$BP$12)/Implements7[[#This Row],[Use (ac/yr)]]</f>
        <v>#N/A</v>
      </c>
      <c r="AB121" s="196" t="e">
        <f>IF(Implements7[[#This Row],[Use basis]]=N193,Implements7[[#This Row],[Rep ($/hr)]],Implements7[[#This Row],[PriceL]]*(VLOOKUP(Implements7[[#This Row],[ASABEtype]],$BC$6:$BM$52,2)*(Implements7[[#This Row],[Life (yr)]]*Implements7[[#This Row],[Use (hr/yr)]]/1000)^VLOOKUP(Implements7[[#This Row],[ASABEtype]],$BC$6:$BM$52,3))/Implements7[[#This Row],[Life (yr)]]/Implements7[[#This Row],[Use (ac/yr)]])</f>
        <v>#N/A</v>
      </c>
      <c r="AC121" s="115" t="e">
        <f>$BP$18/(Implements7[[#This Row],[Width]]*Implements7[[#This Row],[Speed]]*Implements7[[#This Row],[Efficiency]])</f>
        <v>#DIV/0!</v>
      </c>
      <c r="AD121" s="116" t="e">
        <f>IF(Implements7[[#This Row],[Use basis]]=$N$128,Implements7[[#This Row],[Ownership costs ($/hr)]],SUM(Implements7[[#This Row],[Depr ($/ac)2]:[OH ($/ac)]]))</f>
        <v>#N/A</v>
      </c>
      <c r="AE121" s="116"/>
      <c r="AF121" s="116"/>
    </row>
    <row r="122" spans="2:33">
      <c r="C122" s="105"/>
      <c r="D122" s="106"/>
      <c r="E122" s="105"/>
      <c r="F122" s="106"/>
      <c r="G122" s="105"/>
      <c r="H122" s="186"/>
      <c r="I122" s="187"/>
      <c r="J122" s="195"/>
      <c r="K122" s="110"/>
      <c r="L122" s="106"/>
      <c r="M122" s="111"/>
      <c r="N122" s="111"/>
      <c r="O122" s="106"/>
      <c r="P122" s="106"/>
      <c r="Q122" s="187"/>
      <c r="R122" s="187"/>
      <c r="S122" s="106"/>
      <c r="T122" s="112"/>
      <c r="U122" s="113"/>
      <c r="V122" s="114"/>
      <c r="W122" s="114"/>
      <c r="X122" s="114"/>
      <c r="Y122" s="114"/>
      <c r="Z122" s="114"/>
      <c r="AA122" s="114"/>
      <c r="AB122" s="196"/>
      <c r="AC122" s="115"/>
      <c r="AD122" s="115"/>
      <c r="AE122" s="116"/>
      <c r="AF122" s="116"/>
    </row>
    <row r="123" spans="2:33">
      <c r="C123" s="105"/>
      <c r="D123" s="106"/>
      <c r="E123" s="105"/>
      <c r="F123" s="106"/>
      <c r="G123" s="105"/>
      <c r="H123" s="186"/>
      <c r="I123" s="187"/>
      <c r="J123" s="195"/>
      <c r="K123" s="110"/>
      <c r="L123" s="106"/>
      <c r="M123" s="111"/>
      <c r="N123" s="111"/>
      <c r="O123" s="106"/>
      <c r="P123" s="106"/>
      <c r="Q123" s="187"/>
      <c r="R123" s="187"/>
      <c r="S123" s="106"/>
      <c r="T123" s="112"/>
      <c r="U123" s="113"/>
      <c r="V123" s="114"/>
      <c r="W123" s="114"/>
      <c r="X123" s="114"/>
      <c r="Y123" s="114"/>
      <c r="Z123" s="114"/>
      <c r="AA123" s="114"/>
      <c r="AB123" s="196"/>
      <c r="AC123" s="115"/>
      <c r="AD123" s="115"/>
      <c r="AE123" s="116"/>
      <c r="AF123" s="116"/>
    </row>
    <row r="124" spans="2:33">
      <c r="C124" s="105"/>
      <c r="D124" s="106"/>
      <c r="E124" s="105"/>
      <c r="F124" s="106"/>
      <c r="G124" s="105"/>
      <c r="H124" s="186"/>
      <c r="I124" s="187"/>
      <c r="J124" s="195"/>
      <c r="K124" s="110"/>
      <c r="L124" s="106"/>
      <c r="M124" s="111"/>
      <c r="N124" s="111"/>
      <c r="O124" s="106"/>
      <c r="P124" s="106"/>
      <c r="Q124" s="187"/>
      <c r="R124" s="187"/>
      <c r="S124" s="106"/>
      <c r="T124" s="112"/>
      <c r="U124" s="113"/>
      <c r="V124" s="114"/>
      <c r="W124" s="114"/>
      <c r="X124" s="114"/>
      <c r="Y124" s="114"/>
      <c r="Z124" s="114"/>
      <c r="AA124" s="114"/>
      <c r="AB124" s="196"/>
      <c r="AC124" s="115"/>
      <c r="AD124" s="115"/>
      <c r="AE124" s="116"/>
      <c r="AF124" s="116"/>
    </row>
    <row r="125" spans="2:33">
      <c r="C125" s="105"/>
      <c r="D125" s="106"/>
      <c r="E125" s="105"/>
      <c r="F125" s="106"/>
      <c r="G125" s="105"/>
      <c r="H125" s="186"/>
      <c r="I125" s="187"/>
      <c r="J125" s="195"/>
      <c r="K125" s="110"/>
      <c r="L125" s="106"/>
      <c r="M125" s="111"/>
      <c r="N125" s="111"/>
      <c r="O125" s="106"/>
      <c r="P125" s="106"/>
      <c r="Q125" s="187"/>
      <c r="R125" s="187"/>
      <c r="S125" s="106"/>
      <c r="T125" s="112"/>
      <c r="U125" s="113"/>
      <c r="V125" s="114"/>
      <c r="W125" s="114"/>
      <c r="X125" s="114"/>
      <c r="Y125" s="114"/>
      <c r="Z125" s="114"/>
      <c r="AA125" s="114"/>
      <c r="AB125" s="196"/>
      <c r="AC125" s="115"/>
      <c r="AD125" s="115"/>
      <c r="AE125" s="116"/>
      <c r="AF125" s="116"/>
    </row>
    <row r="126" spans="2:33">
      <c r="C126" s="105"/>
      <c r="D126" s="106"/>
      <c r="E126" s="105"/>
      <c r="F126" s="106"/>
      <c r="G126" s="105"/>
      <c r="H126" s="186"/>
      <c r="I126" s="187"/>
      <c r="J126" s="195"/>
      <c r="K126" s="110"/>
      <c r="L126" s="106"/>
      <c r="M126" s="111"/>
      <c r="N126" s="111"/>
      <c r="O126" s="106"/>
      <c r="P126" s="106"/>
      <c r="Q126" s="187"/>
      <c r="R126" s="187"/>
      <c r="S126" s="106"/>
      <c r="T126" s="112"/>
      <c r="U126" s="113"/>
      <c r="V126" s="114"/>
      <c r="W126" s="114"/>
      <c r="X126" s="114"/>
      <c r="Y126" s="114"/>
      <c r="Z126" s="114"/>
      <c r="AA126" s="114"/>
      <c r="AB126" s="196"/>
      <c r="AC126" s="115"/>
      <c r="AD126" s="115"/>
      <c r="AE126" s="116"/>
      <c r="AF126" s="116"/>
    </row>
    <row r="128" spans="2:33">
      <c r="N128" s="100" t="s">
        <v>720</v>
      </c>
    </row>
    <row r="129" spans="14:68">
      <c r="N129" s="100" t="s">
        <v>706</v>
      </c>
    </row>
    <row r="140" spans="14:68">
      <c r="BO140" s="147"/>
      <c r="BP140" s="147"/>
    </row>
    <row r="141" spans="14:68">
      <c r="BO141" s="147"/>
      <c r="BP141" s="147"/>
    </row>
    <row r="142" spans="14:68">
      <c r="BO142" s="147"/>
      <c r="BP142" s="147"/>
    </row>
    <row r="143" spans="14:68">
      <c r="BO143" s="147"/>
      <c r="BP143" s="147"/>
    </row>
    <row r="144" spans="14:68">
      <c r="BO144" s="147"/>
      <c r="BP144" s="147"/>
    </row>
    <row r="145" spans="26:68">
      <c r="BO145" s="147"/>
      <c r="BP145" s="147"/>
    </row>
    <row r="146" spans="26:68">
      <c r="BO146" s="147"/>
      <c r="BP146" s="147"/>
    </row>
    <row r="147" spans="26:68">
      <c r="BO147" s="147"/>
      <c r="BP147" s="147"/>
    </row>
    <row r="148" spans="26:68">
      <c r="BO148" s="147"/>
      <c r="BP148" s="147"/>
    </row>
    <row r="149" spans="26:68">
      <c r="BO149" s="147"/>
      <c r="BP149" s="147"/>
    </row>
    <row r="150" spans="26:68">
      <c r="BO150" s="147"/>
      <c r="BP150" s="147"/>
    </row>
    <row r="151" spans="26:68">
      <c r="BO151" s="147"/>
      <c r="BP151" s="147"/>
    </row>
    <row r="152" spans="26:68">
      <c r="BO152" s="147"/>
      <c r="BP152" s="147"/>
    </row>
    <row r="153" spans="26:68">
      <c r="BO153" s="147"/>
      <c r="BP153" s="147"/>
    </row>
    <row r="154" spans="26:68">
      <c r="Z154" s="212"/>
      <c r="AA154" s="212"/>
      <c r="AB154" s="212"/>
      <c r="BO154" s="147"/>
      <c r="BP154" s="147"/>
    </row>
    <row r="155" spans="26:68">
      <c r="BO155" s="147"/>
      <c r="BP155" s="147"/>
    </row>
    <row r="156" spans="26:68">
      <c r="BO156" s="147"/>
      <c r="BP156" s="147"/>
    </row>
    <row r="157" spans="26:68">
      <c r="BO157" s="147"/>
      <c r="BP157" s="147"/>
    </row>
    <row r="158" spans="26:68">
      <c r="BO158" s="147"/>
      <c r="BP158" s="147"/>
    </row>
    <row r="159" spans="26:68">
      <c r="BO159" s="147"/>
      <c r="BP159" s="147"/>
    </row>
    <row r="160" spans="26:68">
      <c r="BO160" s="147"/>
      <c r="BP160" s="147"/>
    </row>
    <row r="161" spans="67:68">
      <c r="BO161" s="147"/>
      <c r="BP161" s="147"/>
    </row>
    <row r="162" spans="67:68">
      <c r="BO162" s="147"/>
      <c r="BP162" s="147"/>
    </row>
    <row r="163" spans="67:68">
      <c r="BO163" s="147"/>
      <c r="BP163" s="147"/>
    </row>
    <row r="164" spans="67:68">
      <c r="BO164" s="147"/>
      <c r="BP164" s="147"/>
    </row>
    <row r="165" spans="67:68">
      <c r="BO165" s="147"/>
      <c r="BP165" s="147"/>
    </row>
    <row r="166" spans="67:68">
      <c r="BO166" s="147"/>
      <c r="BP166" s="147"/>
    </row>
    <row r="167" spans="67:68">
      <c r="BO167" s="147"/>
      <c r="BP167" s="147"/>
    </row>
    <row r="168" spans="67:68">
      <c r="BO168" s="147"/>
      <c r="BP168" s="147"/>
    </row>
    <row r="169" spans="67:68">
      <c r="BO169" s="147"/>
      <c r="BP169" s="147"/>
    </row>
    <row r="170" spans="67:68">
      <c r="BO170" s="147"/>
      <c r="BP170" s="147"/>
    </row>
    <row r="171" spans="67:68">
      <c r="BO171" s="147"/>
      <c r="BP171" s="147"/>
    </row>
    <row r="172" spans="67:68">
      <c r="BO172" s="147"/>
      <c r="BP172" s="147"/>
    </row>
    <row r="173" spans="67:68">
      <c r="BO173" s="147"/>
      <c r="BP173" s="147"/>
    </row>
    <row r="174" spans="67:68">
      <c r="BO174" s="147"/>
      <c r="BP174" s="147"/>
    </row>
    <row r="175" spans="67:68">
      <c r="BO175" s="147"/>
      <c r="BP175" s="147"/>
    </row>
    <row r="176" spans="67:68">
      <c r="BO176" s="147"/>
      <c r="BP176" s="147"/>
    </row>
    <row r="177" spans="67:68">
      <c r="BO177" s="147"/>
      <c r="BP177" s="147"/>
    </row>
    <row r="178" spans="67:68">
      <c r="BO178" s="147"/>
      <c r="BP178" s="147"/>
    </row>
    <row r="179" spans="67:68">
      <c r="BO179" s="147"/>
      <c r="BP179" s="147"/>
    </row>
    <row r="180" spans="67:68">
      <c r="BO180" s="147"/>
      <c r="BP180" s="147"/>
    </row>
    <row r="181" spans="67:68">
      <c r="BO181" s="147"/>
      <c r="BP181" s="147"/>
    </row>
    <row r="182" spans="67:68">
      <c r="BO182" s="147"/>
      <c r="BP182" s="147"/>
    </row>
    <row r="183" spans="67:68">
      <c r="BO183" s="147"/>
      <c r="BP183" s="147"/>
    </row>
    <row r="184" spans="67:68">
      <c r="BO184" s="147"/>
      <c r="BP184" s="147"/>
    </row>
    <row r="207" spans="95:95">
      <c r="CQ207" s="168"/>
    </row>
    <row r="210" spans="77:99">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row>
  </sheetData>
  <sheetProtection sheet="1" objects="1" scenarios="1"/>
  <dataValidations disablePrompts="1" count="7">
    <dataValidation type="list" allowBlank="1" showInputMessage="1" showErrorMessage="1" sqref="AS12" xr:uid="{9E7D28B7-A223-489D-B5CE-3C0CBE770CD4}">
      <formula1>$BB$6:$BB$52</formula1>
    </dataValidation>
    <dataValidation type="list" allowBlank="1" showInputMessage="1" showErrorMessage="1" sqref="O5" xr:uid="{ED8A3FAF-3B4F-4764-9E93-9F1E488394E3}">
      <formula1>repair_impl</formula1>
    </dataValidation>
    <dataValidation type="list" allowBlank="1" showInputMessage="1" showErrorMessage="1" sqref="N110:N118" xr:uid="{3DD06EC3-1F7B-4738-B9F5-CE2D92785352}">
      <formula1>$N$131:$N$132</formula1>
    </dataValidation>
    <dataValidation type="list" allowBlank="1" showInputMessage="1" showErrorMessage="1" sqref="O62:O98" xr:uid="{65AC59A8-DBC3-4832-B652-6B50706AFDF6}">
      <formula1>$BG$7:$BG$50</formula1>
    </dataValidation>
    <dataValidation type="list" allowBlank="1" showInputMessage="1" showErrorMessage="1" sqref="N6:N61 N119:N126 N99:N109" xr:uid="{526B5529-95C8-48F0-8E13-25E58C285166}">
      <formula1>$N$128:$N$129</formula1>
    </dataValidation>
    <dataValidation type="list" allowBlank="1" showInputMessage="1" showErrorMessage="1" sqref="O99:O106 O6:O61" xr:uid="{E90B6457-3A27-4F49-AEF2-6A4193BDAD2F}">
      <formula1>$BC$6:$BC$49</formula1>
    </dataValidation>
    <dataValidation type="list" allowBlank="1" showInputMessage="1" showErrorMessage="1" sqref="O107:O126 AS13:AS32 AS6:AS11" xr:uid="{9762F8F4-AEA2-4FDC-B62A-A0F55E304027}">
      <formula1>$BC$6:$BC$52</formula1>
    </dataValidation>
  </dataValidations>
  <pageMargins left="0.7" right="0.7" top="0.75" bottom="0.75" header="0.3" footer="0.3"/>
  <legacy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rx>
  <Cntr/>
</Prx>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3EE08E-1DBA-4ADE-965D-106B0E0E3C2F}">
  <ds:schemaRefs/>
</ds:datastoreItem>
</file>

<file path=customXml/itemProps2.xml><?xml version="1.0" encoding="utf-8"?>
<ds:datastoreItem xmlns:ds="http://schemas.openxmlformats.org/officeDocument/2006/customXml" ds:itemID="{2542F0BC-94D8-4787-B282-3DCC9A0E61EF}">
  <ds:schemaRefs>
    <ds:schemaRef ds:uri="http://schemas.microsoft.com/office/infopath/2007/PartnerControls"/>
    <ds:schemaRef ds:uri="9f608c11-4ccd-421c-a88d-29e29a7a365f"/>
    <ds:schemaRef ds:uri="http://schemas.openxmlformats.org/package/2006/metadata/core-properties"/>
    <ds:schemaRef ds:uri="http://schemas.microsoft.com/office/2006/metadata/properties"/>
    <ds:schemaRef ds:uri="http://purl.org/dc/terms/"/>
    <ds:schemaRef ds:uri="7bd0c97a-79aa-4cc6-bd7d-1cd468b1e455"/>
    <ds:schemaRef ds:uri="http://purl.org/dc/elements/1.1/"/>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0F2C58C-4A57-4D5C-9EA2-9883EF3351F5}"/>
</file>

<file path=customXml/itemProps4.xml><?xml version="1.0" encoding="utf-8"?>
<ds:datastoreItem xmlns:ds="http://schemas.openxmlformats.org/officeDocument/2006/customXml" ds:itemID="{EE29C18A-F1AB-4E66-837E-100F14FB7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Input prices</vt:lpstr>
      <vt:lpstr>Input quantities</vt:lpstr>
      <vt:lpstr>Irrigation costs</vt:lpstr>
      <vt:lpstr>Equipment</vt:lpstr>
      <vt:lpstr>Custom hire</vt:lpstr>
      <vt:lpstr>Organic Corn</vt:lpstr>
      <vt:lpstr>Organic Soybeans</vt:lpstr>
      <vt:lpstr>Machinery Input Tables</vt:lpstr>
      <vt:lpstr>'Organic Corn'!Print_Area</vt:lpstr>
      <vt:lpstr>'Organic Soybeans'!Print_Area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Brown</dc:creator>
  <cp:keywords/>
  <dc:description/>
  <cp:lastModifiedBy>Rahe, Mallory</cp:lastModifiedBy>
  <cp:revision/>
  <dcterms:created xsi:type="dcterms:W3CDTF">2014-11-07T21:30:57Z</dcterms:created>
  <dcterms:modified xsi:type="dcterms:W3CDTF">2025-10-07T19:56:21Z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