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ilmissouri-my.sharepoint.com/personal/dskvnq_umsystem_edu/Documents/My things/On farm finishing budget/"/>
    </mc:Choice>
  </mc:AlternateContent>
  <xr:revisionPtr revIDLastSave="4" documentId="8_{180F9A81-BAA5-4EF9-85D6-09CD6457A464}" xr6:coauthVersionLast="47" xr6:coauthVersionMax="47" xr10:uidLastSave="{B72CE184-6150-4368-B723-3A91FF904B76}"/>
  <workbookProtection lockStructure="1"/>
  <bookViews>
    <workbookView xWindow="-120" yWindow="-120" windowWidth="29040" windowHeight="15720" xr2:uid="{723F6B04-0F39-453F-950C-486EC78D35BA}"/>
  </bookViews>
  <sheets>
    <sheet name="Introduction" sheetId="10" r:id="rId1"/>
    <sheet name="Inputs" sheetId="4" r:id="rId2"/>
    <sheet name="Feed" sheetId="5" r:id="rId3"/>
    <sheet name="Budget - Commercial Sale" sheetId="2" r:id="rId4"/>
    <sheet name="Budget - Freezer Beef" sheetId="9" r:id="rId5"/>
    <sheet name="Retail cuts pricing" sheetId="12" r:id="rId6"/>
    <sheet name="Retail cuts selection" sheetId="11" r:id="rId7"/>
    <sheet name="Marketing cost calculator" sheetId="13" r:id="rId8"/>
  </sheets>
  <definedNames>
    <definedName name="_xlnm.Print_Area" localSheetId="3">'Budget - Commercial Sale'!$A$1:$F$34</definedName>
    <definedName name="_xlnm.Print_Area" localSheetId="4">'Budget - Freezer Beef'!$A$1:$M$31</definedName>
    <definedName name="_xlnm.Print_Area" localSheetId="2">Feed!$A$1:$I$35</definedName>
    <definedName name="_xlnm.Print_Area" localSheetId="1">Inputs!$A$1:$L$52</definedName>
    <definedName name="_xlnm.Print_Area" localSheetId="0">Introduction!$A$1:$D$18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 l="1"/>
  <c r="E10" i="2"/>
  <c r="E9" i="2"/>
  <c r="G27" i="5"/>
  <c r="G26" i="5"/>
  <c r="G25" i="5"/>
  <c r="G24" i="5"/>
  <c r="G23" i="5"/>
  <c r="G18" i="5"/>
  <c r="G17" i="5"/>
  <c r="G16" i="5"/>
  <c r="G15" i="5"/>
  <c r="G14" i="5"/>
  <c r="G9" i="5"/>
  <c r="G8" i="5"/>
  <c r="G7" i="5"/>
  <c r="G6" i="5"/>
  <c r="G5" i="5"/>
  <c r="G4" i="5"/>
  <c r="G3" i="5"/>
  <c r="E3" i="5"/>
  <c r="E26" i="2" l="1"/>
  <c r="H23" i="5"/>
  <c r="H18" i="5"/>
  <c r="H17" i="5"/>
  <c r="H16" i="5"/>
  <c r="H9" i="5"/>
  <c r="E15" i="4"/>
  <c r="H14" i="5" s="1"/>
  <c r="E12" i="4"/>
  <c r="H6" i="5" s="1"/>
  <c r="E13" i="4"/>
  <c r="E14" i="4"/>
  <c r="E16" i="4"/>
  <c r="H15" i="5" s="1"/>
  <c r="E17" i="4"/>
  <c r="E18" i="4"/>
  <c r="H27" i="5" s="1"/>
  <c r="E19" i="4"/>
  <c r="E20" i="4"/>
  <c r="H26" i="5" s="1"/>
  <c r="E11" i="4"/>
  <c r="H24" i="5" l="1"/>
  <c r="H5" i="5"/>
  <c r="H25" i="5"/>
  <c r="H7" i="5"/>
  <c r="H8" i="5"/>
  <c r="E26" i="5"/>
  <c r="F26" i="5" s="1"/>
  <c r="I26" i="5" s="1"/>
  <c r="E15" i="5"/>
  <c r="F15" i="5" s="1"/>
  <c r="I15" i="5" s="1"/>
  <c r="L5" i="9" l="1"/>
  <c r="L4" i="9"/>
  <c r="G7" i="9" s="1"/>
  <c r="D12" i="9"/>
  <c r="C12" i="9"/>
  <c r="E2" i="9"/>
  <c r="G13" i="9"/>
  <c r="M5" i="9"/>
  <c r="M3" i="9"/>
  <c r="M2" i="9"/>
  <c r="K14" i="13"/>
  <c r="K11" i="13"/>
  <c r="H10" i="13"/>
  <c r="H15" i="13" s="1"/>
  <c r="E10" i="13"/>
  <c r="B10" i="13"/>
  <c r="K7" i="13"/>
  <c r="H7" i="13"/>
  <c r="E7" i="13"/>
  <c r="B7" i="13"/>
  <c r="K2" i="13"/>
  <c r="K19" i="13" s="1"/>
  <c r="H2" i="13"/>
  <c r="E2" i="13"/>
  <c r="E15" i="13" s="1"/>
  <c r="M4" i="9" s="1"/>
  <c r="B2" i="13"/>
  <c r="B15" i="13" s="1"/>
  <c r="E4" i="2"/>
  <c r="G3" i="9"/>
  <c r="L7" i="12" l="1"/>
  <c r="L8" i="12"/>
  <c r="L9" i="12"/>
  <c r="L4" i="12"/>
  <c r="Q2" i="12"/>
  <c r="P10" i="11"/>
  <c r="P9" i="11"/>
  <c r="P7" i="11"/>
  <c r="D19" i="12"/>
  <c r="F19" i="12" s="1"/>
  <c r="D13" i="12"/>
  <c r="F13" i="12" s="1"/>
  <c r="D6" i="12"/>
  <c r="F6" i="12" s="1"/>
  <c r="E4" i="9"/>
  <c r="AA37" i="11"/>
  <c r="H4" i="11"/>
  <c r="H6" i="11"/>
  <c r="Z48" i="11" l="1"/>
  <c r="AA48" i="11" s="1"/>
  <c r="Z40" i="11"/>
  <c r="AA40" i="11" s="1"/>
  <c r="Z32" i="11"/>
  <c r="AA32" i="11" s="1"/>
  <c r="Z19" i="11"/>
  <c r="AA19" i="11" s="1"/>
  <c r="Z14" i="11"/>
  <c r="H14" i="11"/>
  <c r="H8" i="11"/>
  <c r="H17" i="11"/>
  <c r="H16" i="11"/>
  <c r="H11" i="11"/>
  <c r="H10" i="11"/>
  <c r="AA46" i="11"/>
  <c r="AA47" i="11"/>
  <c r="AC41" i="11"/>
  <c r="AA45" i="11"/>
  <c r="AA44" i="11"/>
  <c r="AA43" i="11"/>
  <c r="AA42" i="11"/>
  <c r="AC33" i="11"/>
  <c r="AA41" i="11"/>
  <c r="AA49" i="11" s="1"/>
  <c r="AC20" i="11"/>
  <c r="AA39" i="11"/>
  <c r="AA38" i="11"/>
  <c r="AA36" i="11"/>
  <c r="AA35" i="11"/>
  <c r="AA34" i="11"/>
  <c r="AA28" i="11"/>
  <c r="AA29" i="11"/>
  <c r="AA27" i="11"/>
  <c r="AA26" i="11"/>
  <c r="AA25" i="11"/>
  <c r="AA23" i="11"/>
  <c r="AA22" i="11"/>
  <c r="AA21" i="11"/>
  <c r="AA18" i="11"/>
  <c r="AA17" i="11"/>
  <c r="AA16" i="11"/>
  <c r="AC5" i="11"/>
  <c r="AA11" i="11"/>
  <c r="AA7" i="11"/>
  <c r="AA8" i="11"/>
  <c r="AA9" i="11"/>
  <c r="AA10" i="11"/>
  <c r="AA12" i="11"/>
  <c r="AA13" i="11"/>
  <c r="AA6" i="11"/>
  <c r="AA14" i="11" l="1"/>
  <c r="Z49" i="11"/>
  <c r="AC15" i="11"/>
  <c r="AC49" i="11" s="1"/>
  <c r="L3" i="9"/>
  <c r="L28" i="11"/>
  <c r="Q3" i="12" l="1"/>
  <c r="L5" i="12" s="1"/>
  <c r="L7" i="11"/>
  <c r="N7" i="11" s="1"/>
  <c r="L9" i="11"/>
  <c r="D22" i="11"/>
  <c r="F22" i="11" s="1"/>
  <c r="L10" i="11"/>
  <c r="L4" i="11"/>
  <c r="N4" i="11" s="1"/>
  <c r="D5" i="12" s="1"/>
  <c r="F5" i="12" s="1"/>
  <c r="D11" i="11"/>
  <c r="F11" i="11" s="1"/>
  <c r="D10" i="11"/>
  <c r="F10" i="11" s="1"/>
  <c r="D4" i="12" s="1"/>
  <c r="F4" i="12" s="1"/>
  <c r="L23" i="11"/>
  <c r="N23" i="11" s="1"/>
  <c r="L20" i="11"/>
  <c r="N20" i="11" s="1"/>
  <c r="D23" i="11"/>
  <c r="F23" i="11" s="1"/>
  <c r="L26" i="11"/>
  <c r="N26" i="11" s="1"/>
  <c r="D20" i="11"/>
  <c r="D25" i="11"/>
  <c r="F25" i="11" s="1"/>
  <c r="D8" i="11"/>
  <c r="F8" i="11" s="1"/>
  <c r="L25" i="11"/>
  <c r="N25" i="11" s="1"/>
  <c r="D17" i="11"/>
  <c r="F17" i="11" s="1"/>
  <c r="L21" i="11"/>
  <c r="L19" i="11"/>
  <c r="N19" i="11" s="1"/>
  <c r="L17" i="11"/>
  <c r="L12" i="11"/>
  <c r="D4" i="11"/>
  <c r="D6" i="11" s="1"/>
  <c r="F6" i="11" s="1"/>
  <c r="D21" i="11"/>
  <c r="F21" i="11" s="1"/>
  <c r="L24" i="11"/>
  <c r="N24" i="11" s="1"/>
  <c r="D16" i="11"/>
  <c r="F16" i="11" s="1"/>
  <c r="D14" i="11"/>
  <c r="L18" i="11"/>
  <c r="N18" i="11" s="1"/>
  <c r="D14" i="12" s="1"/>
  <c r="F14" i="12" s="1"/>
  <c r="K40" i="9"/>
  <c r="K38" i="9"/>
  <c r="G14" i="9"/>
  <c r="H14" i="9" s="1"/>
  <c r="D7" i="12" l="1"/>
  <c r="F7" i="12" s="1"/>
  <c r="D8" i="12"/>
  <c r="F8" i="12" s="1"/>
  <c r="D22" i="12"/>
  <c r="F22" i="12" s="1"/>
  <c r="N9" i="11"/>
  <c r="D16" i="12"/>
  <c r="F16" i="12" s="1"/>
  <c r="F20" i="11"/>
  <c r="S8" i="11"/>
  <c r="S7" i="11"/>
  <c r="F14" i="11"/>
  <c r="D9" i="12" s="1"/>
  <c r="F9" i="12" s="1"/>
  <c r="S6" i="11"/>
  <c r="F4" i="11"/>
  <c r="D3" i="12" s="1"/>
  <c r="S4" i="11"/>
  <c r="N17" i="11"/>
  <c r="D15" i="12" s="1"/>
  <c r="F15" i="12" s="1"/>
  <c r="S9" i="11"/>
  <c r="N12" i="11"/>
  <c r="S5" i="11"/>
  <c r="N10" i="11"/>
  <c r="N21" i="11"/>
  <c r="D21" i="12" s="1"/>
  <c r="F21" i="12" s="1"/>
  <c r="E21" i="2"/>
  <c r="F21" i="2" s="1"/>
  <c r="G16" i="9"/>
  <c r="H16" i="9" s="1"/>
  <c r="L14" i="11" l="1"/>
  <c r="N14" i="11" s="1"/>
  <c r="D11" i="12"/>
  <c r="F11" i="12" s="1"/>
  <c r="D10" i="12"/>
  <c r="F3" i="12"/>
  <c r="D26" i="11"/>
  <c r="F26" i="11" s="1"/>
  <c r="D20" i="12" s="1"/>
  <c r="F20" i="12" s="1"/>
  <c r="D12" i="12"/>
  <c r="F12" i="12" s="1"/>
  <c r="L29" i="11"/>
  <c r="S10" i="11"/>
  <c r="T4" i="11"/>
  <c r="V4" i="11" s="1"/>
  <c r="T6" i="11"/>
  <c r="V6" i="11" s="1"/>
  <c r="T5" i="11"/>
  <c r="V5" i="11" s="1"/>
  <c r="T9" i="11"/>
  <c r="V9" i="11" s="1"/>
  <c r="T7" i="11" l="1"/>
  <c r="V7" i="11" s="1"/>
  <c r="D17" i="12"/>
  <c r="F17" i="12" s="1"/>
  <c r="F10" i="12"/>
  <c r="T8" i="11"/>
  <c r="V8" i="11" s="1"/>
  <c r="V10" i="11" l="1"/>
  <c r="T10" i="11"/>
  <c r="J38" i="2"/>
  <c r="J36" i="2"/>
  <c r="D32" i="5"/>
  <c r="G21" i="9"/>
  <c r="H21" i="9" s="1"/>
  <c r="E27" i="2"/>
  <c r="F27" i="2" s="1"/>
  <c r="F26" i="2"/>
  <c r="E5" i="2"/>
  <c r="G8" i="9"/>
  <c r="G9" i="9" s="1"/>
  <c r="K39" i="9"/>
  <c r="K37" i="9"/>
  <c r="J37" i="2"/>
  <c r="J35" i="2"/>
  <c r="G22" i="9" l="1"/>
  <c r="H22" i="9" s="1"/>
  <c r="D18" i="12"/>
  <c r="D23" i="12" s="1"/>
  <c r="Q4" i="12"/>
  <c r="L6" i="12" s="1"/>
  <c r="L10" i="12" s="1"/>
  <c r="G12" i="9" s="1"/>
  <c r="H12" i="9" s="1"/>
  <c r="R11" i="11"/>
  <c r="T11" i="11"/>
  <c r="G23" i="9"/>
  <c r="H23" i="9" s="1"/>
  <c r="E28" i="2"/>
  <c r="F28" i="2" s="1"/>
  <c r="F18" i="12" l="1"/>
  <c r="E24" i="12"/>
  <c r="G4" i="9"/>
  <c r="E19" i="2"/>
  <c r="F19" i="2" s="1"/>
  <c r="F23" i="12" l="1"/>
  <c r="E25" i="12" s="1"/>
  <c r="E17" i="2" l="1"/>
  <c r="F17" i="2" s="1"/>
  <c r="F54" i="4" l="1"/>
  <c r="F53" i="4"/>
  <c r="F52" i="4"/>
  <c r="F51" i="4"/>
  <c r="E14" i="2"/>
  <c r="F14" i="2" s="1"/>
  <c r="E25" i="2" l="1"/>
  <c r="F25" i="2" s="1"/>
  <c r="E15" i="2"/>
  <c r="F15" i="2" s="1"/>
  <c r="E16" i="2"/>
  <c r="F16" i="2" s="1"/>
  <c r="E20" i="2"/>
  <c r="F20" i="2" s="1"/>
  <c r="E13" i="2"/>
  <c r="F13" i="2" s="1"/>
  <c r="E12" i="2"/>
  <c r="F12" i="2" s="1"/>
  <c r="G20" i="9" l="1"/>
  <c r="H20" i="9" s="1"/>
  <c r="G24" i="9" l="1"/>
  <c r="H24" i="9" s="1"/>
  <c r="D34" i="5"/>
  <c r="E34" i="5" s="1"/>
  <c r="D33" i="5"/>
  <c r="E33" i="5" s="1"/>
  <c r="E32" i="5"/>
  <c r="H4" i="5" l="1"/>
  <c r="I4" i="5" l="1"/>
  <c r="I8" i="5"/>
  <c r="I6" i="5"/>
  <c r="E14" i="5" l="1"/>
  <c r="F14" i="5" s="1"/>
  <c r="G15" i="9" l="1"/>
  <c r="H15" i="9" s="1"/>
  <c r="C17" i="9" l="1"/>
  <c r="H13" i="9" l="1"/>
  <c r="E18" i="2"/>
  <c r="F18" i="2" s="1"/>
  <c r="H9" i="9" l="1"/>
  <c r="E24" i="5"/>
  <c r="F24" i="5" s="1"/>
  <c r="E25" i="5"/>
  <c r="F25" i="5" s="1"/>
  <c r="E27" i="5"/>
  <c r="F27" i="5" s="1"/>
  <c r="E23" i="5"/>
  <c r="F23" i="5" s="1"/>
  <c r="E18" i="5"/>
  <c r="F18" i="5" s="1"/>
  <c r="E17" i="5"/>
  <c r="F17" i="5" s="1"/>
  <c r="E16" i="5"/>
  <c r="F16" i="5" s="1"/>
  <c r="F28" i="5" l="1"/>
  <c r="F19" i="5"/>
  <c r="I16" i="5"/>
  <c r="I14" i="5"/>
  <c r="I25" i="5"/>
  <c r="I24" i="5"/>
  <c r="I27" i="5"/>
  <c r="I17" i="5"/>
  <c r="I18" i="5"/>
  <c r="I23" i="5" l="1"/>
  <c r="I28" i="5" s="1"/>
  <c r="F11" i="2" s="1"/>
  <c r="F34" i="5" l="1"/>
  <c r="G34" i="5"/>
  <c r="H3" i="5"/>
  <c r="I7" i="5" l="1"/>
  <c r="I5" i="5"/>
  <c r="I3" i="5"/>
  <c r="I9" i="5"/>
  <c r="I19" i="5" l="1"/>
  <c r="F10" i="2" s="1"/>
  <c r="I10" i="5"/>
  <c r="F9" i="2" s="1"/>
  <c r="C22" i="2"/>
  <c r="E22" i="2" l="1"/>
  <c r="F22" i="2" s="1"/>
  <c r="G33" i="5"/>
  <c r="F33" i="5"/>
  <c r="E29" i="2"/>
  <c r="F29" i="2" s="1"/>
  <c r="E6" i="2" l="1"/>
  <c r="F6" i="2" s="1"/>
  <c r="E23" i="2" l="1"/>
  <c r="F23" i="2" s="1"/>
  <c r="G11" i="9" l="1"/>
  <c r="H11" i="9" s="1"/>
  <c r="E31" i="2"/>
  <c r="F31" i="2" s="1"/>
  <c r="E32" i="2"/>
  <c r="F32" i="2" s="1"/>
  <c r="E33" i="2" l="1"/>
  <c r="F33" i="2" s="1"/>
  <c r="G17" i="9"/>
  <c r="H17" i="9" s="1"/>
  <c r="G18" i="9" l="1"/>
  <c r="H18" i="9" s="1"/>
  <c r="G28" i="9" l="1"/>
  <c r="H28" i="9" s="1"/>
  <c r="G26" i="9"/>
  <c r="G27" i="9"/>
  <c r="H27" i="9" s="1"/>
  <c r="H26" i="9" l="1"/>
  <c r="H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Kientzy, Andrew</author>
  </authors>
  <commentList>
    <comment ref="D3" authorId="0" shapeId="0" xr:uid="{67AC492E-8722-4BE0-8C2E-09C6BE2EC14E}">
      <text>
        <r>
          <rPr>
            <b/>
            <sz val="9"/>
            <color indexed="81"/>
            <rFont val="Tahoma"/>
            <family val="2"/>
          </rPr>
          <t>Kientzy, Andrew:</t>
        </r>
        <r>
          <rPr>
            <sz val="9"/>
            <color indexed="81"/>
            <rFont val="Tahoma"/>
            <family val="2"/>
          </rPr>
          <t xml:space="preserve">
An animal unit month (AUM) is the forage consumed by a 1,000 pound beef cow with calf at side in one month.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Milhollin, Ryan K.</author>
  </authors>
  <commentList>
    <comment ref="C11" authorId="0" shapeId="0" xr:uid="{89F18534-3303-4AAE-A8FD-3989D5333F46}">
      <text>
        <r>
          <rPr>
            <sz val="9"/>
            <color indexed="81"/>
            <rFont val="Tahoma"/>
            <family val="2"/>
          </rPr>
          <t>Note: numbers reflect live sale operating costs minus marketing and operating interest.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tc={B848F26A-F662-49A2-BCA2-228475070A2B}</author>
  </authors>
  <commentList>
    <comment ref="J14" authorId="0" shapeId="0" xr:uid="{B848F26A-F662-49A2-BCA2-228475070A2B}">
      <text>
        <t>[Threaded comment]
Your version of Excel allows you to read this threaded comment; however, any edits to it will get removed if the file is opened in a newer version of Excel. Learn more: https://go.microsoft.com/fwlink/?linkid=870924
Comment:
    Whole sirloin can be used for fajita/kabob</t>
      </text>
    </comment>
  </commentList>
</comments>
</file>

<file path=xl/sharedStrings.xml><?xml version="1.0" encoding="utf-8"?>
<sst xmlns="http://schemas.openxmlformats.org/spreadsheetml/2006/main" count="691" uniqueCount="372">
  <si>
    <t>Developed by:</t>
  </si>
  <si>
    <t>Drew Kientzy, Jennifer Lutes, and Jake Hefley</t>
  </si>
  <si>
    <t>University of Missouri Extension</t>
  </si>
  <si>
    <r>
      <t xml:space="preserve">Adjust the information on the </t>
    </r>
    <r>
      <rPr>
        <b/>
        <sz val="10"/>
        <color theme="1"/>
        <rFont val="Segoe UI"/>
        <family val="2"/>
      </rPr>
      <t>"Inputs"</t>
    </r>
    <r>
      <rPr>
        <sz val="10"/>
        <color theme="1"/>
        <rFont val="Segoe UI"/>
        <family val="2"/>
      </rPr>
      <t xml:space="preserve"> sheet to your own operation. Values in grey cells on any sheet can be changed to better reflect your operation. Any changes made there will be reflected in the subsequent budgets. </t>
    </r>
  </si>
  <si>
    <t>This worksheet is for educational purposes only and the user assumes all risks associated with its use.</t>
  </si>
  <si>
    <t xml:space="preserve">Inputs </t>
  </si>
  <si>
    <t>Physical Variables</t>
  </si>
  <si>
    <t>Item</t>
  </si>
  <si>
    <t>Unit</t>
  </si>
  <si>
    <t>Price</t>
  </si>
  <si>
    <t>Quantity</t>
  </si>
  <si>
    <t xml:space="preserve">Sales </t>
  </si>
  <si>
    <t>Timing</t>
  </si>
  <si>
    <r>
      <t xml:space="preserve">Fed cattle </t>
    </r>
    <r>
      <rPr>
        <sz val="10"/>
        <rFont val="Segoe UI"/>
        <family val="2"/>
      </rPr>
      <t>(avg. steer &amp; heifer)</t>
    </r>
  </si>
  <si>
    <t>$ per live cwt.</t>
  </si>
  <si>
    <t>Nursing duration</t>
  </si>
  <si>
    <t>days</t>
  </si>
  <si>
    <t>Carcass weight</t>
  </si>
  <si>
    <t>% of live cwt.</t>
  </si>
  <si>
    <t>Background duration</t>
  </si>
  <si>
    <t>Chilling loss</t>
  </si>
  <si>
    <t>% of HCW</t>
  </si>
  <si>
    <t>Finishing duration</t>
  </si>
  <si>
    <t>Cull cow value</t>
  </si>
  <si>
    <t>$ per cwt.</t>
  </si>
  <si>
    <t>Cow herd</t>
  </si>
  <si>
    <t>Bull cull value</t>
  </si>
  <si>
    <t>$ per head</t>
  </si>
  <si>
    <t>Herd size</t>
  </si>
  <si>
    <t>cows</t>
  </si>
  <si>
    <t xml:space="preserve">Feed </t>
  </si>
  <si>
    <t>Bull ratio</t>
  </si>
  <si>
    <t>cows/bull</t>
  </si>
  <si>
    <t>Pasture</t>
  </si>
  <si>
    <t>$ per AUM</t>
  </si>
  <si>
    <t>Cow value</t>
  </si>
  <si>
    <t>$ per cow</t>
  </si>
  <si>
    <t>Fescue hay</t>
  </si>
  <si>
    <t>$ per ton</t>
  </si>
  <si>
    <t>Bull value</t>
  </si>
  <si>
    <t>Mixed hay</t>
  </si>
  <si>
    <t>Bull usable life</t>
  </si>
  <si>
    <t>years</t>
  </si>
  <si>
    <t>Alfalfa hay</t>
  </si>
  <si>
    <t>Replacement heifer value</t>
  </si>
  <si>
    <t>$ per heifer</t>
  </si>
  <si>
    <t>Shelled corn</t>
  </si>
  <si>
    <t>$ per bushel</t>
  </si>
  <si>
    <t>Replacement rate</t>
  </si>
  <si>
    <t>% annually</t>
  </si>
  <si>
    <t>Dried distillers grains</t>
  </si>
  <si>
    <t>Cow weight</t>
  </si>
  <si>
    <t>lbs.</t>
  </si>
  <si>
    <t>Losses</t>
  </si>
  <si>
    <t>Cow-calf weaning rate</t>
  </si>
  <si>
    <t>%</t>
  </si>
  <si>
    <t>Feedlot supplement</t>
  </si>
  <si>
    <t>Backgrounding death rate</t>
  </si>
  <si>
    <t>Limestone</t>
  </si>
  <si>
    <t>Fed cattle death rate</t>
  </si>
  <si>
    <t>Processing cost for grain</t>
  </si>
  <si>
    <t>Conversion rates</t>
  </si>
  <si>
    <t xml:space="preserve">Operating costs </t>
  </si>
  <si>
    <t>Drylot background steer</t>
  </si>
  <si>
    <t>lb feed/gain (AF)</t>
  </si>
  <si>
    <t>Labor</t>
  </si>
  <si>
    <t>$ per hour</t>
  </si>
  <si>
    <t>Drylot background heifer</t>
  </si>
  <si>
    <t>Live cattle marketing</t>
  </si>
  <si>
    <t>% of sales</t>
  </si>
  <si>
    <t>Operating interest</t>
  </si>
  <si>
    <t>% APR</t>
  </si>
  <si>
    <t>Assets</t>
  </si>
  <si>
    <t>Transition weights</t>
  </si>
  <si>
    <t>Interest rate</t>
  </si>
  <si>
    <t>Calf birthweight</t>
  </si>
  <si>
    <t>Property tax rate</t>
  </si>
  <si>
    <t>% of value</t>
  </si>
  <si>
    <t>Weaning weight</t>
  </si>
  <si>
    <t>Insurance on breeding herd</t>
  </si>
  <si>
    <t>Backgrounded weight</t>
  </si>
  <si>
    <t>Farm insurance rate</t>
  </si>
  <si>
    <t>Finished weight</t>
  </si>
  <si>
    <t>Other operating costs by stage</t>
  </si>
  <si>
    <t>Cow-calf</t>
  </si>
  <si>
    <t>Backgrounding</t>
  </si>
  <si>
    <t>Finishing</t>
  </si>
  <si>
    <t>hours</t>
  </si>
  <si>
    <t>Veterinary, drugs, and supplies</t>
  </si>
  <si>
    <t>Utilities</t>
  </si>
  <si>
    <t>Livestock facility repairs</t>
  </si>
  <si>
    <t>Professional fees</t>
  </si>
  <si>
    <t>Miscellaneous</t>
  </si>
  <si>
    <t>Machinery</t>
  </si>
  <si>
    <t>Tractor (105 MFWD)</t>
  </si>
  <si>
    <t>Feed grinder</t>
  </si>
  <si>
    <t>Pickup</t>
  </si>
  <si>
    <t>Stock trailer</t>
  </si>
  <si>
    <t>ATV</t>
  </si>
  <si>
    <t>Facilities and equipment</t>
  </si>
  <si>
    <t>Stage</t>
  </si>
  <si>
    <t>Investment</t>
  </si>
  <si>
    <t>Lifespan</t>
  </si>
  <si>
    <t>Salvage value</t>
  </si>
  <si>
    <t>Cost</t>
  </si>
  <si>
    <t>Cow-calf facilities</t>
  </si>
  <si>
    <t>Drylot backgrounding facilities</t>
  </si>
  <si>
    <t>Finishing facilities</t>
  </si>
  <si>
    <t>Cow herd feed</t>
  </si>
  <si>
    <t>Feedstuff</t>
  </si>
  <si>
    <t>Days fed</t>
  </si>
  <si>
    <t>Qty/day</t>
  </si>
  <si>
    <t>Total</t>
  </si>
  <si>
    <t>Value/unit</t>
  </si>
  <si>
    <t>Total cost</t>
  </si>
  <si>
    <t>AUM</t>
  </si>
  <si>
    <t>Bull*</t>
  </si>
  <si>
    <t>Lbs</t>
  </si>
  <si>
    <t>Cow unit</t>
  </si>
  <si>
    <t>*Bull feed usage is a per cow basis for each cow in the herd.</t>
  </si>
  <si>
    <t>Drylot backgrounding feed</t>
  </si>
  <si>
    <t>(Fall calves)</t>
  </si>
  <si>
    <t>Drylot backgrounding ration</t>
  </si>
  <si>
    <t>Input</t>
  </si>
  <si>
    <t>Per head</t>
  </si>
  <si>
    <t>Corn</t>
  </si>
  <si>
    <t>DDG</t>
  </si>
  <si>
    <t>Pounds/day</t>
  </si>
  <si>
    <t>Feedlot finishing feed</t>
  </si>
  <si>
    <t>Finishing ration</t>
  </si>
  <si>
    <t>Feed efficiency summary</t>
  </si>
  <si>
    <t>Pounds gained</t>
  </si>
  <si>
    <t>Dollars/lb gained</t>
  </si>
  <si>
    <t>Dollars/day</t>
  </si>
  <si>
    <t>Nursing calves</t>
  </si>
  <si>
    <t>-</t>
  </si>
  <si>
    <t>Drylot backgrounded</t>
  </si>
  <si>
    <t>Finishing lot</t>
  </si>
  <si>
    <t>Missouri Beef On-Farm Finishing</t>
  </si>
  <si>
    <t>Income</t>
  </si>
  <si>
    <t>Per animal sold</t>
  </si>
  <si>
    <t>Per live pound</t>
  </si>
  <si>
    <t xml:space="preserve"> 1. Steers:  </t>
  </si>
  <si>
    <t>Slaughter cattle sales</t>
  </si>
  <si>
    <t xml:space="preserve"> 3. Cull cows:  </t>
  </si>
  <si>
    <t>Culled breeding animals</t>
  </si>
  <si>
    <t>Total income</t>
  </si>
  <si>
    <t>Operating costs</t>
  </si>
  <si>
    <t>Feed</t>
  </si>
  <si>
    <t xml:space="preserve">  Cow/calf</t>
  </si>
  <si>
    <t xml:space="preserve">  Backgrounding</t>
  </si>
  <si>
    <t xml:space="preserve">  Finishing</t>
  </si>
  <si>
    <t>Cow replacement</t>
  </si>
  <si>
    <t xml:space="preserve">      a. Capital replacement (</t>
  </si>
  <si>
    <t>Marketing</t>
  </si>
  <si>
    <t>Bull replacement</t>
  </si>
  <si>
    <t>Professional fees (legal, accounting, etc.)</t>
  </si>
  <si>
    <t>Total operating costs</t>
  </si>
  <si>
    <t>Ownership costs</t>
  </si>
  <si>
    <t>Depreciation on facilities and equipment</t>
  </si>
  <si>
    <t xml:space="preserve">20. Interest on 1/2 operating costs @ </t>
  </si>
  <si>
    <t>Interest on breeding stock</t>
  </si>
  <si>
    <t>Interest on facilities and equipment</t>
  </si>
  <si>
    <t>Insurance and taxes on breeding stock &amp; capital items</t>
  </si>
  <si>
    <t>Total ownership costs</t>
  </si>
  <si>
    <t>TOTAL COSTS</t>
  </si>
  <si>
    <t>INCOME OVER OPERATING COSTS</t>
  </si>
  <si>
    <t>INCOME OVER TOTAL COSTS</t>
  </si>
  <si>
    <t>Insurance &amp; Taxes</t>
  </si>
  <si>
    <t>Insurance on BS</t>
  </si>
  <si>
    <t>Insurance on facilities</t>
  </si>
  <si>
    <t>Taxes on BS</t>
  </si>
  <si>
    <t>Taxes on Facilities</t>
  </si>
  <si>
    <t>Missouri Freezer Beef</t>
  </si>
  <si>
    <t>Method of sale</t>
  </si>
  <si>
    <t>$/lb live weight</t>
  </si>
  <si>
    <t>Price/head</t>
  </si>
  <si>
    <t>Marketing expense per head</t>
  </si>
  <si>
    <t>Retail cuts</t>
  </si>
  <si>
    <t>See "Retail cuts pricing" Worksheet</t>
  </si>
  <si>
    <t>Steer</t>
  </si>
  <si>
    <t>Beef</t>
  </si>
  <si>
    <t>Bone-in</t>
  </si>
  <si>
    <t>Hot carcass weight</t>
  </si>
  <si>
    <t>Whole beef</t>
  </si>
  <si>
    <t>Heifer</t>
  </si>
  <si>
    <t>Dairy</t>
  </si>
  <si>
    <t>De-boned</t>
  </si>
  <si>
    <t>Half beef</t>
  </si>
  <si>
    <t>Quarter beef</t>
  </si>
  <si>
    <t>Beef sales</t>
  </si>
  <si>
    <t>Retail cuts specific</t>
  </si>
  <si>
    <t>Cooler operating cost/year</t>
  </si>
  <si>
    <t>Animals sold as retail annually</t>
  </si>
  <si>
    <t>Production of finished beef</t>
  </si>
  <si>
    <t>Custom labelling cost/animal</t>
  </si>
  <si>
    <t>Beef storage</t>
  </si>
  <si>
    <t>Packaging</t>
  </si>
  <si>
    <t xml:space="preserve">Miscellaneous </t>
  </si>
  <si>
    <t>BREAKEVEN COST PER LIVE POUND</t>
  </si>
  <si>
    <t>Beef Prices</t>
  </si>
  <si>
    <t>Processing costs</t>
  </si>
  <si>
    <t>Flat rate</t>
  </si>
  <si>
    <t>per head</t>
  </si>
  <si>
    <t>Primal</t>
  </si>
  <si>
    <t>Cut style</t>
  </si>
  <si>
    <t>Quantity cut (pounds)</t>
  </si>
  <si>
    <t>Revenue</t>
  </si>
  <si>
    <t>Process</t>
  </si>
  <si>
    <t>Cost/unit</t>
  </si>
  <si>
    <t>Itemized</t>
  </si>
  <si>
    <t>per live pound</t>
  </si>
  <si>
    <t>Chuck</t>
  </si>
  <si>
    <t>Roast</t>
  </si>
  <si>
    <t>Billing type</t>
  </si>
  <si>
    <t>per hanging pound</t>
  </si>
  <si>
    <t>Steak</t>
  </si>
  <si>
    <t>Slaughter</t>
  </si>
  <si>
    <t>per ground pound</t>
  </si>
  <si>
    <t>Rib</t>
  </si>
  <si>
    <t>General processing</t>
  </si>
  <si>
    <t>Inspection fee</t>
  </si>
  <si>
    <t>Loin</t>
  </si>
  <si>
    <t xml:space="preserve">Roast </t>
  </si>
  <si>
    <t>Disposal fees</t>
  </si>
  <si>
    <t xml:space="preserve">Filet Migion </t>
  </si>
  <si>
    <t>Enter other cost type here</t>
  </si>
  <si>
    <t>T-Bone/Strip</t>
  </si>
  <si>
    <t>Sirloin</t>
  </si>
  <si>
    <t>or</t>
  </si>
  <si>
    <t>head</t>
  </si>
  <si>
    <t>Round</t>
  </si>
  <si>
    <t>Flank</t>
  </si>
  <si>
    <t>Brisket</t>
  </si>
  <si>
    <t>Short ribs</t>
  </si>
  <si>
    <t>Fajita/kabob meat</t>
  </si>
  <si>
    <t>(unused sirloin, skirt, flank steaks)</t>
  </si>
  <si>
    <t>Ground beef</t>
  </si>
  <si>
    <t>80-89% lean</t>
  </si>
  <si>
    <t>Beef for stew</t>
  </si>
  <si>
    <t>Cube steak</t>
  </si>
  <si>
    <t>(unused round)</t>
  </si>
  <si>
    <t>Soup bones</t>
  </si>
  <si>
    <t>Organs</t>
  </si>
  <si>
    <t>Average price</t>
  </si>
  <si>
    <t>This sheet is designed to restrict users from selecting multiple cuts utilizing the same muscle group. If an invalid selection is entered, an error message will be triggered. Additionally, as selections are made the alternative scenario will be obscured by shading, indicating that choice is no longer available.</t>
  </si>
  <si>
    <t>yes</t>
  </si>
  <si>
    <t>UNL BEEF CUTOUT STUDY BASIS FOR RC SHEET</t>
  </si>
  <si>
    <t>Cut name</t>
  </si>
  <si>
    <t>Cut type</t>
  </si>
  <si>
    <t>Possible weight</t>
  </si>
  <si>
    <t>% cut</t>
  </si>
  <si>
    <t>Cut out weight</t>
  </si>
  <si>
    <t>no</t>
  </si>
  <si>
    <t>Cuttable weight</t>
  </si>
  <si>
    <t>Weight cut</t>
  </si>
  <si>
    <t>% loss</t>
  </si>
  <si>
    <t>lbs GB</t>
  </si>
  <si>
    <t>Sample HCW</t>
  </si>
  <si>
    <t>pounds</t>
  </si>
  <si>
    <t>www.ams.usda.gov/sites/default/files/media/IMPS100SeriesDraft2020.pdf</t>
  </si>
  <si>
    <t>Arm pot roast</t>
  </si>
  <si>
    <t>Ribeye (bnls)</t>
  </si>
  <si>
    <t>Cut Name</t>
  </si>
  <si>
    <t>Cut Weight</t>
  </si>
  <si>
    <t>% of carcass</t>
  </si>
  <si>
    <t>IMPS</t>
  </si>
  <si>
    <t>Check</t>
  </si>
  <si>
    <t>OR</t>
  </si>
  <si>
    <t>chrome-extension://efaidnbmnnnibpcajpcglclefindmkaj/https://dsrcattle.com/wp-content/uploads/Angus-Beef-Chart-PDF-1.pdf</t>
  </si>
  <si>
    <t>Shoulder pot roast (bnls)</t>
  </si>
  <si>
    <t>Min</t>
  </si>
  <si>
    <t>MAX</t>
  </si>
  <si>
    <t>Arm</t>
  </si>
  <si>
    <t>114E</t>
  </si>
  <si>
    <t>AND</t>
  </si>
  <si>
    <t>Top Sirloin (bnls)</t>
  </si>
  <si>
    <t>Blade</t>
  </si>
  <si>
    <t>116A</t>
  </si>
  <si>
    <t>Blade Roast</t>
  </si>
  <si>
    <t>Chuck eye</t>
  </si>
  <si>
    <t>116G</t>
  </si>
  <si>
    <t>Sirloin cap (bnls)</t>
  </si>
  <si>
    <t>Other</t>
  </si>
  <si>
    <t>Mock tender</t>
  </si>
  <si>
    <t>116B</t>
  </si>
  <si>
    <t>Flat iron (bnls)</t>
  </si>
  <si>
    <t xml:space="preserve"> Center cut (bnls)</t>
  </si>
  <si>
    <t>TOTAL</t>
  </si>
  <si>
    <t>Flat iron</t>
  </si>
  <si>
    <t>114D</t>
  </si>
  <si>
    <t>Chuck eye (bnls)</t>
  </si>
  <si>
    <t>of carcass as retail beef</t>
  </si>
  <si>
    <t>of live weight as retail beef</t>
  </si>
  <si>
    <t>Petite tender</t>
  </si>
  <si>
    <t>114F</t>
  </si>
  <si>
    <t>Tri-tip (bnls)</t>
  </si>
  <si>
    <t>Chuck short ribs</t>
  </si>
  <si>
    <t>Trimmings</t>
  </si>
  <si>
    <t>T-bone (and porterhouse)</t>
  </si>
  <si>
    <t>other</t>
  </si>
  <si>
    <t>Fat and bone waste</t>
  </si>
  <si>
    <t>Strip (bnls)</t>
  </si>
  <si>
    <t>Rib roll (bnls)</t>
  </si>
  <si>
    <t>Tenderloin/Filet (bnls)</t>
  </si>
  <si>
    <t>Brisket (bnls)</t>
  </si>
  <si>
    <t>Rib short ribs</t>
  </si>
  <si>
    <t>Flank (bnls)</t>
  </si>
  <si>
    <t>Skirt steak (bnls)</t>
  </si>
  <si>
    <t>Top of round (bnls)</t>
  </si>
  <si>
    <t>Short Ribs</t>
  </si>
  <si>
    <t>Ribs</t>
  </si>
  <si>
    <t>Bottom of round (bnls)</t>
  </si>
  <si>
    <t>Strip loin</t>
  </si>
  <si>
    <t>Eye of round (bnls)</t>
  </si>
  <si>
    <t>Tenderloin</t>
  </si>
  <si>
    <t>190A</t>
  </si>
  <si>
    <t>Round rump (bnls)</t>
  </si>
  <si>
    <t>Heart</t>
  </si>
  <si>
    <t>organs</t>
  </si>
  <si>
    <t>Kidney</t>
  </si>
  <si>
    <t>Round tip (bnls)</t>
  </si>
  <si>
    <t>Liver</t>
  </si>
  <si>
    <t>Top Sirloin</t>
  </si>
  <si>
    <t>tenderized</t>
  </si>
  <si>
    <t>Tongue</t>
  </si>
  <si>
    <t>Sirloin Cap</t>
  </si>
  <si>
    <t>184D</t>
  </si>
  <si>
    <t>Waste</t>
  </si>
  <si>
    <t>Sirlion flap (bavette)</t>
  </si>
  <si>
    <t>Tri-tip</t>
  </si>
  <si>
    <t>Offal and unused portions</t>
  </si>
  <si>
    <r>
      <rPr>
        <b/>
        <sz val="11"/>
        <color theme="1"/>
        <rFont val="Segoe UI"/>
        <family val="2"/>
      </rPr>
      <t>Disclaimer -</t>
    </r>
    <r>
      <rPr>
        <sz val="11"/>
        <color theme="1"/>
        <rFont val="Segoe UI"/>
        <family val="2"/>
      </rPr>
      <t xml:space="preserve"> This tool is not inclusive to all types of retail cuts. Sample cut sheets from several processors were considered and only recoccuring cuts are included. Bone-in cuts are included where applicable to minimize processing cost and maximize sellable weight. Note that many processors will either cut all or none of a particular cut. Percentages from 1 to 99 entered above may not be feasibly obtained, especially on whole-muscle cuts. The user assumes an entire animal will be cut the same way. Cutting each half differently is not supported by this tool.</t>
    </r>
  </si>
  <si>
    <t>Top of Round</t>
  </si>
  <si>
    <t>Bottom of Round</t>
  </si>
  <si>
    <t>Round Rump</t>
  </si>
  <si>
    <t>171G</t>
  </si>
  <si>
    <t>Eye of Round</t>
  </si>
  <si>
    <t>Round Tip</t>
  </si>
  <si>
    <t>Hanging tender</t>
  </si>
  <si>
    <t>Skirt steak</t>
  </si>
  <si>
    <t>Fat, bone, and offal</t>
  </si>
  <si>
    <t>Whole Beef</t>
  </si>
  <si>
    <t>Half Beefs</t>
  </si>
  <si>
    <t>Quarter Beefs</t>
  </si>
  <si>
    <t>Delivery to locker</t>
  </si>
  <si>
    <t>Miles driven</t>
  </si>
  <si>
    <t>Hours driving</t>
  </si>
  <si>
    <t>Cost per mile</t>
  </si>
  <si>
    <t>Animals hauled per trip</t>
  </si>
  <si>
    <t>Advertising</t>
  </si>
  <si>
    <t>Delivery to customer or market</t>
  </si>
  <si>
    <t>Dollars per year</t>
  </si>
  <si>
    <t>Head sold direct to consumer</t>
  </si>
  <si>
    <t>Time utilized</t>
  </si>
  <si>
    <t>Marketing hours (annual)</t>
  </si>
  <si>
    <t>Labor rate</t>
  </si>
  <si>
    <t>Shipping cost (per head)</t>
  </si>
  <si>
    <t>Other marketing costs (per head)</t>
  </si>
  <si>
    <t>Total Cost per Head</t>
  </si>
  <si>
    <r>
      <t>The "</t>
    </r>
    <r>
      <rPr>
        <b/>
        <sz val="10"/>
        <color theme="1"/>
        <rFont val="Segoe UI"/>
        <family val="2"/>
      </rPr>
      <t>Budget - Freezer Beef</t>
    </r>
    <r>
      <rPr>
        <sz val="10"/>
        <color theme="1"/>
        <rFont val="Segoe UI"/>
        <family val="2"/>
      </rPr>
      <t>" sheet evaluates selling animals directly to consumers as whole, half or quarter carcasses. Use the drop down menu in the grey cell located near the top of the screen to select your preferred marketing method. The "</t>
    </r>
    <r>
      <rPr>
        <b/>
        <sz val="10"/>
        <color theme="1"/>
        <rFont val="Segoe UI"/>
        <family val="2"/>
      </rPr>
      <t>Retail cuts</t>
    </r>
    <r>
      <rPr>
        <sz val="10"/>
        <color theme="1"/>
        <rFont val="Segoe UI"/>
        <family val="2"/>
      </rPr>
      <t>" sheets are supplemental tools to the "Budget - Freezer Beef" sheet. It evaluates selling animals directly to consumers as individual cuts and allows custom pricing by cut of meat. Costs are based on each animal sold, but variations in number of animals grown and processed in a given manner could change some costs considerably. Note that federal and state regulations affect types of sale and pricing mechanisms that can be used. Enter the list prices for each type of cut on the "</t>
    </r>
    <r>
      <rPr>
        <b/>
        <sz val="10"/>
        <color theme="1"/>
        <rFont val="Segoe UI"/>
        <family val="2"/>
      </rPr>
      <t>Retail cuts pricing</t>
    </r>
    <r>
      <rPr>
        <sz val="10"/>
        <color theme="1"/>
        <rFont val="Segoe UI"/>
        <family val="2"/>
      </rPr>
      <t>" sheet. Select the cuts you wish to market on the "</t>
    </r>
    <r>
      <rPr>
        <b/>
        <sz val="10"/>
        <color theme="1"/>
        <rFont val="Segoe UI"/>
        <family val="2"/>
      </rPr>
      <t>Retail cuts selection</t>
    </r>
    <r>
      <rPr>
        <sz val="10"/>
        <color theme="1"/>
        <rFont val="Segoe UI"/>
        <family val="2"/>
      </rPr>
      <t>" sheet. All cuts not selected will be included as hamburger. The "</t>
    </r>
    <r>
      <rPr>
        <b/>
        <sz val="10"/>
        <color theme="1"/>
        <rFont val="Segoe UI"/>
        <family val="2"/>
      </rPr>
      <t>Marketing cost calculator</t>
    </r>
    <r>
      <rPr>
        <sz val="10"/>
        <color theme="1"/>
        <rFont val="Segoe UI"/>
        <family val="2"/>
      </rPr>
      <t>" sheet will help you to find the true cost of direct-to-consumer marketing in your business.</t>
    </r>
  </si>
  <si>
    <t>Average price (live)</t>
  </si>
  <si>
    <t>Missouri Beef On-Farm-Finishing Budget for Spring-Calving Herds</t>
  </si>
  <si>
    <t>Soybean meal</t>
  </si>
  <si>
    <t>Feedlot finished steer</t>
  </si>
  <si>
    <t>Feedlot finished heifers</t>
  </si>
  <si>
    <t>Corn silage</t>
  </si>
  <si>
    <t>Salt and mineral</t>
  </si>
  <si>
    <t>per pound</t>
  </si>
  <si>
    <t>Updated: 10/2024</t>
  </si>
  <si>
    <r>
      <t>Farmers can develop a custom enterprise budget by using the Missouri Beef On-Farm-Finishing spreadsheet. The "</t>
    </r>
    <r>
      <rPr>
        <b/>
        <sz val="10"/>
        <color theme="1"/>
        <rFont val="Segoe UI"/>
        <family val="2"/>
      </rPr>
      <t>Budget - Commercial Sale</t>
    </r>
    <r>
      <rPr>
        <sz val="10"/>
        <color theme="1"/>
        <rFont val="Segoe UI"/>
        <family val="2"/>
      </rPr>
      <t>" sheet allows users to make an enterprise budget for a beef operation where calves are raised from birth to slaughter weight. Budget assumes a spring-calving herd and replacements are purchased. Spring-born calves are backgrounded in a feedlot. This budget assumes a 50-cow herd with the owner finishing all calves through their feedlot program, and selling the calves by live weight.</t>
    </r>
  </si>
  <si>
    <t>Refrigerated/retail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</si>
</sst>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quot;$&quot;#,##0.00"/>
    <numFmt numFmtId="165" formatCode="0.0"/>
    <numFmt numFmtId="166" formatCode="0.0%"/>
    <numFmt numFmtId="167" formatCode=";;;"/>
    <numFmt numFmtId="168" formatCode="0.00;[Red]\-0.00"/>
    <numFmt numFmtId="169" formatCode="[$$-409]#,##0.00;[Red]\-[$$-409]#,##0.00"/>
    <numFmt numFmtId="170" formatCode="#,##0.0"/>
    <numFmt numFmtId="171" formatCode="#,##0.0;[Red]#,##0.0"/>
    <numFmt numFmtId="172" formatCode="#,##0;[Red]#,##0"/>
    <numFmt numFmtId="173" formatCode="&quot;$&quot;#,##0"/>
    <numFmt numFmtId="174" formatCode="0.000"/>
    <numFmt numFmtId="175" formatCode="_(* #,##0_);_(* \(#,##0\);_(* &quot;-&quot;??_);_(@_)"/>
    <numFmt numFmtId="176" formatCode="_(* #,##0.0_);_(* \(#,##0.0\);_(* &quot;-&quot;??_);_(@_)"/>
  </numFmts>
  <fonts count="49">
    <font>
      <sz val="11"/>
      <color theme="1"/>
      <name val="Calibri"/>
      <family val="2"/>
      <scheme val="minor"/>
    </font>
    <font>
      <sz val="11"/>
      <color theme="1"/>
      <name val="Calibri"/>
      <family val="2"/>
      <scheme val="minor"/>
    </font>
    <font>
      <sz val="10"/>
      <name val="TimesNewRomanPS"/>
    </font>
    <font>
      <b/>
      <sz val="11"/>
      <color rgb="FF3F3F3F"/>
      <name val="Calibri"/>
      <family val="2"/>
      <scheme val="minor"/>
    </font>
    <font>
      <u/>
      <sz val="11"/>
      <color theme="10"/>
      <name val="Calibri"/>
      <family val="2"/>
      <scheme val="minor"/>
    </font>
    <font>
      <sz val="10"/>
      <color theme="1"/>
      <name val="Segoe UI"/>
      <family val="2"/>
    </font>
    <font>
      <sz val="11"/>
      <color theme="1"/>
      <name val="Segoe UI"/>
      <family val="2"/>
    </font>
    <font>
      <b/>
      <sz val="14"/>
      <color rgb="FFF1B82D"/>
      <name val="Segoe UI"/>
      <family val="2"/>
    </font>
    <font>
      <b/>
      <sz val="11"/>
      <color theme="1"/>
      <name val="Segoe UI"/>
      <family val="2"/>
    </font>
    <font>
      <sz val="12"/>
      <color theme="1"/>
      <name val="Segoe UI"/>
      <family val="2"/>
    </font>
    <font>
      <b/>
      <sz val="11"/>
      <color rgb="FF3F3F3F"/>
      <name val="Segoe UI"/>
      <family val="2"/>
    </font>
    <font>
      <b/>
      <sz val="10"/>
      <color theme="1"/>
      <name val="Segoe UI"/>
      <family val="2"/>
    </font>
    <font>
      <b/>
      <sz val="16"/>
      <color rgb="FFF1B82D"/>
      <name val="Segoe UI"/>
      <family val="2"/>
    </font>
    <font>
      <b/>
      <sz val="11"/>
      <name val="Segoe UI"/>
      <family val="2"/>
    </font>
    <font>
      <sz val="10"/>
      <name val="Segoe UI"/>
      <family val="2"/>
    </font>
    <font>
      <sz val="11"/>
      <name val="Segoe UI"/>
      <family val="2"/>
    </font>
    <font>
      <sz val="11"/>
      <color indexed="8"/>
      <name val="Segoe UI"/>
      <family val="2"/>
    </font>
    <font>
      <b/>
      <sz val="11"/>
      <color indexed="8"/>
      <name val="Segoe UI"/>
      <family val="2"/>
    </font>
    <font>
      <i/>
      <sz val="11"/>
      <color indexed="8"/>
      <name val="Segoe UI"/>
      <family val="2"/>
    </font>
    <font>
      <i/>
      <sz val="11"/>
      <color theme="1"/>
      <name val="Segoe UI"/>
      <family val="2"/>
    </font>
    <font>
      <i/>
      <u/>
      <sz val="11"/>
      <color indexed="8"/>
      <name val="Segoe UI"/>
      <family val="2"/>
    </font>
    <font>
      <sz val="11"/>
      <color indexed="12"/>
      <name val="Segoe UI"/>
      <family val="2"/>
    </font>
    <font>
      <u/>
      <sz val="11"/>
      <color indexed="8"/>
      <name val="Segoe UI"/>
      <family val="2"/>
    </font>
    <font>
      <u/>
      <sz val="11"/>
      <name val="Segoe UI"/>
      <family val="2"/>
    </font>
    <font>
      <i/>
      <u/>
      <sz val="11"/>
      <name val="Segoe UI"/>
      <family val="2"/>
    </font>
    <font>
      <sz val="11"/>
      <color rgb="FF000000"/>
      <name val="Segoe UI"/>
      <family val="2"/>
    </font>
    <font>
      <b/>
      <sz val="11"/>
      <color rgb="FFFFC000"/>
      <name val="Segoe UI"/>
      <family val="2"/>
    </font>
    <font>
      <b/>
      <sz val="12"/>
      <color rgb="FFF1B82D"/>
      <name val="Segoe UI"/>
      <family val="2"/>
    </font>
    <font>
      <sz val="9"/>
      <color indexed="81"/>
      <name val="Tahoma"/>
      <family val="2"/>
    </font>
    <font>
      <sz val="9"/>
      <color theme="1"/>
      <name val="Segoe UI"/>
      <family val="2"/>
    </font>
    <font>
      <b/>
      <sz val="11"/>
      <color rgb="FFF1B82D"/>
      <name val="Segoe UI"/>
      <family val="2"/>
    </font>
    <font>
      <b/>
      <sz val="10"/>
      <color rgb="FFFFC000"/>
      <name val="Segoe UI"/>
      <family val="2"/>
    </font>
    <font>
      <b/>
      <sz val="12"/>
      <name val="Segoe UI"/>
      <family val="2"/>
    </font>
    <font>
      <sz val="12"/>
      <name val="Segoe UI"/>
      <family val="2"/>
    </font>
    <font>
      <sz val="9"/>
      <name val="Segoe UI"/>
      <family val="2"/>
    </font>
    <font>
      <sz val="11"/>
      <color rgb="FFFF0000"/>
      <name val="Segoe UI"/>
      <family val="2"/>
    </font>
    <font>
      <b/>
      <sz val="11"/>
      <name val="Arial"/>
      <family val="2"/>
    </font>
    <font>
      <sz val="11"/>
      <color rgb="FFFFC000"/>
      <name val="Arial"/>
      <family val="2"/>
    </font>
    <font>
      <sz val="11"/>
      <color theme="1"/>
      <name val="Arial"/>
      <family val="2"/>
    </font>
    <font>
      <b/>
      <sz val="9"/>
      <color indexed="81"/>
      <name val="Tahoma"/>
      <family val="2"/>
    </font>
    <font>
      <b/>
      <sz val="14"/>
      <color rgb="FFFFC000"/>
      <name val="Segoe UI"/>
      <family val="2"/>
    </font>
    <font>
      <u/>
      <sz val="11"/>
      <color theme="10"/>
      <name val="Segoe UI"/>
      <family val="2"/>
    </font>
    <font>
      <b/>
      <sz val="14"/>
      <color theme="1"/>
      <name val="Segoe UI"/>
      <family val="2"/>
    </font>
    <font>
      <b/>
      <sz val="11"/>
      <color theme="1"/>
      <name val="Calibri"/>
      <family val="2"/>
      <scheme val="minor"/>
    </font>
    <font>
      <b/>
      <sz val="14"/>
      <color rgb="FFF1B800"/>
      <name val="Calibri"/>
      <family val="2"/>
      <scheme val="minor"/>
    </font>
    <font>
      <sz val="14"/>
      <color theme="1"/>
      <name val="Calibri"/>
      <family val="2"/>
      <scheme val="minor"/>
    </font>
    <font>
      <b/>
      <sz val="11"/>
      <color rgb="FF000000"/>
      <name val="Segoe UI"/>
      <family val="2"/>
    </font>
    <font>
      <b/>
      <sz val="11"/>
      <color theme="0"/>
      <name val="Segoe UI"/>
      <family val="2"/>
    </font>
    <font>
      <sz val="11"/>
      <color theme="0"/>
      <name val="Segoe UI"/>
      <family val="2"/>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
      <patternFill patternType="solid">
        <fgColor rgb="FFFFC00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 fillId="4" borderId="17" applyNumberFormat="0" applyAlignment="0" applyProtection="0"/>
    <xf numFmtId="0" fontId="1" fillId="0" borderId="0"/>
    <xf numFmtId="0" fontId="4" fillId="0" borderId="0" applyNumberFormat="0" applyFill="0" applyBorder="0" applyAlignment="0" applyProtection="0"/>
  </cellStyleXfs>
  <cellXfs count="432">
    <xf numFmtId="0" fontId="0" fillId="0" borderId="0" xfId="0"/>
    <xf numFmtId="0" fontId="6" fillId="0" borderId="0" xfId="7" applyFont="1"/>
    <xf numFmtId="0" fontId="8" fillId="0" borderId="0" xfId="7" applyFont="1"/>
    <xf numFmtId="0" fontId="8" fillId="0" borderId="0" xfId="7" applyFont="1" applyAlignment="1">
      <alignment horizontal="left" indent="4"/>
    </xf>
    <xf numFmtId="0" fontId="9" fillId="0" borderId="0" xfId="7" applyFont="1" applyAlignment="1">
      <alignment vertical="top" wrapText="1"/>
    </xf>
    <xf numFmtId="0" fontId="9" fillId="0" borderId="0" xfId="7" applyFont="1" applyAlignment="1">
      <alignment horizontal="left" vertical="top" wrapText="1"/>
    </xf>
    <xf numFmtId="0" fontId="6" fillId="0" borderId="0" xfId="0" applyFont="1"/>
    <xf numFmtId="0" fontId="15" fillId="0" borderId="0" xfId="0" applyFont="1"/>
    <xf numFmtId="0" fontId="13" fillId="0" borderId="0" xfId="0" applyFont="1"/>
    <xf numFmtId="0" fontId="16" fillId="0" borderId="0" xfId="0" applyFont="1"/>
    <xf numFmtId="40" fontId="17" fillId="0" borderId="1" xfId="0" applyNumberFormat="1" applyFont="1" applyBorder="1"/>
    <xf numFmtId="0" fontId="18" fillId="0" borderId="0" xfId="0" applyFont="1"/>
    <xf numFmtId="0" fontId="20" fillId="0" borderId="0" xfId="0" applyFont="1"/>
    <xf numFmtId="0" fontId="21" fillId="0" borderId="0" xfId="0" applyFont="1" applyProtection="1">
      <protection locked="0"/>
    </xf>
    <xf numFmtId="9" fontId="21" fillId="0" borderId="0" xfId="0" applyNumberFormat="1" applyFont="1" applyProtection="1">
      <protection locked="0"/>
    </xf>
    <xf numFmtId="3" fontId="21" fillId="0" borderId="0" xfId="0" applyNumberFormat="1" applyFont="1" applyProtection="1">
      <protection locked="0"/>
    </xf>
    <xf numFmtId="3" fontId="15" fillId="0" borderId="0" xfId="0" applyNumberFormat="1" applyFont="1"/>
    <xf numFmtId="0" fontId="22" fillId="0" borderId="0" xfId="0" applyFont="1" applyAlignment="1">
      <alignment horizontal="right"/>
    </xf>
    <xf numFmtId="0" fontId="23" fillId="0" borderId="0" xfId="0" applyFont="1" applyAlignment="1">
      <alignment horizontal="right"/>
    </xf>
    <xf numFmtId="169" fontId="16" fillId="0" borderId="0" xfId="0" applyNumberFormat="1" applyFont="1"/>
    <xf numFmtId="169" fontId="22" fillId="0" borderId="0" xfId="0" applyNumberFormat="1" applyFont="1" applyAlignment="1">
      <alignment horizontal="center"/>
    </xf>
    <xf numFmtId="4" fontId="16" fillId="0" borderId="0" xfId="0" quotePrefix="1" applyNumberFormat="1" applyFont="1"/>
    <xf numFmtId="169" fontId="16" fillId="0" borderId="0" xfId="0" quotePrefix="1" applyNumberFormat="1" applyFont="1"/>
    <xf numFmtId="169" fontId="21" fillId="0" borderId="0" xfId="0" applyNumberFormat="1" applyFont="1" applyProtection="1">
      <protection locked="0"/>
    </xf>
    <xf numFmtId="165" fontId="21" fillId="0" borderId="0" xfId="0" applyNumberFormat="1" applyFont="1" applyProtection="1">
      <protection locked="0"/>
    </xf>
    <xf numFmtId="170" fontId="15" fillId="0" borderId="0" xfId="0" applyNumberFormat="1" applyFont="1"/>
    <xf numFmtId="4" fontId="15" fillId="0" borderId="0" xfId="0" applyNumberFormat="1" applyFont="1"/>
    <xf numFmtId="0" fontId="16" fillId="0" borderId="0" xfId="0" applyFont="1" applyAlignment="1">
      <alignment horizontal="left"/>
    </xf>
    <xf numFmtId="0" fontId="15" fillId="0" borderId="0" xfId="0" applyFont="1" applyAlignment="1">
      <alignment horizontal="left"/>
    </xf>
    <xf numFmtId="171" fontId="16" fillId="0" borderId="0" xfId="0" applyNumberFormat="1" applyFont="1"/>
    <xf numFmtId="170" fontId="16" fillId="0" borderId="0" xfId="0" applyNumberFormat="1" applyFont="1"/>
    <xf numFmtId="165" fontId="15" fillId="0" borderId="0" xfId="0" applyNumberFormat="1" applyFont="1"/>
    <xf numFmtId="4" fontId="15" fillId="0" borderId="0" xfId="0" applyNumberFormat="1" applyFont="1" applyProtection="1">
      <protection locked="0"/>
    </xf>
    <xf numFmtId="2" fontId="15" fillId="0" borderId="0" xfId="0" applyNumberFormat="1" applyFont="1"/>
    <xf numFmtId="164" fontId="15" fillId="0" borderId="0" xfId="0" applyNumberFormat="1" applyFont="1"/>
    <xf numFmtId="0" fontId="24" fillId="0" borderId="0" xfId="0" applyFont="1"/>
    <xf numFmtId="0" fontId="15" fillId="0" borderId="0" xfId="0" quotePrefix="1" applyFont="1"/>
    <xf numFmtId="0" fontId="22" fillId="0" borderId="0" xfId="0" applyFont="1"/>
    <xf numFmtId="0" fontId="15" fillId="0" borderId="0" xfId="0" applyFont="1" applyAlignment="1">
      <alignment horizontal="right"/>
    </xf>
    <xf numFmtId="164" fontId="23" fillId="0" borderId="0" xfId="0" applyNumberFormat="1" applyFont="1" applyAlignment="1">
      <alignment horizontal="right"/>
    </xf>
    <xf numFmtId="169" fontId="15" fillId="0" borderId="0" xfId="0" applyNumberFormat="1" applyFont="1"/>
    <xf numFmtId="2" fontId="15" fillId="0" borderId="0" xfId="0" applyNumberFormat="1" applyFont="1" applyProtection="1">
      <protection locked="0"/>
    </xf>
    <xf numFmtId="9" fontId="15" fillId="0" borderId="0" xfId="0" applyNumberFormat="1" applyFont="1"/>
    <xf numFmtId="165" fontId="15" fillId="0" borderId="0" xfId="0" applyNumberFormat="1" applyFont="1" applyProtection="1">
      <protection locked="0"/>
    </xf>
    <xf numFmtId="172" fontId="15" fillId="0" borderId="0" xfId="0" applyNumberFormat="1" applyFont="1"/>
    <xf numFmtId="4" fontId="21" fillId="0" borderId="0" xfId="0" applyNumberFormat="1" applyFont="1" applyProtection="1">
      <protection locked="0"/>
    </xf>
    <xf numFmtId="164" fontId="21" fillId="0" borderId="0" xfId="0" applyNumberFormat="1" applyFont="1" applyProtection="1">
      <protection locked="0"/>
    </xf>
    <xf numFmtId="1" fontId="21" fillId="0" borderId="0" xfId="0" applyNumberFormat="1" applyFont="1" applyProtection="1">
      <protection locked="0"/>
    </xf>
    <xf numFmtId="172" fontId="16" fillId="0" borderId="0" xfId="0" applyNumberFormat="1" applyFont="1"/>
    <xf numFmtId="2" fontId="16" fillId="0" borderId="0" xfId="0" applyNumberFormat="1" applyFont="1"/>
    <xf numFmtId="2" fontId="21" fillId="0" borderId="0" xfId="0" applyNumberFormat="1" applyFont="1" applyProtection="1">
      <protection locked="0"/>
    </xf>
    <xf numFmtId="173" fontId="21" fillId="0" borderId="0" xfId="0" applyNumberFormat="1" applyFont="1" applyProtection="1">
      <protection locked="0"/>
    </xf>
    <xf numFmtId="164" fontId="21" fillId="0" borderId="0" xfId="0" applyNumberFormat="1" applyFont="1"/>
    <xf numFmtId="9" fontId="16" fillId="0" borderId="0" xfId="0" applyNumberFormat="1" applyFont="1"/>
    <xf numFmtId="174" fontId="21" fillId="0" borderId="0" xfId="0" applyNumberFormat="1" applyFont="1" applyProtection="1">
      <protection locked="0"/>
    </xf>
    <xf numFmtId="0" fontId="6" fillId="0" borderId="7" xfId="0" applyFont="1" applyBorder="1"/>
    <xf numFmtId="175" fontId="6" fillId="0" borderId="0" xfId="3" applyNumberFormat="1" applyFont="1" applyBorder="1"/>
    <xf numFmtId="0" fontId="6" fillId="0" borderId="9" xfId="0" applyFont="1" applyBorder="1"/>
    <xf numFmtId="0" fontId="6" fillId="0" borderId="1" xfId="0" applyFont="1" applyBorder="1"/>
    <xf numFmtId="175" fontId="6" fillId="0" borderId="1" xfId="3" applyNumberFormat="1" applyFont="1" applyBorder="1"/>
    <xf numFmtId="175" fontId="6" fillId="0" borderId="0" xfId="0" applyNumberFormat="1" applyFont="1"/>
    <xf numFmtId="0" fontId="26" fillId="3" borderId="15" xfId="0" applyFont="1" applyFill="1" applyBorder="1"/>
    <xf numFmtId="4" fontId="6" fillId="0" borderId="0" xfId="0" applyNumberFormat="1" applyFont="1"/>
    <xf numFmtId="0" fontId="26" fillId="3" borderId="15" xfId="0" applyFont="1" applyFill="1" applyBorder="1" applyAlignment="1">
      <alignment horizontal="right"/>
    </xf>
    <xf numFmtId="0" fontId="26" fillId="3" borderId="16" xfId="0" applyFont="1" applyFill="1" applyBorder="1" applyAlignment="1">
      <alignment horizontal="right"/>
    </xf>
    <xf numFmtId="0" fontId="5" fillId="0" borderId="0" xfId="0" applyFont="1"/>
    <xf numFmtId="39" fontId="15" fillId="0" borderId="0" xfId="0" applyNumberFormat="1" applyFont="1"/>
    <xf numFmtId="39" fontId="6" fillId="0" borderId="0" xfId="0" applyNumberFormat="1" applyFont="1"/>
    <xf numFmtId="0" fontId="6" fillId="0" borderId="11" xfId="0" applyFont="1" applyBorder="1"/>
    <xf numFmtId="0" fontId="14" fillId="0" borderId="0" xfId="0" applyFont="1"/>
    <xf numFmtId="3" fontId="15" fillId="0" borderId="0" xfId="0" applyNumberFormat="1" applyFont="1" applyAlignment="1">
      <alignment wrapText="1"/>
    </xf>
    <xf numFmtId="44" fontId="6" fillId="5" borderId="0" xfId="4" applyFont="1" applyFill="1" applyBorder="1"/>
    <xf numFmtId="0" fontId="6" fillId="5" borderId="0" xfId="0" applyFont="1" applyFill="1"/>
    <xf numFmtId="43" fontId="6" fillId="5" borderId="0" xfId="0" applyNumberFormat="1" applyFont="1" applyFill="1"/>
    <xf numFmtId="0" fontId="15" fillId="5" borderId="0" xfId="0" applyFont="1" applyFill="1"/>
    <xf numFmtId="0" fontId="16" fillId="5" borderId="0" xfId="0" applyFont="1" applyFill="1"/>
    <xf numFmtId="168" fontId="16" fillId="5" borderId="0" xfId="0" quotePrefix="1" applyNumberFormat="1" applyFont="1" applyFill="1"/>
    <xf numFmtId="0" fontId="15" fillId="5" borderId="7" xfId="0" applyFont="1" applyFill="1" applyBorder="1"/>
    <xf numFmtId="0" fontId="16" fillId="5" borderId="9" xfId="0" applyFont="1" applyFill="1" applyBorder="1"/>
    <xf numFmtId="0" fontId="16" fillId="5" borderId="1" xfId="0" applyFont="1" applyFill="1" applyBorder="1"/>
    <xf numFmtId="9" fontId="17" fillId="5" borderId="1" xfId="0" applyNumberFormat="1" applyFont="1" applyFill="1" applyBorder="1"/>
    <xf numFmtId="0" fontId="17" fillId="5" borderId="7" xfId="0" applyFont="1" applyFill="1" applyBorder="1"/>
    <xf numFmtId="167" fontId="16" fillId="5" borderId="7" xfId="0" applyNumberFormat="1" applyFont="1" applyFill="1" applyBorder="1"/>
    <xf numFmtId="0" fontId="17" fillId="5" borderId="1" xfId="0" applyFont="1" applyFill="1" applyBorder="1"/>
    <xf numFmtId="0" fontId="17" fillId="5" borderId="1" xfId="0" applyFont="1" applyFill="1" applyBorder="1" applyAlignment="1">
      <alignment horizontal="right"/>
    </xf>
    <xf numFmtId="40" fontId="16" fillId="5" borderId="8" xfId="0" applyNumberFormat="1" applyFont="1" applyFill="1" applyBorder="1"/>
    <xf numFmtId="0" fontId="16" fillId="5" borderId="7" xfId="0" applyFont="1" applyFill="1" applyBorder="1"/>
    <xf numFmtId="0" fontId="18" fillId="5" borderId="7" xfId="0" applyFont="1" applyFill="1" applyBorder="1"/>
    <xf numFmtId="167" fontId="16" fillId="5" borderId="7" xfId="0" quotePrefix="1" applyNumberFormat="1" applyFont="1" applyFill="1" applyBorder="1"/>
    <xf numFmtId="0" fontId="16" fillId="5" borderId="11" xfId="0" applyFont="1" applyFill="1" applyBorder="1"/>
    <xf numFmtId="0" fontId="6" fillId="5" borderId="3" xfId="0" applyFont="1" applyFill="1" applyBorder="1"/>
    <xf numFmtId="0" fontId="17" fillId="5" borderId="3" xfId="0" applyFont="1" applyFill="1" applyBorder="1"/>
    <xf numFmtId="40" fontId="17" fillId="5" borderId="3" xfId="0" applyNumberFormat="1" applyFont="1" applyFill="1" applyBorder="1"/>
    <xf numFmtId="40" fontId="16" fillId="5" borderId="8" xfId="0" quotePrefix="1" applyNumberFormat="1" applyFont="1" applyFill="1" applyBorder="1"/>
    <xf numFmtId="40" fontId="16" fillId="5" borderId="1" xfId="0" applyNumberFormat="1" applyFont="1" applyFill="1" applyBorder="1"/>
    <xf numFmtId="39" fontId="15" fillId="2" borderId="0" xfId="4" applyNumberFormat="1" applyFont="1" applyFill="1" applyBorder="1"/>
    <xf numFmtId="0" fontId="6" fillId="2" borderId="0" xfId="0" applyFont="1" applyFill="1"/>
    <xf numFmtId="165" fontId="6" fillId="0" borderId="8" xfId="0" applyNumberFormat="1" applyFont="1" applyBorder="1"/>
    <xf numFmtId="165" fontId="6" fillId="0" borderId="0" xfId="0" applyNumberFormat="1" applyFont="1"/>
    <xf numFmtId="0" fontId="6" fillId="2" borderId="1" xfId="0" applyFont="1" applyFill="1" applyBorder="1"/>
    <xf numFmtId="165" fontId="6" fillId="0" borderId="10" xfId="0" applyNumberFormat="1" applyFont="1" applyBorder="1"/>
    <xf numFmtId="9" fontId="6" fillId="0" borderId="0" xfId="1" applyFont="1"/>
    <xf numFmtId="165" fontId="6" fillId="0" borderId="1" xfId="0" applyNumberFormat="1" applyFont="1" applyBorder="1"/>
    <xf numFmtId="0" fontId="8" fillId="0" borderId="11" xfId="0" applyFont="1" applyBorder="1"/>
    <xf numFmtId="0" fontId="6" fillId="0" borderId="3" xfId="0" applyFont="1" applyBorder="1"/>
    <xf numFmtId="44" fontId="6" fillId="0" borderId="0" xfId="4" applyFont="1"/>
    <xf numFmtId="165" fontId="15" fillId="5" borderId="8" xfId="0" applyNumberFormat="1" applyFont="1" applyFill="1" applyBorder="1" applyAlignment="1">
      <alignment horizontal="right"/>
    </xf>
    <xf numFmtId="0" fontId="25" fillId="5" borderId="8" xfId="0" applyFont="1" applyFill="1" applyBorder="1" applyAlignment="1">
      <alignment horizontal="center"/>
    </xf>
    <xf numFmtId="0" fontId="6" fillId="5" borderId="0" xfId="0" applyFont="1" applyFill="1" applyAlignment="1">
      <alignment vertical="top" wrapText="1"/>
    </xf>
    <xf numFmtId="0" fontId="6" fillId="5" borderId="0" xfId="0" applyFont="1" applyFill="1" applyAlignment="1">
      <alignment horizontal="left" vertical="top" wrapText="1"/>
    </xf>
    <xf numFmtId="0" fontId="16" fillId="5" borderId="3" xfId="0" applyFont="1" applyFill="1" applyBorder="1"/>
    <xf numFmtId="175" fontId="15" fillId="5" borderId="8" xfId="3" applyNumberFormat="1" applyFont="1" applyFill="1" applyBorder="1"/>
    <xf numFmtId="2" fontId="6" fillId="2" borderId="0" xfId="0" applyNumberFormat="1" applyFont="1" applyFill="1"/>
    <xf numFmtId="2" fontId="6" fillId="2" borderId="1" xfId="0" applyNumberFormat="1" applyFont="1" applyFill="1" applyBorder="1"/>
    <xf numFmtId="39" fontId="6" fillId="0" borderId="8" xfId="4" applyNumberFormat="1" applyFont="1" applyBorder="1"/>
    <xf numFmtId="39" fontId="6" fillId="0" borderId="10" xfId="4" applyNumberFormat="1" applyFont="1" applyBorder="1"/>
    <xf numFmtId="39" fontId="6" fillId="0" borderId="12" xfId="4" applyNumberFormat="1" applyFont="1" applyBorder="1"/>
    <xf numFmtId="9" fontId="6" fillId="2" borderId="0" xfId="1" applyFont="1" applyFill="1" applyBorder="1"/>
    <xf numFmtId="9" fontId="6" fillId="2" borderId="1" xfId="1" applyFont="1" applyFill="1" applyBorder="1"/>
    <xf numFmtId="3" fontId="6" fillId="2" borderId="0" xfId="0" applyNumberFormat="1" applyFont="1" applyFill="1"/>
    <xf numFmtId="3" fontId="6" fillId="2" borderId="1" xfId="0" applyNumberFormat="1" applyFont="1" applyFill="1" applyBorder="1"/>
    <xf numFmtId="0" fontId="26" fillId="5" borderId="0" xfId="0" applyFont="1" applyFill="1"/>
    <xf numFmtId="0" fontId="8" fillId="5" borderId="0" xfId="0" applyFont="1" applyFill="1"/>
    <xf numFmtId="44" fontId="6" fillId="5" borderId="0" xfId="0" applyNumberFormat="1" applyFont="1" applyFill="1"/>
    <xf numFmtId="0" fontId="8" fillId="5" borderId="0" xfId="0" applyFont="1" applyFill="1" applyAlignment="1">
      <alignment horizontal="center"/>
    </xf>
    <xf numFmtId="0" fontId="26" fillId="5" borderId="0" xfId="0" applyFont="1" applyFill="1" applyAlignment="1">
      <alignment wrapText="1"/>
    </xf>
    <xf numFmtId="0" fontId="15" fillId="5" borderId="0" xfId="0" applyFont="1" applyFill="1" applyAlignment="1">
      <alignment wrapText="1"/>
    </xf>
    <xf numFmtId="3" fontId="15" fillId="5" borderId="0" xfId="0" applyNumberFormat="1" applyFont="1" applyFill="1" applyAlignment="1">
      <alignment wrapText="1"/>
    </xf>
    <xf numFmtId="2" fontId="15" fillId="5" borderId="0" xfId="0" applyNumberFormat="1" applyFont="1" applyFill="1" applyAlignment="1">
      <alignment wrapText="1"/>
    </xf>
    <xf numFmtId="2" fontId="8" fillId="5" borderId="0" xfId="0" applyNumberFormat="1" applyFont="1" applyFill="1"/>
    <xf numFmtId="175" fontId="6" fillId="5" borderId="0" xfId="3" applyNumberFormat="1" applyFont="1" applyFill="1" applyBorder="1"/>
    <xf numFmtId="44" fontId="8" fillId="5" borderId="0" xfId="0" applyNumberFormat="1" applyFont="1" applyFill="1"/>
    <xf numFmtId="0" fontId="26" fillId="3" borderId="3" xfId="0" applyFont="1" applyFill="1" applyBorder="1" applyAlignment="1">
      <alignment horizontal="right"/>
    </xf>
    <xf numFmtId="0" fontId="5" fillId="0" borderId="1" xfId="0" applyFont="1" applyBorder="1"/>
    <xf numFmtId="175" fontId="6" fillId="0" borderId="1" xfId="0" applyNumberFormat="1" applyFont="1" applyBorder="1"/>
    <xf numFmtId="39" fontId="6" fillId="0" borderId="1" xfId="0" applyNumberFormat="1" applyFont="1" applyBorder="1"/>
    <xf numFmtId="4" fontId="6" fillId="0" borderId="1" xfId="0" applyNumberFormat="1" applyFont="1" applyBorder="1"/>
    <xf numFmtId="2" fontId="6" fillId="0" borderId="0" xfId="0" applyNumberFormat="1" applyFont="1"/>
    <xf numFmtId="1" fontId="6" fillId="0" borderId="0" xfId="0" applyNumberFormat="1" applyFont="1"/>
    <xf numFmtId="0" fontId="26" fillId="3" borderId="0" xfId="0" applyFont="1" applyFill="1" applyAlignment="1">
      <alignment horizontal="right" wrapText="1"/>
    </xf>
    <xf numFmtId="0" fontId="26" fillId="3" borderId="8" xfId="0" applyFont="1" applyFill="1" applyBorder="1" applyAlignment="1">
      <alignment horizontal="right" wrapText="1"/>
    </xf>
    <xf numFmtId="3" fontId="6" fillId="0" borderId="0" xfId="0" applyNumberFormat="1" applyFont="1"/>
    <xf numFmtId="3" fontId="6" fillId="0" borderId="3" xfId="0" applyNumberFormat="1" applyFont="1" applyBorder="1"/>
    <xf numFmtId="39" fontId="6" fillId="0" borderId="3" xfId="0" applyNumberFormat="1" applyFont="1" applyBorder="1"/>
    <xf numFmtId="0" fontId="26" fillId="3" borderId="14" xfId="0" applyFont="1" applyFill="1" applyBorder="1"/>
    <xf numFmtId="0" fontId="6" fillId="0" borderId="20" xfId="0" applyFont="1" applyBorder="1"/>
    <xf numFmtId="0" fontId="6" fillId="0" borderId="21" xfId="0" applyFont="1" applyBorder="1"/>
    <xf numFmtId="0" fontId="8" fillId="0" borderId="21" xfId="0" applyFont="1" applyBorder="1"/>
    <xf numFmtId="2" fontId="8" fillId="0" borderId="21" xfId="0" applyNumberFormat="1" applyFont="1" applyBorder="1"/>
    <xf numFmtId="175" fontId="6" fillId="0" borderId="21" xfId="3" applyNumberFormat="1" applyFont="1" applyBorder="1"/>
    <xf numFmtId="0" fontId="8" fillId="0" borderId="3" xfId="0" applyFont="1" applyBorder="1" applyAlignment="1">
      <alignment horizontal="right"/>
    </xf>
    <xf numFmtId="39" fontId="8" fillId="0" borderId="12" xfId="0" applyNumberFormat="1" applyFont="1" applyBorder="1"/>
    <xf numFmtId="4" fontId="6" fillId="0" borderId="8" xfId="4" applyNumberFormat="1" applyFont="1" applyBorder="1"/>
    <xf numFmtId="4" fontId="6" fillId="0" borderId="10" xfId="4" applyNumberFormat="1" applyFont="1" applyBorder="1"/>
    <xf numFmtId="4" fontId="8" fillId="0" borderId="3" xfId="0" applyNumberFormat="1" applyFont="1" applyBorder="1" applyAlignment="1">
      <alignment horizontal="right"/>
    </xf>
    <xf numFmtId="4" fontId="8" fillId="0" borderId="12" xfId="0" applyNumberFormat="1" applyFont="1" applyBorder="1"/>
    <xf numFmtId="39" fontId="15" fillId="0" borderId="8" xfId="0" applyNumberFormat="1" applyFont="1" applyBorder="1"/>
    <xf numFmtId="0" fontId="8" fillId="0" borderId="21" xfId="0" applyFont="1" applyBorder="1" applyAlignment="1">
      <alignment horizontal="right"/>
    </xf>
    <xf numFmtId="39" fontId="8" fillId="0" borderId="22" xfId="0" applyNumberFormat="1" applyFont="1" applyBorder="1"/>
    <xf numFmtId="0" fontId="29" fillId="0" borderId="11" xfId="0" applyFont="1" applyBorder="1"/>
    <xf numFmtId="37" fontId="6" fillId="5" borderId="0" xfId="4" applyNumberFormat="1" applyFont="1" applyFill="1"/>
    <xf numFmtId="39" fontId="6" fillId="5" borderId="0" xfId="4" applyNumberFormat="1" applyFont="1" applyFill="1"/>
    <xf numFmtId="9" fontId="6" fillId="5" borderId="0" xfId="1" applyFont="1" applyFill="1"/>
    <xf numFmtId="0" fontId="30" fillId="5" borderId="0" xfId="0" quotePrefix="1" applyFont="1" applyFill="1" applyAlignment="1">
      <alignment horizontal="center"/>
    </xf>
    <xf numFmtId="0" fontId="13" fillId="5" borderId="0" xfId="0" applyFont="1" applyFill="1" applyAlignment="1">
      <alignment horizontal="center"/>
    </xf>
    <xf numFmtId="175" fontId="30" fillId="5" borderId="0" xfId="5" applyNumberFormat="1" applyFont="1" applyFill="1" applyBorder="1" applyAlignment="1">
      <alignment horizontal="right"/>
    </xf>
    <xf numFmtId="175" fontId="13" fillId="5" borderId="0" xfId="5" applyNumberFormat="1" applyFont="1" applyFill="1" applyBorder="1" applyAlignment="1">
      <alignment horizontal="center"/>
    </xf>
    <xf numFmtId="43" fontId="15" fillId="0" borderId="0" xfId="3" applyFont="1"/>
    <xf numFmtId="43" fontId="15" fillId="0" borderId="0" xfId="3" applyFont="1" applyFill="1" applyBorder="1"/>
    <xf numFmtId="43" fontId="15" fillId="5" borderId="0" xfId="3" applyFont="1" applyFill="1" applyBorder="1"/>
    <xf numFmtId="0" fontId="15" fillId="0" borderId="1" xfId="0" applyFont="1" applyBorder="1"/>
    <xf numFmtId="43" fontId="13" fillId="5" borderId="0" xfId="3" applyFont="1" applyFill="1" applyBorder="1" applyAlignment="1">
      <alignment horizontal="center"/>
    </xf>
    <xf numFmtId="175" fontId="31" fillId="3" borderId="19" xfId="5" applyNumberFormat="1" applyFont="1" applyFill="1" applyBorder="1" applyAlignment="1">
      <alignment horizontal="right"/>
    </xf>
    <xf numFmtId="175" fontId="26" fillId="3" borderId="14" xfId="5" applyNumberFormat="1" applyFont="1" applyFill="1" applyBorder="1" applyAlignment="1">
      <alignment horizontal="left"/>
    </xf>
    <xf numFmtId="175" fontId="26" fillId="3" borderId="19" xfId="5" applyNumberFormat="1" applyFont="1" applyFill="1" applyBorder="1" applyAlignment="1">
      <alignment horizontal="right"/>
    </xf>
    <xf numFmtId="175" fontId="26" fillId="3" borderId="0" xfId="5" applyNumberFormat="1" applyFont="1" applyFill="1" applyBorder="1" applyAlignment="1">
      <alignment horizontal="left"/>
    </xf>
    <xf numFmtId="0" fontId="33" fillId="0" borderId="0" xfId="0" applyFont="1"/>
    <xf numFmtId="0" fontId="33" fillId="0" borderId="1" xfId="0" applyFont="1" applyBorder="1"/>
    <xf numFmtId="0" fontId="26" fillId="3" borderId="7" xfId="0" applyFont="1" applyFill="1" applyBorder="1"/>
    <xf numFmtId="0" fontId="6" fillId="0" borderId="0" xfId="0" applyFont="1" applyAlignment="1">
      <alignment horizontal="center"/>
    </xf>
    <xf numFmtId="0" fontId="15" fillId="5" borderId="0" xfId="0" applyFont="1" applyFill="1" applyAlignment="1">
      <alignment horizontal="left"/>
    </xf>
    <xf numFmtId="175" fontId="14" fillId="5" borderId="0" xfId="3" applyNumberFormat="1" applyFont="1" applyFill="1" applyBorder="1"/>
    <xf numFmtId="175" fontId="31" fillId="3" borderId="25" xfId="5" applyNumberFormat="1" applyFont="1" applyFill="1" applyBorder="1" applyAlignment="1">
      <alignment horizontal="right"/>
    </xf>
    <xf numFmtId="175" fontId="31" fillId="3" borderId="26" xfId="5" applyNumberFormat="1" applyFont="1" applyFill="1" applyBorder="1" applyAlignment="1">
      <alignment horizontal="right"/>
    </xf>
    <xf numFmtId="0" fontId="26" fillId="3" borderId="27" xfId="0" quotePrefix="1" applyFont="1" applyFill="1" applyBorder="1"/>
    <xf numFmtId="0" fontId="26" fillId="3" borderId="1" xfId="0" applyFont="1" applyFill="1" applyBorder="1" applyAlignment="1">
      <alignment horizontal="right"/>
    </xf>
    <xf numFmtId="0" fontId="31" fillId="3" borderId="1" xfId="0" applyFont="1" applyFill="1" applyBorder="1" applyAlignment="1">
      <alignment horizontal="right"/>
    </xf>
    <xf numFmtId="0" fontId="31" fillId="3" borderId="28" xfId="0" applyFont="1" applyFill="1" applyBorder="1" applyAlignment="1">
      <alignment horizontal="right"/>
    </xf>
    <xf numFmtId="0" fontId="15" fillId="5" borderId="1" xfId="0" applyFont="1" applyFill="1" applyBorder="1"/>
    <xf numFmtId="0" fontId="26" fillId="3" borderId="5" xfId="0" applyFont="1" applyFill="1" applyBorder="1"/>
    <xf numFmtId="4" fontId="6" fillId="2" borderId="0" xfId="4" applyNumberFormat="1" applyFont="1" applyFill="1" applyBorder="1"/>
    <xf numFmtId="4" fontId="6" fillId="2" borderId="0" xfId="3" applyNumberFormat="1" applyFont="1" applyFill="1" applyBorder="1"/>
    <xf numFmtId="40" fontId="17" fillId="5" borderId="1" xfId="0" applyNumberFormat="1" applyFont="1" applyFill="1" applyBorder="1"/>
    <xf numFmtId="0" fontId="13" fillId="5" borderId="1" xfId="0" applyFont="1" applyFill="1" applyBorder="1" applyAlignment="1">
      <alignment horizontal="right"/>
    </xf>
    <xf numFmtId="40" fontId="13" fillId="5" borderId="1" xfId="0" applyNumberFormat="1" applyFont="1" applyFill="1" applyBorder="1"/>
    <xf numFmtId="0" fontId="8" fillId="0" borderId="3" xfId="0" applyFont="1" applyBorder="1"/>
    <xf numFmtId="165" fontId="8" fillId="0" borderId="12" xfId="0" applyNumberFormat="1" applyFont="1" applyBorder="1"/>
    <xf numFmtId="0" fontId="6" fillId="0" borderId="0" xfId="0" applyFont="1" applyAlignment="1">
      <alignment horizontal="left"/>
    </xf>
    <xf numFmtId="0" fontId="26" fillId="3" borderId="29" xfId="0" applyFont="1" applyFill="1" applyBorder="1"/>
    <xf numFmtId="0" fontId="26" fillId="3" borderId="2" xfId="0" applyFont="1" applyFill="1" applyBorder="1" applyAlignment="1">
      <alignment horizontal="right"/>
    </xf>
    <xf numFmtId="0" fontId="26" fillId="3" borderId="30" xfId="0" applyFont="1" applyFill="1" applyBorder="1" applyAlignment="1">
      <alignment horizontal="right"/>
    </xf>
    <xf numFmtId="39" fontId="15" fillId="2" borderId="1" xfId="4" applyNumberFormat="1" applyFont="1" applyFill="1" applyBorder="1"/>
    <xf numFmtId="4" fontId="6" fillId="2" borderId="1" xfId="4" applyNumberFormat="1" applyFont="1" applyFill="1" applyBorder="1"/>
    <xf numFmtId="0" fontId="34" fillId="0" borderId="0" xfId="0" applyFont="1"/>
    <xf numFmtId="0" fontId="34" fillId="0" borderId="1" xfId="0" applyFont="1" applyBorder="1"/>
    <xf numFmtId="0" fontId="35" fillId="0" borderId="0" xfId="0" applyFont="1"/>
    <xf numFmtId="0" fontId="35" fillId="5" borderId="0" xfId="0" applyFont="1" applyFill="1"/>
    <xf numFmtId="0" fontId="6" fillId="5" borderId="0" xfId="0" applyFont="1" applyFill="1" applyAlignment="1">
      <alignment vertical="top"/>
    </xf>
    <xf numFmtId="44" fontId="35" fillId="5" borderId="0" xfId="4" quotePrefix="1" applyFont="1" applyFill="1"/>
    <xf numFmtId="40" fontId="15" fillId="5" borderId="1" xfId="0" quotePrefix="1" applyNumberFormat="1" applyFont="1" applyFill="1" applyBorder="1"/>
    <xf numFmtId="43" fontId="15" fillId="0" borderId="0" xfId="3" applyFont="1" applyBorder="1" applyAlignment="1">
      <alignment horizontal="left"/>
    </xf>
    <xf numFmtId="0" fontId="34" fillId="0" borderId="0" xfId="3" applyNumberFormat="1" applyFont="1" applyBorder="1" applyAlignment="1">
      <alignment horizontal="left"/>
    </xf>
    <xf numFmtId="176" fontId="6" fillId="0" borderId="0" xfId="3" applyNumberFormat="1" applyFont="1" applyFill="1" applyBorder="1"/>
    <xf numFmtId="44" fontId="15" fillId="0" borderId="0" xfId="0" applyNumberFormat="1" applyFont="1"/>
    <xf numFmtId="44" fontId="15" fillId="0" borderId="0" xfId="4" quotePrefix="1" applyFont="1" applyFill="1"/>
    <xf numFmtId="0" fontId="37" fillId="3" borderId="7" xfId="0" applyFont="1" applyFill="1" applyBorder="1"/>
    <xf numFmtId="0" fontId="37" fillId="3" borderId="8" xfId="0" applyFont="1" applyFill="1" applyBorder="1"/>
    <xf numFmtId="0" fontId="38" fillId="0" borderId="7" xfId="0" applyFont="1" applyBorder="1"/>
    <xf numFmtId="166" fontId="38" fillId="2" borderId="8" xfId="1" applyNumberFormat="1" applyFont="1" applyFill="1" applyBorder="1"/>
    <xf numFmtId="0" fontId="38" fillId="0" borderId="11" xfId="0" applyFont="1" applyBorder="1"/>
    <xf numFmtId="166" fontId="38" fillId="2" borderId="12" xfId="1" applyNumberFormat="1" applyFont="1" applyFill="1" applyBorder="1"/>
    <xf numFmtId="0" fontId="18" fillId="5" borderId="0" xfId="0" applyFont="1" applyFill="1"/>
    <xf numFmtId="0" fontId="17" fillId="5" borderId="0" xfId="0" applyFont="1" applyFill="1"/>
    <xf numFmtId="40" fontId="16" fillId="5" borderId="0" xfId="0" quotePrefix="1" applyNumberFormat="1" applyFont="1" applyFill="1"/>
    <xf numFmtId="0" fontId="12" fillId="3" borderId="6" xfId="0" quotePrefix="1" applyFont="1" applyFill="1" applyBorder="1" applyAlignment="1">
      <alignment horizontal="center"/>
    </xf>
    <xf numFmtId="0" fontId="15" fillId="5" borderId="4" xfId="0" applyFont="1" applyFill="1" applyBorder="1"/>
    <xf numFmtId="0" fontId="15" fillId="5" borderId="5" xfId="0" applyFont="1" applyFill="1" applyBorder="1"/>
    <xf numFmtId="0" fontId="15" fillId="2" borderId="5" xfId="0" applyFont="1" applyFill="1" applyBorder="1"/>
    <xf numFmtId="0" fontId="13" fillId="5" borderId="6" xfId="0" applyFont="1" applyFill="1" applyBorder="1"/>
    <xf numFmtId="0" fontId="19" fillId="5" borderId="0" xfId="0" applyFont="1" applyFill="1"/>
    <xf numFmtId="0" fontId="10" fillId="5" borderId="0" xfId="6" applyFont="1" applyFill="1" applyBorder="1" applyAlignment="1"/>
    <xf numFmtId="175" fontId="31" fillId="3" borderId="19" xfId="5" applyNumberFormat="1" applyFont="1" applyFill="1" applyBorder="1" applyAlignment="1">
      <alignment horizontal="right" wrapText="1"/>
    </xf>
    <xf numFmtId="0" fontId="26" fillId="3" borderId="12" xfId="0" applyFont="1" applyFill="1" applyBorder="1" applyAlignment="1">
      <alignment horizontal="right" wrapText="1"/>
    </xf>
    <xf numFmtId="0" fontId="6" fillId="5" borderId="7" xfId="0" applyFont="1" applyFill="1" applyBorder="1" applyAlignment="1">
      <alignment vertical="top" wrapText="1"/>
    </xf>
    <xf numFmtId="40" fontId="16" fillId="5" borderId="0" xfId="0" applyNumberFormat="1" applyFont="1" applyFill="1"/>
    <xf numFmtId="0" fontId="6" fillId="5" borderId="8" xfId="0" applyFont="1" applyFill="1" applyBorder="1"/>
    <xf numFmtId="0" fontId="6" fillId="5" borderId="10" xfId="0" applyFont="1" applyFill="1" applyBorder="1"/>
    <xf numFmtId="2" fontId="8" fillId="5" borderId="13" xfId="0" applyNumberFormat="1" applyFont="1" applyFill="1" applyBorder="1"/>
    <xf numFmtId="0" fontId="8" fillId="5" borderId="8" xfId="0" applyFont="1" applyFill="1" applyBorder="1"/>
    <xf numFmtId="2" fontId="6" fillId="5" borderId="8" xfId="0" applyNumberFormat="1" applyFont="1" applyFill="1" applyBorder="1"/>
    <xf numFmtId="40" fontId="16" fillId="0" borderId="0" xfId="0" applyNumberFormat="1" applyFont="1"/>
    <xf numFmtId="2" fontId="6" fillId="5" borderId="10" xfId="0" applyNumberFormat="1" applyFont="1" applyFill="1" applyBorder="1"/>
    <xf numFmtId="2" fontId="8" fillId="5" borderId="10" xfId="0" applyNumberFormat="1" applyFont="1" applyFill="1" applyBorder="1"/>
    <xf numFmtId="40" fontId="17" fillId="5" borderId="0" xfId="0" quotePrefix="1" applyNumberFormat="1" applyFont="1" applyFill="1"/>
    <xf numFmtId="2" fontId="8" fillId="5" borderId="8" xfId="0" applyNumberFormat="1" applyFont="1" applyFill="1" applyBorder="1"/>
    <xf numFmtId="40" fontId="17" fillId="5" borderId="0" xfId="0" applyNumberFormat="1" applyFont="1" applyFill="1"/>
    <xf numFmtId="0" fontId="17" fillId="5" borderId="2" xfId="0" applyFont="1" applyFill="1" applyBorder="1" applyAlignment="1">
      <alignment horizontal="right"/>
    </xf>
    <xf numFmtId="0" fontId="8" fillId="5" borderId="13" xfId="0" applyFont="1" applyFill="1" applyBorder="1" applyAlignment="1">
      <alignment horizontal="right"/>
    </xf>
    <xf numFmtId="40" fontId="17" fillId="5" borderId="1" xfId="0" quotePrefix="1" applyNumberFormat="1" applyFont="1" applyFill="1" applyBorder="1"/>
    <xf numFmtId="0" fontId="17" fillId="5" borderId="9" xfId="0" applyFont="1" applyFill="1" applyBorder="1"/>
    <xf numFmtId="0" fontId="6" fillId="5" borderId="1" xfId="0" applyFont="1" applyFill="1" applyBorder="1"/>
    <xf numFmtId="0" fontId="13" fillId="5" borderId="10" xfId="0" applyFont="1" applyFill="1" applyBorder="1" applyAlignment="1">
      <alignment horizontal="centerContinuous"/>
    </xf>
    <xf numFmtId="43" fontId="8" fillId="5" borderId="13" xfId="0" applyNumberFormat="1" applyFont="1" applyFill="1" applyBorder="1" applyAlignment="1">
      <alignment vertical="top" wrapText="1"/>
    </xf>
    <xf numFmtId="0" fontId="8" fillId="5" borderId="8" xfId="0" applyFont="1" applyFill="1" applyBorder="1" applyAlignment="1">
      <alignment vertical="top" wrapText="1"/>
    </xf>
    <xf numFmtId="43" fontId="6" fillId="5" borderId="8" xfId="0" applyNumberFormat="1" applyFont="1" applyFill="1" applyBorder="1" applyAlignment="1">
      <alignment horizontal="left" vertical="top" wrapText="1"/>
    </xf>
    <xf numFmtId="9" fontId="17" fillId="5" borderId="2" xfId="0" applyNumberFormat="1" applyFont="1" applyFill="1" applyBorder="1" applyAlignment="1">
      <alignment horizontal="right"/>
    </xf>
    <xf numFmtId="9" fontId="17" fillId="5" borderId="13" xfId="0" applyNumberFormat="1" applyFont="1" applyFill="1" applyBorder="1" applyAlignment="1">
      <alignment horizontal="center"/>
    </xf>
    <xf numFmtId="0" fontId="14" fillId="5" borderId="0" xfId="0" applyFont="1" applyFill="1"/>
    <xf numFmtId="0" fontId="13" fillId="5" borderId="0" xfId="0" applyFont="1" applyFill="1"/>
    <xf numFmtId="165" fontId="14" fillId="5" borderId="0" xfId="0" applyNumberFormat="1" applyFont="1" applyFill="1" applyAlignment="1">
      <alignment horizontal="right"/>
    </xf>
    <xf numFmtId="40" fontId="13" fillId="5" borderId="0" xfId="0" applyNumberFormat="1" applyFont="1" applyFill="1"/>
    <xf numFmtId="40" fontId="8" fillId="0" borderId="0" xfId="0" applyNumberFormat="1" applyFont="1"/>
    <xf numFmtId="43" fontId="8" fillId="5" borderId="8" xfId="0" applyNumberFormat="1" applyFont="1" applyFill="1" applyBorder="1" applyAlignment="1">
      <alignment vertical="top" wrapText="1"/>
    </xf>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0" xfId="0" applyFont="1" applyBorder="1" applyAlignment="1">
      <alignment horizontal="center"/>
    </xf>
    <xf numFmtId="0" fontId="6" fillId="0" borderId="12" xfId="0" applyFont="1" applyBorder="1"/>
    <xf numFmtId="0" fontId="6" fillId="2" borderId="3" xfId="0" applyFont="1" applyFill="1" applyBorder="1"/>
    <xf numFmtId="0" fontId="6" fillId="0" borderId="2" xfId="0" applyFont="1" applyBorder="1" applyAlignment="1">
      <alignment horizontal="center"/>
    </xf>
    <xf numFmtId="165" fontId="6" fillId="0" borderId="3" xfId="0" applyNumberFormat="1" applyFont="1" applyBorder="1"/>
    <xf numFmtId="165" fontId="6" fillId="0" borderId="1" xfId="0" applyNumberFormat="1" applyFont="1" applyBorder="1" applyAlignment="1">
      <alignment horizontal="right"/>
    </xf>
    <xf numFmtId="165" fontId="6" fillId="0" borderId="3" xfId="0" applyNumberFormat="1" applyFont="1" applyBorder="1" applyAlignment="1">
      <alignment horizontal="right"/>
    </xf>
    <xf numFmtId="0" fontId="40" fillId="0" borderId="0" xfId="0" applyFont="1" applyAlignment="1">
      <alignment horizontal="center"/>
    </xf>
    <xf numFmtId="165" fontId="6" fillId="0" borderId="0" xfId="0" applyNumberFormat="1" applyFont="1" applyAlignment="1">
      <alignment horizontal="right"/>
    </xf>
    <xf numFmtId="165" fontId="6" fillId="0" borderId="12" xfId="0" applyNumberFormat="1" applyFont="1" applyBorder="1"/>
    <xf numFmtId="0" fontId="6" fillId="0" borderId="0" xfId="0" applyFont="1" applyAlignment="1">
      <alignment horizontal="left" wrapText="1"/>
    </xf>
    <xf numFmtId="0" fontId="6" fillId="0" borderId="31" xfId="0" applyFont="1" applyBorder="1"/>
    <xf numFmtId="0" fontId="6" fillId="0" borderId="32" xfId="0" applyFont="1" applyBorder="1"/>
    <xf numFmtId="0" fontId="6" fillId="0" borderId="33" xfId="0" applyFont="1" applyBorder="1"/>
    <xf numFmtId="0" fontId="41" fillId="0" borderId="0" xfId="8" applyFont="1"/>
    <xf numFmtId="0" fontId="6" fillId="0" borderId="2" xfId="0" applyFont="1" applyBorder="1"/>
    <xf numFmtId="9" fontId="6" fillId="0" borderId="2" xfId="1" applyFont="1" applyBorder="1"/>
    <xf numFmtId="165" fontId="8" fillId="0" borderId="3" xfId="0" applyNumberFormat="1" applyFont="1" applyBorder="1"/>
    <xf numFmtId="0" fontId="6" fillId="0" borderId="4" xfId="0" applyFont="1" applyBorder="1"/>
    <xf numFmtId="0" fontId="6" fillId="0" borderId="5" xfId="0" applyFont="1" applyBorder="1"/>
    <xf numFmtId="0" fontId="6" fillId="0" borderId="6" xfId="0" applyFont="1" applyBorder="1"/>
    <xf numFmtId="165" fontId="6" fillId="2" borderId="8" xfId="0" applyNumberFormat="1" applyFont="1" applyFill="1" applyBorder="1"/>
    <xf numFmtId="2" fontId="8" fillId="5" borderId="12" xfId="0" applyNumberFormat="1" applyFont="1" applyFill="1" applyBorder="1"/>
    <xf numFmtId="0" fontId="20" fillId="5" borderId="0" xfId="0" applyFont="1" applyFill="1"/>
    <xf numFmtId="0" fontId="42" fillId="0" borderId="0" xfId="0" applyFont="1" applyAlignment="1">
      <alignment horizontal="center"/>
    </xf>
    <xf numFmtId="0" fontId="6" fillId="0" borderId="0" xfId="0" applyFont="1" applyAlignment="1">
      <alignment vertical="top" wrapText="1"/>
    </xf>
    <xf numFmtId="0" fontId="6" fillId="0" borderId="0" xfId="0" applyFont="1" applyAlignment="1">
      <alignment horizontal="left" vertical="top" wrapText="1"/>
    </xf>
    <xf numFmtId="0" fontId="4" fillId="0" borderId="0" xfId="8"/>
    <xf numFmtId="165" fontId="6" fillId="0" borderId="5" xfId="0" applyNumberFormat="1" applyFont="1" applyBorder="1"/>
    <xf numFmtId="43" fontId="6" fillId="2" borderId="1" xfId="3" applyFont="1" applyFill="1" applyBorder="1"/>
    <xf numFmtId="44" fontId="6" fillId="0" borderId="10" xfId="4" applyFont="1" applyBorder="1"/>
    <xf numFmtId="0" fontId="6" fillId="0" borderId="10" xfId="0" applyFont="1" applyBorder="1"/>
    <xf numFmtId="44" fontId="6" fillId="0" borderId="8" xfId="4" applyFont="1" applyBorder="1"/>
    <xf numFmtId="43" fontId="6" fillId="2" borderId="3" xfId="3" applyFont="1" applyFill="1" applyBorder="1"/>
    <xf numFmtId="44" fontId="6" fillId="0" borderId="12" xfId="4" applyFont="1" applyBorder="1"/>
    <xf numFmtId="0" fontId="8" fillId="0" borderId="0" xfId="0" applyFont="1"/>
    <xf numFmtId="0" fontId="8" fillId="0" borderId="14" xfId="0" applyFont="1" applyBorder="1"/>
    <xf numFmtId="165" fontId="8" fillId="0" borderId="15" xfId="0" applyNumberFormat="1" applyFont="1" applyBorder="1"/>
    <xf numFmtId="0" fontId="6" fillId="0" borderId="15" xfId="0" applyFont="1" applyBorder="1"/>
    <xf numFmtId="44" fontId="8" fillId="0" borderId="16" xfId="0" applyNumberFormat="1" applyFont="1" applyBorder="1"/>
    <xf numFmtId="0" fontId="6" fillId="0" borderId="7" xfId="0" applyFont="1" applyBorder="1" applyAlignment="1">
      <alignment horizontal="left"/>
    </xf>
    <xf numFmtId="44" fontId="8" fillId="0" borderId="0" xfId="4" applyFont="1"/>
    <xf numFmtId="0" fontId="40" fillId="0" borderId="5" xfId="0" applyFont="1" applyBorder="1"/>
    <xf numFmtId="0" fontId="40" fillId="0" borderId="6" xfId="0" applyFont="1" applyBorder="1"/>
    <xf numFmtId="39" fontId="6" fillId="2" borderId="8" xfId="4" applyNumberFormat="1" applyFont="1" applyFill="1" applyBorder="1"/>
    <xf numFmtId="39" fontId="6" fillId="2" borderId="10" xfId="4" applyNumberFormat="1" applyFont="1" applyFill="1" applyBorder="1"/>
    <xf numFmtId="39" fontId="6" fillId="2" borderId="12" xfId="4" applyNumberFormat="1" applyFont="1" applyFill="1" applyBorder="1"/>
    <xf numFmtId="0" fontId="26" fillId="3" borderId="14" xfId="0" applyFont="1" applyFill="1" applyBorder="1" applyAlignment="1">
      <alignment horizontal="left"/>
    </xf>
    <xf numFmtId="0" fontId="5" fillId="0" borderId="3" xfId="0" applyFont="1" applyBorder="1"/>
    <xf numFmtId="0" fontId="26" fillId="3" borderId="19" xfId="0" applyFont="1" applyFill="1" applyBorder="1" applyAlignment="1">
      <alignment horizontal="right"/>
    </xf>
    <xf numFmtId="0" fontId="15" fillId="0" borderId="7" xfId="0" applyFont="1" applyBorder="1" applyAlignment="1">
      <alignment horizontal="left"/>
    </xf>
    <xf numFmtId="0" fontId="6" fillId="2" borderId="7" xfId="0" applyFont="1" applyFill="1" applyBorder="1"/>
    <xf numFmtId="0" fontId="6" fillId="2" borderId="9" xfId="0" applyFont="1" applyFill="1" applyBorder="1"/>
    <xf numFmtId="0" fontId="5" fillId="2" borderId="0" xfId="0" applyFont="1" applyFill="1"/>
    <xf numFmtId="0" fontId="5" fillId="2" borderId="0" xfId="0" quotePrefix="1" applyFont="1" applyFill="1"/>
    <xf numFmtId="0" fontId="5" fillId="2" borderId="1" xfId="0" applyFont="1" applyFill="1" applyBorder="1"/>
    <xf numFmtId="165" fontId="15" fillId="0" borderId="0" xfId="0" applyNumberFormat="1" applyFont="1" applyAlignment="1">
      <alignment wrapText="1"/>
    </xf>
    <xf numFmtId="165" fontId="15" fillId="0" borderId="3" xfId="0" applyNumberFormat="1" applyFont="1" applyBorder="1" applyAlignment="1">
      <alignment wrapText="1"/>
    </xf>
    <xf numFmtId="0" fontId="15" fillId="3" borderId="0" xfId="0" quotePrefix="1" applyFont="1" applyFill="1" applyAlignment="1">
      <alignment horizontal="center" wrapText="1"/>
    </xf>
    <xf numFmtId="43" fontId="6" fillId="2" borderId="0" xfId="3" applyFont="1" applyFill="1"/>
    <xf numFmtId="39" fontId="6" fillId="5" borderId="0" xfId="4" applyNumberFormat="1" applyFont="1" applyFill="1" applyBorder="1"/>
    <xf numFmtId="39" fontId="6" fillId="5" borderId="1" xfId="4" applyNumberFormat="1" applyFont="1" applyFill="1" applyBorder="1"/>
    <xf numFmtId="0" fontId="26" fillId="3" borderId="30" xfId="0" applyFont="1" applyFill="1" applyBorder="1" applyAlignment="1">
      <alignment horizontal="center" vertical="top" wrapText="1"/>
    </xf>
    <xf numFmtId="44" fontId="6" fillId="5" borderId="18" xfId="0" applyNumberFormat="1" applyFont="1" applyFill="1" applyBorder="1"/>
    <xf numFmtId="44" fontId="6" fillId="5" borderId="1" xfId="0" applyNumberFormat="1" applyFont="1" applyFill="1" applyBorder="1"/>
    <xf numFmtId="0" fontId="43" fillId="0" borderId="4" xfId="0" applyFont="1" applyBorder="1"/>
    <xf numFmtId="44" fontId="0" fillId="0" borderId="6" xfId="4" applyFont="1" applyBorder="1"/>
    <xf numFmtId="0" fontId="0" fillId="0" borderId="7" xfId="0" applyBorder="1"/>
    <xf numFmtId="0" fontId="0" fillId="2" borderId="8" xfId="0" applyFill="1" applyBorder="1"/>
    <xf numFmtId="44" fontId="0" fillId="2" borderId="8" xfId="4" applyFont="1" applyFill="1" applyBorder="1"/>
    <xf numFmtId="0" fontId="0" fillId="0" borderId="7" xfId="0" applyBorder="1" applyAlignment="1">
      <alignment wrapText="1"/>
    </xf>
    <xf numFmtId="0" fontId="43" fillId="0" borderId="7" xfId="0" applyFont="1" applyBorder="1"/>
    <xf numFmtId="44" fontId="0" fillId="0" borderId="8" xfId="4" applyFont="1" applyBorder="1"/>
    <xf numFmtId="0" fontId="43" fillId="0" borderId="7" xfId="0" applyFont="1" applyBorder="1" applyAlignment="1">
      <alignment wrapText="1"/>
    </xf>
    <xf numFmtId="44" fontId="0" fillId="0" borderId="8" xfId="0" applyNumberFormat="1" applyBorder="1"/>
    <xf numFmtId="0" fontId="43" fillId="0" borderId="11" xfId="0" applyFont="1" applyBorder="1" applyAlignment="1">
      <alignment wrapText="1"/>
    </xf>
    <xf numFmtId="44" fontId="0" fillId="2" borderId="12" xfId="4" applyFont="1" applyFill="1" applyBorder="1"/>
    <xf numFmtId="0" fontId="43" fillId="0" borderId="14" xfId="0" applyFont="1" applyBorder="1"/>
    <xf numFmtId="44" fontId="43" fillId="0" borderId="16" xfId="0" applyNumberFormat="1" applyFont="1" applyBorder="1"/>
    <xf numFmtId="0" fontId="45" fillId="0" borderId="0" xfId="0" applyFont="1"/>
    <xf numFmtId="0" fontId="46" fillId="5" borderId="14" xfId="0" applyFont="1" applyFill="1" applyBorder="1"/>
    <xf numFmtId="0" fontId="16" fillId="5" borderId="15" xfId="0" applyFont="1" applyFill="1" applyBorder="1"/>
    <xf numFmtId="43" fontId="8" fillId="5" borderId="16" xfId="0" applyNumberFormat="1" applyFont="1" applyFill="1" applyBorder="1"/>
    <xf numFmtId="44" fontId="8" fillId="0" borderId="0" xfId="0" applyNumberFormat="1" applyFont="1"/>
    <xf numFmtId="0" fontId="6" fillId="5" borderId="0" xfId="0" quotePrefix="1" applyFont="1" applyFill="1"/>
    <xf numFmtId="0" fontId="6" fillId="0" borderId="0" xfId="0" quotePrefix="1" applyFont="1"/>
    <xf numFmtId="37" fontId="15" fillId="5" borderId="0" xfId="4" applyNumberFormat="1" applyFont="1" applyFill="1"/>
    <xf numFmtId="37" fontId="6" fillId="2" borderId="0" xfId="4" applyNumberFormat="1" applyFont="1" applyFill="1"/>
    <xf numFmtId="9" fontId="6" fillId="2" borderId="0" xfId="1" applyFont="1" applyFill="1"/>
    <xf numFmtId="175" fontId="6" fillId="2" borderId="0" xfId="3" applyNumberFormat="1" applyFont="1" applyFill="1" applyBorder="1"/>
    <xf numFmtId="39" fontId="6" fillId="2" borderId="0" xfId="4" applyNumberFormat="1" applyFont="1" applyFill="1"/>
    <xf numFmtId="166" fontId="6" fillId="2" borderId="0" xfId="1" applyNumberFormat="1" applyFont="1" applyFill="1"/>
    <xf numFmtId="166" fontId="6" fillId="2" borderId="1" xfId="1" applyNumberFormat="1" applyFont="1" applyFill="1" applyBorder="1"/>
    <xf numFmtId="10" fontId="6" fillId="2" borderId="0" xfId="1" applyNumberFormat="1" applyFont="1" applyFill="1"/>
    <xf numFmtId="10" fontId="6" fillId="2" borderId="1" xfId="1" applyNumberFormat="1" applyFont="1" applyFill="1" applyBorder="1"/>
    <xf numFmtId="175" fontId="15" fillId="2" borderId="0" xfId="3" applyNumberFormat="1" applyFont="1" applyFill="1" applyBorder="1" applyAlignment="1">
      <alignment horizontal="left"/>
    </xf>
    <xf numFmtId="175" fontId="6" fillId="2" borderId="0" xfId="3" applyNumberFormat="1" applyFont="1" applyFill="1"/>
    <xf numFmtId="39" fontId="6" fillId="2" borderId="0" xfId="4" applyNumberFormat="1" applyFont="1" applyFill="1" applyBorder="1"/>
    <xf numFmtId="39" fontId="6" fillId="2" borderId="1" xfId="4" applyNumberFormat="1" applyFont="1" applyFill="1" applyBorder="1"/>
    <xf numFmtId="0" fontId="47" fillId="5" borderId="0" xfId="0" applyFont="1" applyFill="1" applyAlignment="1">
      <alignment horizontal="center"/>
    </xf>
    <xf numFmtId="37" fontId="48" fillId="5" borderId="0" xfId="4" applyNumberFormat="1" applyFont="1" applyFill="1"/>
    <xf numFmtId="39" fontId="48" fillId="5" borderId="0" xfId="4" applyNumberFormat="1" applyFont="1" applyFill="1"/>
    <xf numFmtId="0" fontId="12" fillId="3" borderId="14" xfId="0" quotePrefix="1" applyFont="1" applyFill="1" applyBorder="1" applyAlignment="1">
      <alignment horizontal="center"/>
    </xf>
    <xf numFmtId="0" fontId="12" fillId="3" borderId="15" xfId="0" quotePrefix="1" applyFont="1" applyFill="1" applyBorder="1" applyAlignment="1">
      <alignment horizontal="center"/>
    </xf>
    <xf numFmtId="0" fontId="12" fillId="3" borderId="16" xfId="0" quotePrefix="1" applyFont="1" applyFill="1" applyBorder="1" applyAlignment="1">
      <alignment horizontal="center"/>
    </xf>
    <xf numFmtId="0" fontId="6" fillId="0" borderId="0" xfId="7" applyFont="1" applyAlignment="1">
      <alignment horizontal="right"/>
    </xf>
    <xf numFmtId="0" fontId="6" fillId="0" borderId="0" xfId="7" applyFont="1"/>
    <xf numFmtId="0" fontId="7" fillId="3" borderId="14" xfId="7" applyFont="1" applyFill="1" applyBorder="1"/>
    <xf numFmtId="0" fontId="7" fillId="3" borderId="15" xfId="7" applyFont="1" applyFill="1" applyBorder="1"/>
    <xf numFmtId="0" fontId="10" fillId="4" borderId="0" xfId="6" applyFont="1" applyBorder="1" applyAlignment="1">
      <alignment horizontal="left" wrapText="1"/>
    </xf>
    <xf numFmtId="0" fontId="5" fillId="0" borderId="0" xfId="7" applyFont="1" applyAlignment="1">
      <alignment vertical="top" wrapText="1"/>
    </xf>
    <xf numFmtId="0" fontId="5" fillId="0" borderId="0" xfId="7" applyFont="1" applyAlignment="1">
      <alignment horizontal="left" vertical="top" wrapText="1"/>
    </xf>
    <xf numFmtId="0" fontId="13" fillId="0" borderId="2" xfId="0" applyFont="1" applyBorder="1" applyAlignment="1">
      <alignment horizontal="center"/>
    </xf>
    <xf numFmtId="0" fontId="26" fillId="3" borderId="0" xfId="0" quotePrefix="1" applyFont="1" applyFill="1" applyAlignment="1">
      <alignment horizontal="center"/>
    </xf>
    <xf numFmtId="175" fontId="13" fillId="0" borderId="1" xfId="5" applyNumberFormat="1" applyFont="1" applyFill="1" applyBorder="1" applyAlignment="1">
      <alignment horizontal="center"/>
    </xf>
    <xf numFmtId="43" fontId="13" fillId="0" borderId="2" xfId="3" applyFont="1" applyBorder="1" applyAlignment="1">
      <alignment horizontal="center"/>
    </xf>
    <xf numFmtId="0" fontId="26" fillId="3" borderId="14" xfId="0" quotePrefix="1" applyFont="1" applyFill="1" applyBorder="1" applyAlignment="1">
      <alignment horizontal="center"/>
    </xf>
    <xf numFmtId="0" fontId="26" fillId="3" borderId="15" xfId="0" quotePrefix="1" applyFont="1" applyFill="1" applyBorder="1" applyAlignment="1">
      <alignment horizontal="center"/>
    </xf>
    <xf numFmtId="0" fontId="26" fillId="3" borderId="16" xfId="0" quotePrefix="1" applyFont="1" applyFill="1" applyBorder="1" applyAlignment="1">
      <alignment horizontal="center"/>
    </xf>
    <xf numFmtId="0" fontId="27" fillId="3" borderId="4" xfId="0" quotePrefix="1" applyFont="1" applyFill="1" applyBorder="1" applyAlignment="1">
      <alignment horizontal="left"/>
    </xf>
    <xf numFmtId="0" fontId="27" fillId="3" borderId="5" xfId="0" quotePrefix="1" applyFont="1" applyFill="1" applyBorder="1" applyAlignment="1">
      <alignment horizontal="left"/>
    </xf>
    <xf numFmtId="0" fontId="26" fillId="3" borderId="23" xfId="0" quotePrefix="1" applyFont="1" applyFill="1" applyBorder="1" applyAlignment="1">
      <alignment horizontal="left"/>
    </xf>
    <xf numFmtId="0" fontId="26" fillId="3" borderId="24" xfId="0" quotePrefix="1" applyFont="1" applyFill="1" applyBorder="1" applyAlignment="1">
      <alignment horizontal="left"/>
    </xf>
    <xf numFmtId="0" fontId="32" fillId="0" borderId="2" xfId="0" applyFont="1" applyBorder="1" applyAlignment="1">
      <alignment horizontal="center"/>
    </xf>
    <xf numFmtId="43" fontId="13" fillId="5" borderId="18" xfId="3" applyFont="1" applyFill="1" applyBorder="1" applyAlignment="1">
      <alignment horizontal="center"/>
    </xf>
    <xf numFmtId="0" fontId="13" fillId="5" borderId="0" xfId="0" applyFont="1" applyFill="1" applyAlignment="1">
      <alignment horizontal="center"/>
    </xf>
    <xf numFmtId="0" fontId="36" fillId="6" borderId="4" xfId="0" applyFont="1" applyFill="1" applyBorder="1" applyAlignment="1">
      <alignment horizontal="center"/>
    </xf>
    <xf numFmtId="0" fontId="36" fillId="6" borderId="6" xfId="0" applyFont="1" applyFill="1" applyBorder="1" applyAlignment="1">
      <alignment horizontal="center"/>
    </xf>
    <xf numFmtId="0" fontId="6" fillId="0" borderId="11" xfId="0" applyFont="1" applyBorder="1"/>
    <xf numFmtId="0" fontId="6" fillId="0" borderId="3" xfId="0" applyFont="1" applyBorder="1"/>
    <xf numFmtId="0" fontId="6" fillId="0" borderId="7" xfId="0" applyFont="1" applyBorder="1"/>
    <xf numFmtId="0" fontId="6" fillId="0" borderId="0" xfId="0" applyFont="1"/>
    <xf numFmtId="0" fontId="27" fillId="3" borderId="4" xfId="0" quotePrefix="1" applyFont="1" applyFill="1" applyBorder="1" applyAlignment="1">
      <alignment horizontal="center"/>
    </xf>
    <xf numFmtId="0" fontId="27" fillId="3" borderId="5" xfId="0" quotePrefix="1" applyFont="1" applyFill="1" applyBorder="1" applyAlignment="1">
      <alignment horizontal="center"/>
    </xf>
    <xf numFmtId="0" fontId="27" fillId="3" borderId="6" xfId="0" quotePrefix="1" applyFont="1" applyFill="1" applyBorder="1" applyAlignment="1">
      <alignment horizontal="center"/>
    </xf>
    <xf numFmtId="0" fontId="26" fillId="3" borderId="7" xfId="0" applyFont="1" applyFill="1" applyBorder="1"/>
    <xf numFmtId="0" fontId="26" fillId="3" borderId="0" xfId="0" applyFont="1" applyFill="1"/>
    <xf numFmtId="0" fontId="8" fillId="0" borderId="0" xfId="0" applyFont="1" applyAlignment="1">
      <alignment horizontal="center"/>
    </xf>
    <xf numFmtId="0" fontId="12" fillId="3" borderId="4" xfId="0" quotePrefix="1" applyFont="1" applyFill="1" applyBorder="1" applyAlignment="1">
      <alignment horizontal="center"/>
    </xf>
    <xf numFmtId="0" fontId="12" fillId="3" borderId="5" xfId="0" quotePrefix="1" applyFont="1" applyFill="1" applyBorder="1" applyAlignment="1">
      <alignment horizontal="center"/>
    </xf>
    <xf numFmtId="0" fontId="12" fillId="3" borderId="6" xfId="0" quotePrefix="1" applyFont="1" applyFill="1" applyBorder="1" applyAlignment="1">
      <alignment horizontal="center"/>
    </xf>
    <xf numFmtId="0" fontId="15" fillId="5" borderId="1" xfId="0" applyFont="1" applyFill="1" applyBorder="1" applyAlignment="1">
      <alignment horizontal="left"/>
    </xf>
    <xf numFmtId="0" fontId="13" fillId="5" borderId="5" xfId="0" applyFont="1" applyFill="1" applyBorder="1"/>
    <xf numFmtId="0" fontId="14" fillId="5" borderId="0" xfId="0" applyFont="1" applyFill="1" applyAlignment="1">
      <alignment horizontal="right"/>
    </xf>
    <xf numFmtId="0" fontId="6" fillId="5" borderId="0" xfId="0" applyFont="1" applyFill="1" applyAlignment="1">
      <alignment horizontal="center" wrapText="1"/>
    </xf>
    <xf numFmtId="0" fontId="40" fillId="3" borderId="4" xfId="0" applyFont="1" applyFill="1" applyBorder="1" applyAlignment="1">
      <alignment horizontal="center"/>
    </xf>
    <xf numFmtId="0" fontId="40" fillId="3" borderId="5" xfId="0" applyFont="1" applyFill="1" applyBorder="1" applyAlignment="1">
      <alignment horizontal="center"/>
    </xf>
    <xf numFmtId="0" fontId="40" fillId="3" borderId="6" xfId="0" applyFont="1" applyFill="1" applyBorder="1" applyAlignment="1">
      <alignment horizontal="center"/>
    </xf>
    <xf numFmtId="0" fontId="40" fillId="3" borderId="14" xfId="0" applyFont="1" applyFill="1" applyBorder="1" applyAlignment="1">
      <alignment horizontal="center"/>
    </xf>
    <xf numFmtId="0" fontId="40" fillId="3" borderId="15" xfId="0" applyFont="1" applyFill="1" applyBorder="1" applyAlignment="1">
      <alignment horizontal="center"/>
    </xf>
    <xf numFmtId="0" fontId="40" fillId="3" borderId="16" xfId="0" applyFont="1" applyFill="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0" xfId="0" applyFont="1" applyBorder="1" applyAlignment="1">
      <alignment horizontal="center"/>
    </xf>
    <xf numFmtId="0" fontId="15" fillId="2" borderId="5" xfId="0" applyFont="1" applyFill="1" applyBorder="1" applyAlignment="1">
      <alignment horizontal="center"/>
    </xf>
    <xf numFmtId="0" fontId="15" fillId="2" borderId="6" xfId="0" applyFont="1" applyFill="1" applyBorder="1" applyAlignment="1">
      <alignment horizontal="center"/>
    </xf>
    <xf numFmtId="0" fontId="40" fillId="3" borderId="7" xfId="0" applyFont="1" applyFill="1" applyBorder="1" applyAlignment="1">
      <alignment horizontal="center"/>
    </xf>
    <xf numFmtId="0" fontId="40" fillId="3" borderId="0" xfId="0" applyFont="1" applyFill="1" applyAlignment="1">
      <alignment horizontal="center"/>
    </xf>
    <xf numFmtId="0" fontId="40" fillId="3" borderId="8" xfId="0" applyFont="1" applyFill="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wrapText="1"/>
    </xf>
    <xf numFmtId="0" fontId="44" fillId="3" borderId="3" xfId="0" applyFont="1" applyFill="1" applyBorder="1" applyAlignment="1">
      <alignment horizontal="center"/>
    </xf>
  </cellXfs>
  <cellStyles count="9">
    <cellStyle name="Comma" xfId="3" builtinId="3"/>
    <cellStyle name="Comma 2" xfId="5" xr:uid="{F94871CD-C5B2-4ECF-9D97-087A3E964E30}"/>
    <cellStyle name="Currency" xfId="4" builtinId="4"/>
    <cellStyle name="Hyperlink" xfId="8" builtinId="8"/>
    <cellStyle name="Normal" xfId="0" builtinId="0"/>
    <cellStyle name="Normal 2" xfId="2" xr:uid="{714AC4DB-70AE-4642-82E9-C5C7E1FB2F08}"/>
    <cellStyle name="Normal 2 2" xfId="7" xr:uid="{E568F1D7-5FF5-43BE-AA60-DE0F367054E0}"/>
    <cellStyle name="Output" xfId="6" builtinId="21"/>
    <cellStyle name="Percent" xfId="1" builtinId="5"/>
  </cellStyles>
  <dxfs count="12">
    <dxf>
      <font>
        <strike val="0"/>
      </font>
      <fill>
        <patternFill patternType="darkGrid"/>
      </fill>
    </dxf>
    <dxf>
      <font>
        <strike val="0"/>
      </font>
      <fill>
        <patternFill patternType="darkGrid"/>
      </fill>
    </dxf>
    <dxf>
      <font>
        <strike val="0"/>
      </font>
      <fill>
        <patternFill patternType="darkGrid"/>
      </fill>
    </dxf>
    <dxf>
      <font>
        <strike val="0"/>
      </font>
      <fill>
        <patternFill patternType="darkGrid"/>
      </fill>
    </dxf>
    <dxf>
      <font>
        <strike val="0"/>
      </font>
      <fill>
        <patternFill patternType="darkGrid"/>
      </fill>
    </dxf>
    <dxf>
      <font>
        <strike val="0"/>
      </font>
      <fill>
        <patternFill patternType="darkGrid"/>
      </fill>
    </dxf>
    <dxf>
      <font>
        <strike val="0"/>
      </font>
      <fill>
        <patternFill patternType="darkGrid">
          <bgColor auto="1"/>
        </patternFill>
      </fill>
    </dxf>
    <dxf>
      <font>
        <strike val="0"/>
      </font>
      <fill>
        <patternFill patternType="darkGrid"/>
      </fill>
    </dxf>
    <dxf>
      <font>
        <strike val="0"/>
      </font>
      <fill>
        <patternFill patternType="darkGrid"/>
      </fill>
    </dxf>
    <dxf>
      <font>
        <color rgb="FF9C0006"/>
      </font>
    </dxf>
    <dxf>
      <fill>
        <patternFill>
          <bgColor theme="2"/>
        </patternFill>
      </fill>
    </dxf>
    <dxf>
      <font>
        <color rgb="FF9C0006"/>
      </font>
    </dxf>
  </dxfs>
  <tableStyles count="0" defaultTableStyle="TableStyleMedium2" defaultPivotStyle="PivotStyleLight16"/>
  <colors>
    <mruColors>
      <color rgb="FFFFFF00"/>
      <color rgb="FFF1B82D"/>
      <color rgb="FFF1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3171825</xdr:colOff>
      <xdr:row>3</xdr:row>
      <xdr:rowOff>184610</xdr:rowOff>
    </xdr:from>
    <xdr:to>
      <xdr:col>3</xdr:col>
      <xdr:colOff>123825</xdr:colOff>
      <xdr:row>6</xdr:row>
      <xdr:rowOff>175199</xdr:rowOff>
    </xdr:to>
    <xdr:pic>
      <xdr:nvPicPr>
        <xdr:cNvPr id="2" name="Picture 1">
          <a:extLst>
            <a:ext uri="{FF2B5EF4-FFF2-40B4-BE49-F238E27FC236}">
              <a16:creationId xmlns:a16="http://schemas.microsoft.com/office/drawing/2014/main" id="{431D9D7E-1DB3-4B23-882A-34F00C819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0" y="946610"/>
          <a:ext cx="1971675" cy="6192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ientzy, Andrew" id="{624603D0-AFB4-4AAC-BF9D-7CDAE47E2B81}" userId="S::dskvnq@umsystem.edu::a3cafd4d-1261-4059-a3b4-924fe5b6a59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4" dT="2024-03-21T16:34:23.34" personId="{624603D0-AFB4-4AAC-BF9D-7CDAE47E2B81}" id="{B848F26A-F662-49A2-BCA2-228475070A2B}">
    <text>Whole sirloin can be used for fajita/kabob</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chrome-extension://efaidnbmnnnibpcajpcglclefindmkaj/https:/dsrcattle.com/wp-content/uploads/Angus-Beef-Chart-PDF-1.pdf" TargetMode="External"/><Relationship Id="rId1" Type="http://schemas.openxmlformats.org/officeDocument/2006/relationships/hyperlink" Target="http://www.ams.usda.gov/sites/default/files/media/IMPS100SeriesDraft2020.pdf" TargetMode="External"/><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CCF0-1953-41A5-B178-E756ED9E2E64}">
  <dimension ref="A1:F19"/>
  <sheetViews>
    <sheetView showGridLines="0" tabSelected="1" workbookViewId="0">
      <selection activeCell="F11" sqref="F11"/>
    </sheetView>
  </sheetViews>
  <sheetFormatPr defaultColWidth="0" defaultRowHeight="16.5" zeroHeight="1"/>
  <cols>
    <col min="1" max="1" width="3.85546875" style="1" customWidth="1"/>
    <col min="2" max="2" width="9.140625" style="1" customWidth="1"/>
    <col min="3" max="3" width="75.28515625" style="1" customWidth="1"/>
    <col min="4" max="6" width="9.140625" style="1" customWidth="1"/>
    <col min="7" max="16384" width="9.140625" style="1" hidden="1"/>
  </cols>
  <sheetData>
    <row r="1" spans="2:5" ht="17.25" thickBot="1"/>
    <row r="2" spans="2:5" ht="26.25" thickBot="1">
      <c r="B2" s="370" t="s">
        <v>362</v>
      </c>
      <c r="C2" s="371"/>
      <c r="D2" s="372"/>
    </row>
    <row r="3" spans="2:5">
      <c r="B3" s="373" t="s">
        <v>369</v>
      </c>
      <c r="C3" s="373"/>
      <c r="D3" s="373"/>
    </row>
    <row r="4" spans="2:5">
      <c r="B4" s="374"/>
      <c r="C4" s="374"/>
      <c r="D4" s="374"/>
    </row>
    <row r="5" spans="2:5">
      <c r="B5" s="2" t="s">
        <v>0</v>
      </c>
      <c r="C5" s="2"/>
    </row>
    <row r="6" spans="2:5">
      <c r="B6" s="3" t="s">
        <v>1</v>
      </c>
      <c r="C6" s="3"/>
    </row>
    <row r="7" spans="2:5">
      <c r="B7" s="3" t="s">
        <v>2</v>
      </c>
      <c r="C7" s="3"/>
    </row>
    <row r="8" spans="2:5"/>
    <row r="9" spans="2:5" ht="74.25" customHeight="1">
      <c r="B9" s="378" t="s">
        <v>370</v>
      </c>
      <c r="C9" s="378"/>
      <c r="D9" s="378"/>
    </row>
    <row r="10" spans="2:5" ht="10.5" customHeight="1">
      <c r="C10" s="4"/>
    </row>
    <row r="11" spans="2:5" ht="145.5" customHeight="1">
      <c r="B11" s="379" t="s">
        <v>360</v>
      </c>
      <c r="C11" s="379"/>
      <c r="D11" s="379"/>
    </row>
    <row r="12" spans="2:5" ht="11.25" customHeight="1">
      <c r="C12" s="5"/>
    </row>
    <row r="13" spans="2:5" ht="30.75" customHeight="1">
      <c r="B13" s="379" t="s">
        <v>3</v>
      </c>
      <c r="C13" s="379"/>
      <c r="D13" s="379"/>
    </row>
    <row r="14" spans="2:5" ht="11.25" customHeight="1"/>
    <row r="15" spans="2:5" ht="33" customHeight="1">
      <c r="B15" s="377" t="s">
        <v>4</v>
      </c>
      <c r="C15" s="377"/>
      <c r="D15" s="377"/>
      <c r="E15" s="230"/>
    </row>
    <row r="16" spans="2:5" ht="15.75" customHeight="1" thickBot="1"/>
    <row r="17" spans="2:4" ht="21" thickBot="1">
      <c r="B17" s="375"/>
      <c r="C17" s="376"/>
      <c r="D17" s="376"/>
    </row>
    <row r="18" spans="2:4"/>
    <row r="19" spans="2:4"/>
  </sheetData>
  <sheetProtection sheet="1" objects="1" scenarios="1"/>
  <mergeCells count="8">
    <mergeCell ref="B2:D2"/>
    <mergeCell ref="B3:D3"/>
    <mergeCell ref="B4:D4"/>
    <mergeCell ref="B17:D17"/>
    <mergeCell ref="B15:D15"/>
    <mergeCell ref="B9:D9"/>
    <mergeCell ref="B11:D11"/>
    <mergeCell ref="B13:D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1585-51DA-4B84-B3E6-0482C30419C6}">
  <dimension ref="A1:L57"/>
  <sheetViews>
    <sheetView showGridLines="0" topLeftCell="A12" workbookViewId="0">
      <selection activeCell="H36" sqref="H36"/>
    </sheetView>
  </sheetViews>
  <sheetFormatPr defaultColWidth="0" defaultRowHeight="16.5" zeroHeight="1"/>
  <cols>
    <col min="1" max="1" width="2.5703125" style="6" customWidth="1"/>
    <col min="2" max="2" width="32.5703125" style="6" customWidth="1"/>
    <col min="3" max="3" width="12.7109375" style="6" customWidth="1"/>
    <col min="4" max="4" width="10" style="6" bestFit="1" customWidth="1"/>
    <col min="5" max="5" width="15.85546875" style="6" bestFit="1" customWidth="1"/>
    <col min="6" max="6" width="12.7109375" style="6" customWidth="1"/>
    <col min="7" max="7" width="10.42578125" style="6" customWidth="1"/>
    <col min="8" max="8" width="31.5703125" style="6" bestFit="1" customWidth="1"/>
    <col min="9" max="9" width="19.5703125" style="6" bestFit="1" customWidth="1"/>
    <col min="10" max="10" width="10.5703125" style="6" bestFit="1" customWidth="1"/>
    <col min="11" max="12" width="9.140625" style="6" customWidth="1"/>
    <col min="13" max="16384" width="9.140625" style="6" hidden="1"/>
  </cols>
  <sheetData>
    <row r="1" spans="1:12" ht="17.25" thickBot="1">
      <c r="A1" s="72"/>
      <c r="B1" s="384" t="s">
        <v>5</v>
      </c>
      <c r="C1" s="385"/>
      <c r="D1" s="386"/>
      <c r="E1" s="163"/>
      <c r="F1" s="163"/>
      <c r="G1" s="164"/>
      <c r="H1" s="381" t="s">
        <v>6</v>
      </c>
      <c r="I1" s="381"/>
      <c r="J1" s="381"/>
      <c r="K1" s="72"/>
      <c r="L1" s="72"/>
    </row>
    <row r="2" spans="1:12" ht="17.25" thickBot="1">
      <c r="A2" s="72"/>
      <c r="B2" s="173" t="s">
        <v>7</v>
      </c>
      <c r="C2" s="173" t="s">
        <v>8</v>
      </c>
      <c r="D2" s="174" t="s">
        <v>9</v>
      </c>
      <c r="E2" s="165"/>
      <c r="F2" s="165"/>
      <c r="G2" s="165"/>
      <c r="H2" s="175" t="s">
        <v>7</v>
      </c>
      <c r="I2" s="175" t="s">
        <v>8</v>
      </c>
      <c r="J2" s="175" t="s">
        <v>10</v>
      </c>
      <c r="K2" s="72"/>
      <c r="L2" s="72"/>
    </row>
    <row r="3" spans="1:12">
      <c r="A3" s="72"/>
      <c r="B3" s="382" t="s">
        <v>11</v>
      </c>
      <c r="C3" s="382"/>
      <c r="D3" s="382"/>
      <c r="E3" s="166"/>
      <c r="F3" s="166"/>
      <c r="G3" s="166"/>
      <c r="H3" s="382" t="s">
        <v>12</v>
      </c>
      <c r="I3" s="382"/>
      <c r="J3" s="382"/>
      <c r="K3" s="72"/>
      <c r="L3" s="72"/>
    </row>
    <row r="4" spans="1:12">
      <c r="A4" s="72"/>
      <c r="B4" s="7" t="s">
        <v>13</v>
      </c>
      <c r="C4" s="203" t="s">
        <v>14</v>
      </c>
      <c r="D4" s="355">
        <v>184</v>
      </c>
      <c r="E4" s="160"/>
      <c r="F4" s="160"/>
      <c r="G4" s="71"/>
      <c r="H4" s="167" t="s">
        <v>15</v>
      </c>
      <c r="I4" s="203" t="s">
        <v>16</v>
      </c>
      <c r="J4" s="364">
        <v>210</v>
      </c>
      <c r="K4" s="72"/>
      <c r="L4" s="72"/>
    </row>
    <row r="5" spans="1:12">
      <c r="A5" s="72"/>
      <c r="B5" s="7" t="s">
        <v>17</v>
      </c>
      <c r="C5" s="203" t="s">
        <v>18</v>
      </c>
      <c r="D5" s="356">
        <v>0.61</v>
      </c>
      <c r="E5" s="162"/>
      <c r="F5" s="162"/>
      <c r="G5" s="71"/>
      <c r="H5" s="167" t="s">
        <v>19</v>
      </c>
      <c r="I5" s="203" t="s">
        <v>16</v>
      </c>
      <c r="J5" s="364">
        <v>120</v>
      </c>
      <c r="K5" s="72"/>
      <c r="L5" s="72"/>
    </row>
    <row r="6" spans="1:12">
      <c r="A6" s="72"/>
      <c r="B6" s="7" t="s">
        <v>20</v>
      </c>
      <c r="C6" s="203" t="s">
        <v>21</v>
      </c>
      <c r="D6" s="356">
        <v>0.04</v>
      </c>
      <c r="E6" s="162"/>
      <c r="F6" s="162"/>
      <c r="G6" s="71"/>
      <c r="H6" s="167" t="s">
        <v>22</v>
      </c>
      <c r="I6" s="203" t="s">
        <v>16</v>
      </c>
      <c r="J6" s="364">
        <v>190</v>
      </c>
      <c r="K6" s="72"/>
      <c r="L6" s="72"/>
    </row>
    <row r="7" spans="1:12">
      <c r="A7" s="72"/>
      <c r="B7" s="7" t="s">
        <v>23</v>
      </c>
      <c r="C7" s="203" t="s">
        <v>24</v>
      </c>
      <c r="D7" s="357">
        <v>122.96</v>
      </c>
      <c r="E7" s="162"/>
      <c r="F7" s="162"/>
      <c r="G7" s="71"/>
      <c r="H7" s="383" t="s">
        <v>25</v>
      </c>
      <c r="I7" s="383"/>
      <c r="J7" s="383"/>
      <c r="K7" s="72"/>
      <c r="L7" s="72"/>
    </row>
    <row r="8" spans="1:12">
      <c r="A8" s="72"/>
      <c r="B8" s="7" t="s">
        <v>26</v>
      </c>
      <c r="C8" s="203" t="s">
        <v>27</v>
      </c>
      <c r="D8" s="357">
        <v>1800</v>
      </c>
      <c r="E8" s="162"/>
      <c r="F8" s="162"/>
      <c r="G8" s="71"/>
      <c r="H8" s="167" t="s">
        <v>28</v>
      </c>
      <c r="I8" s="203" t="s">
        <v>29</v>
      </c>
      <c r="J8" s="363">
        <v>50</v>
      </c>
      <c r="K8" s="72"/>
      <c r="L8" s="72"/>
    </row>
    <row r="9" spans="1:12">
      <c r="A9" s="72"/>
      <c r="B9" s="380" t="s">
        <v>30</v>
      </c>
      <c r="C9" s="380"/>
      <c r="D9" s="380"/>
      <c r="E9" s="367" t="s">
        <v>368</v>
      </c>
      <c r="F9" s="164"/>
      <c r="G9" s="71"/>
      <c r="H9" s="167" t="s">
        <v>31</v>
      </c>
      <c r="I9" s="203" t="s">
        <v>32</v>
      </c>
      <c r="J9" s="357">
        <v>25</v>
      </c>
      <c r="K9" s="72"/>
      <c r="L9" s="72"/>
    </row>
    <row r="10" spans="1:12">
      <c r="A10" s="72"/>
      <c r="B10" s="7" t="s">
        <v>33</v>
      </c>
      <c r="C10" s="203" t="s">
        <v>34</v>
      </c>
      <c r="D10" s="355">
        <v>20</v>
      </c>
      <c r="E10" s="368"/>
      <c r="F10" s="160"/>
      <c r="G10" s="71"/>
      <c r="H10" s="167" t="s">
        <v>35</v>
      </c>
      <c r="I10" s="203" t="s">
        <v>36</v>
      </c>
      <c r="J10" s="357">
        <v>2500</v>
      </c>
      <c r="K10" s="72"/>
      <c r="L10" s="72"/>
    </row>
    <row r="11" spans="1:12">
      <c r="A11" s="72"/>
      <c r="B11" s="7" t="s">
        <v>37</v>
      </c>
      <c r="C11" s="203" t="s">
        <v>38</v>
      </c>
      <c r="D11" s="355">
        <v>95</v>
      </c>
      <c r="E11" s="369">
        <f>D11/2000</f>
        <v>4.7500000000000001E-2</v>
      </c>
      <c r="F11" s="160"/>
      <c r="G11" s="71"/>
      <c r="H11" s="167" t="s">
        <v>39</v>
      </c>
      <c r="I11" s="203" t="s">
        <v>27</v>
      </c>
      <c r="J11" s="357">
        <v>4200</v>
      </c>
      <c r="K11" s="72"/>
      <c r="L11" s="72"/>
    </row>
    <row r="12" spans="1:12">
      <c r="A12" s="72"/>
      <c r="B12" s="7" t="s">
        <v>40</v>
      </c>
      <c r="C12" s="203" t="s">
        <v>38</v>
      </c>
      <c r="D12" s="355">
        <v>115</v>
      </c>
      <c r="E12" s="369">
        <f t="shared" ref="E12:E20" si="0">D12/2000</f>
        <v>5.7500000000000002E-2</v>
      </c>
      <c r="F12" s="160"/>
      <c r="G12" s="71"/>
      <c r="H12" s="167" t="s">
        <v>41</v>
      </c>
      <c r="I12" s="203" t="s">
        <v>42</v>
      </c>
      <c r="J12" s="357">
        <v>4</v>
      </c>
      <c r="K12" s="72"/>
      <c r="L12" s="72"/>
    </row>
    <row r="13" spans="1:12">
      <c r="A13" s="72"/>
      <c r="B13" s="7" t="s">
        <v>43</v>
      </c>
      <c r="C13" s="203" t="s">
        <v>38</v>
      </c>
      <c r="D13" s="355">
        <v>175</v>
      </c>
      <c r="E13" s="369">
        <f t="shared" si="0"/>
        <v>8.7499999999999994E-2</v>
      </c>
      <c r="F13" s="160"/>
      <c r="G13" s="71"/>
      <c r="H13" s="167" t="s">
        <v>44</v>
      </c>
      <c r="I13" s="203" t="s">
        <v>45</v>
      </c>
      <c r="J13" s="357">
        <v>3000</v>
      </c>
      <c r="K13" s="72"/>
      <c r="L13" s="72"/>
    </row>
    <row r="14" spans="1:12">
      <c r="A14" s="72"/>
      <c r="B14" s="7" t="s">
        <v>366</v>
      </c>
      <c r="C14" s="203" t="s">
        <v>38</v>
      </c>
      <c r="D14" s="355">
        <v>48</v>
      </c>
      <c r="E14" s="369">
        <f t="shared" si="0"/>
        <v>2.4E-2</v>
      </c>
      <c r="F14" s="160"/>
      <c r="G14" s="71"/>
      <c r="H14" s="167" t="s">
        <v>48</v>
      </c>
      <c r="I14" s="203" t="s">
        <v>49</v>
      </c>
      <c r="J14" s="117">
        <v>0.15</v>
      </c>
      <c r="K14" s="72"/>
      <c r="L14" s="72"/>
    </row>
    <row r="15" spans="1:12">
      <c r="A15" s="72"/>
      <c r="B15" s="7" t="s">
        <v>46</v>
      </c>
      <c r="C15" s="203" t="s">
        <v>47</v>
      </c>
      <c r="D15" s="358">
        <v>4.7</v>
      </c>
      <c r="E15" s="369">
        <f>D15/56</f>
        <v>8.3928571428571436E-2</v>
      </c>
      <c r="F15" s="161"/>
      <c r="G15" s="71"/>
      <c r="H15" s="167" t="s">
        <v>51</v>
      </c>
      <c r="I15" s="203" t="s">
        <v>52</v>
      </c>
      <c r="J15" s="357">
        <v>1250</v>
      </c>
      <c r="K15" s="72"/>
      <c r="L15" s="72"/>
    </row>
    <row r="16" spans="1:12">
      <c r="A16" s="72"/>
      <c r="B16" s="7" t="s">
        <v>50</v>
      </c>
      <c r="C16" s="203" t="s">
        <v>38</v>
      </c>
      <c r="D16" s="355">
        <v>180</v>
      </c>
      <c r="E16" s="369">
        <f t="shared" si="0"/>
        <v>0.09</v>
      </c>
      <c r="F16" s="160"/>
      <c r="G16" s="71"/>
      <c r="H16" s="383" t="s">
        <v>53</v>
      </c>
      <c r="I16" s="383"/>
      <c r="J16" s="383"/>
      <c r="K16" s="72"/>
      <c r="L16" s="72"/>
    </row>
    <row r="17" spans="1:12">
      <c r="A17" s="72"/>
      <c r="B17" s="7" t="s">
        <v>363</v>
      </c>
      <c r="C17" s="203" t="s">
        <v>38</v>
      </c>
      <c r="D17" s="355">
        <v>275</v>
      </c>
      <c r="E17" s="369">
        <f t="shared" si="0"/>
        <v>0.13750000000000001</v>
      </c>
      <c r="F17" s="160"/>
      <c r="G17" s="71"/>
      <c r="H17" s="167" t="s">
        <v>54</v>
      </c>
      <c r="I17" s="203" t="s">
        <v>55</v>
      </c>
      <c r="J17" s="356">
        <v>0.85</v>
      </c>
      <c r="K17" s="72"/>
      <c r="L17" s="72"/>
    </row>
    <row r="18" spans="1:12">
      <c r="A18" s="72"/>
      <c r="B18" s="7" t="s">
        <v>367</v>
      </c>
      <c r="C18" s="203" t="s">
        <v>38</v>
      </c>
      <c r="D18" s="355">
        <v>1200</v>
      </c>
      <c r="E18" s="369">
        <f t="shared" si="0"/>
        <v>0.6</v>
      </c>
      <c r="F18" s="160"/>
      <c r="G18" s="164"/>
      <c r="H18" s="167" t="s">
        <v>57</v>
      </c>
      <c r="I18" s="203" t="s">
        <v>55</v>
      </c>
      <c r="J18" s="356">
        <v>0.01</v>
      </c>
      <c r="K18" s="72"/>
      <c r="L18" s="72"/>
    </row>
    <row r="19" spans="1:12">
      <c r="A19" s="72"/>
      <c r="B19" s="7" t="s">
        <v>56</v>
      </c>
      <c r="C19" s="203" t="s">
        <v>38</v>
      </c>
      <c r="D19" s="355">
        <v>350</v>
      </c>
      <c r="E19" s="369">
        <f t="shared" si="0"/>
        <v>0.17499999999999999</v>
      </c>
      <c r="F19" s="160"/>
      <c r="G19" s="164"/>
      <c r="H19" s="167" t="s">
        <v>59</v>
      </c>
      <c r="I19" s="203" t="s">
        <v>55</v>
      </c>
      <c r="J19" s="356">
        <v>0.01</v>
      </c>
      <c r="K19" s="72"/>
      <c r="L19" s="72"/>
    </row>
    <row r="20" spans="1:12">
      <c r="A20" s="72"/>
      <c r="B20" s="7" t="s">
        <v>58</v>
      </c>
      <c r="C20" s="203" t="s">
        <v>38</v>
      </c>
      <c r="D20" s="355">
        <v>200</v>
      </c>
      <c r="E20" s="369">
        <f t="shared" si="0"/>
        <v>0.1</v>
      </c>
      <c r="F20" s="160"/>
      <c r="G20" s="164"/>
      <c r="H20" s="383" t="s">
        <v>61</v>
      </c>
      <c r="I20" s="383"/>
      <c r="J20" s="383"/>
      <c r="K20" s="72"/>
      <c r="L20" s="72"/>
    </row>
    <row r="21" spans="1:12">
      <c r="A21" s="72"/>
      <c r="B21" s="7" t="s">
        <v>60</v>
      </c>
      <c r="C21" s="203" t="s">
        <v>38</v>
      </c>
      <c r="D21" s="358">
        <v>1.5</v>
      </c>
      <c r="E21" s="354"/>
      <c r="F21" s="160"/>
      <c r="G21" s="71"/>
      <c r="H21" s="167" t="s">
        <v>63</v>
      </c>
      <c r="I21" s="203" t="s">
        <v>64</v>
      </c>
      <c r="J21" s="327">
        <v>7</v>
      </c>
      <c r="K21" s="72"/>
      <c r="L21" s="72"/>
    </row>
    <row r="22" spans="1:12">
      <c r="A22" s="72"/>
      <c r="B22" s="380" t="s">
        <v>62</v>
      </c>
      <c r="C22" s="380"/>
      <c r="D22" s="380"/>
      <c r="E22" s="160"/>
      <c r="F22" s="160"/>
      <c r="G22" s="71"/>
      <c r="H22" s="167" t="s">
        <v>67</v>
      </c>
      <c r="I22" s="203" t="s">
        <v>64</v>
      </c>
      <c r="J22" s="327">
        <v>7.5</v>
      </c>
      <c r="K22" s="72"/>
      <c r="L22" s="72"/>
    </row>
    <row r="23" spans="1:12">
      <c r="A23" s="72"/>
      <c r="B23" s="7" t="s">
        <v>65</v>
      </c>
      <c r="C23" s="203" t="s">
        <v>66</v>
      </c>
      <c r="D23" s="358">
        <v>19.8</v>
      </c>
      <c r="E23" s="160"/>
      <c r="F23" s="160"/>
      <c r="G23" s="71"/>
      <c r="H23" s="167" t="s">
        <v>364</v>
      </c>
      <c r="I23" s="203" t="s">
        <v>64</v>
      </c>
      <c r="J23" s="327">
        <v>8</v>
      </c>
      <c r="K23" s="72"/>
      <c r="L23" s="72"/>
    </row>
    <row r="24" spans="1:12">
      <c r="A24" s="72"/>
      <c r="B24" s="7" t="s">
        <v>68</v>
      </c>
      <c r="C24" s="203" t="s">
        <v>69</v>
      </c>
      <c r="D24" s="359">
        <v>2.5000000000000001E-2</v>
      </c>
      <c r="E24" s="160"/>
      <c r="F24" s="160"/>
      <c r="G24" s="71"/>
      <c r="H24" s="167" t="s">
        <v>365</v>
      </c>
      <c r="I24" s="203" t="s">
        <v>64</v>
      </c>
      <c r="J24" s="327">
        <v>8.5</v>
      </c>
      <c r="K24" s="72"/>
      <c r="L24" s="72"/>
    </row>
    <row r="25" spans="1:12">
      <c r="A25" s="72"/>
      <c r="B25" s="170" t="s">
        <v>70</v>
      </c>
      <c r="C25" s="204" t="s">
        <v>71</v>
      </c>
      <c r="D25" s="360">
        <v>7.7499999999999999E-2</v>
      </c>
      <c r="E25" s="160"/>
      <c r="F25" s="160"/>
      <c r="G25" s="71"/>
      <c r="H25" s="383" t="s">
        <v>73</v>
      </c>
      <c r="I25" s="383"/>
      <c r="J25" s="383"/>
      <c r="K25" s="72"/>
      <c r="L25" s="72"/>
    </row>
    <row r="26" spans="1:12" ht="17.25">
      <c r="A26" s="72"/>
      <c r="B26" s="391" t="s">
        <v>72</v>
      </c>
      <c r="C26" s="391"/>
      <c r="D26" s="391"/>
      <c r="E26" s="160"/>
      <c r="F26" s="160"/>
      <c r="G26" s="71"/>
      <c r="H26" s="210" t="s">
        <v>75</v>
      </c>
      <c r="I26" s="211" t="s">
        <v>52</v>
      </c>
      <c r="J26" s="119">
        <v>75</v>
      </c>
      <c r="K26" s="73"/>
      <c r="L26" s="72"/>
    </row>
    <row r="27" spans="1:12" ht="17.25">
      <c r="A27" s="72"/>
      <c r="B27" s="176" t="s">
        <v>74</v>
      </c>
      <c r="C27" s="203" t="s">
        <v>71</v>
      </c>
      <c r="D27" s="359">
        <v>7.2499999999999995E-2</v>
      </c>
      <c r="E27" s="160"/>
      <c r="F27" s="160"/>
      <c r="G27" s="71"/>
      <c r="H27" s="168" t="s">
        <v>78</v>
      </c>
      <c r="I27" s="203" t="s">
        <v>52</v>
      </c>
      <c r="J27" s="119">
        <v>570</v>
      </c>
      <c r="K27" s="73"/>
      <c r="L27" s="72"/>
    </row>
    <row r="28" spans="1:12" ht="17.25">
      <c r="A28" s="72"/>
      <c r="B28" s="176" t="s">
        <v>76</v>
      </c>
      <c r="C28" s="203" t="s">
        <v>77</v>
      </c>
      <c r="D28" s="361">
        <v>7.1999999999999998E-3</v>
      </c>
      <c r="E28" s="160"/>
      <c r="F28" s="160"/>
      <c r="G28" s="71"/>
      <c r="H28" s="168" t="s">
        <v>80</v>
      </c>
      <c r="I28" s="203" t="s">
        <v>52</v>
      </c>
      <c r="J28" s="119">
        <v>840</v>
      </c>
      <c r="K28" s="73"/>
      <c r="L28" s="72"/>
    </row>
    <row r="29" spans="1:12" ht="17.25">
      <c r="A29" s="72"/>
      <c r="B29" s="176" t="s">
        <v>79</v>
      </c>
      <c r="C29" s="203" t="s">
        <v>77</v>
      </c>
      <c r="D29" s="361">
        <v>0.01</v>
      </c>
      <c r="E29" s="160"/>
      <c r="F29" s="160"/>
      <c r="G29" s="71"/>
      <c r="H29" s="168" t="s">
        <v>82</v>
      </c>
      <c r="I29" s="203" t="s">
        <v>52</v>
      </c>
      <c r="J29" s="119">
        <v>1410</v>
      </c>
      <c r="K29" s="73"/>
      <c r="L29" s="72"/>
    </row>
    <row r="30" spans="1:12" ht="19.5" customHeight="1">
      <c r="A30" s="72"/>
      <c r="B30" s="177" t="s">
        <v>81</v>
      </c>
      <c r="C30" s="204" t="s">
        <v>77</v>
      </c>
      <c r="D30" s="362">
        <v>2.5000000000000001E-3</v>
      </c>
      <c r="E30" s="160"/>
      <c r="F30" s="160"/>
      <c r="G30" s="71"/>
      <c r="H30" s="392"/>
      <c r="I30" s="392"/>
      <c r="J30" s="392"/>
      <c r="K30" s="73"/>
      <c r="L30" s="72"/>
    </row>
    <row r="31" spans="1:12" ht="17.25" thickBot="1">
      <c r="A31" s="72"/>
      <c r="B31" s="74"/>
      <c r="C31" s="74"/>
      <c r="D31" s="160"/>
      <c r="E31" s="160"/>
      <c r="F31" s="160"/>
      <c r="G31" s="164"/>
      <c r="H31" s="171"/>
      <c r="I31" s="171"/>
      <c r="J31" s="171"/>
      <c r="K31" s="73"/>
      <c r="L31" s="72"/>
    </row>
    <row r="32" spans="1:12" ht="17.25" thickBot="1">
      <c r="A32" s="72"/>
      <c r="B32" s="384" t="s">
        <v>83</v>
      </c>
      <c r="C32" s="385"/>
      <c r="D32" s="385"/>
      <c r="E32" s="385"/>
      <c r="F32" s="386"/>
      <c r="G32" s="71"/>
      <c r="H32" s="171"/>
      <c r="I32" s="171"/>
      <c r="J32" s="171"/>
      <c r="K32" s="72"/>
      <c r="L32" s="72"/>
    </row>
    <row r="33" spans="1:12" ht="17.25" thickBot="1">
      <c r="A33" s="72"/>
      <c r="B33" s="173" t="s">
        <v>7</v>
      </c>
      <c r="C33" s="173" t="s">
        <v>8</v>
      </c>
      <c r="D33" s="172" t="s">
        <v>84</v>
      </c>
      <c r="E33" s="231" t="s">
        <v>85</v>
      </c>
      <c r="F33" s="172" t="s">
        <v>86</v>
      </c>
      <c r="G33" s="71"/>
      <c r="H33" s="171"/>
      <c r="I33" s="171"/>
      <c r="J33" s="171"/>
      <c r="K33" s="72"/>
      <c r="L33" s="72"/>
    </row>
    <row r="34" spans="1:12">
      <c r="A34" s="72"/>
      <c r="B34" s="7" t="s">
        <v>65</v>
      </c>
      <c r="C34" s="203" t="s">
        <v>87</v>
      </c>
      <c r="D34" s="358">
        <v>8</v>
      </c>
      <c r="E34" s="358">
        <v>2.5</v>
      </c>
      <c r="F34" s="358">
        <v>2</v>
      </c>
      <c r="G34" s="71"/>
      <c r="H34" s="171"/>
      <c r="I34" s="171"/>
      <c r="J34" s="171"/>
      <c r="K34" s="72"/>
      <c r="L34" s="72"/>
    </row>
    <row r="35" spans="1:12">
      <c r="A35" s="72"/>
      <c r="B35" s="7" t="s">
        <v>88</v>
      </c>
      <c r="C35" s="203" t="s">
        <v>27</v>
      </c>
      <c r="D35" s="358">
        <v>37.5</v>
      </c>
      <c r="E35" s="358">
        <v>10</v>
      </c>
      <c r="F35" s="358">
        <v>5.75</v>
      </c>
      <c r="G35" s="71"/>
      <c r="H35" s="169"/>
      <c r="I35" s="74"/>
      <c r="J35" s="72"/>
      <c r="K35" s="72"/>
      <c r="L35" s="72"/>
    </row>
    <row r="36" spans="1:12">
      <c r="A36" s="72"/>
      <c r="B36" s="7" t="s">
        <v>89</v>
      </c>
      <c r="C36" s="203" t="s">
        <v>27</v>
      </c>
      <c r="D36" s="358">
        <v>8</v>
      </c>
      <c r="E36" s="358">
        <v>3</v>
      </c>
      <c r="F36" s="358">
        <v>6</v>
      </c>
      <c r="G36" s="71"/>
      <c r="H36" s="72"/>
      <c r="I36" s="72"/>
      <c r="J36" s="72"/>
      <c r="K36" s="72"/>
      <c r="L36" s="72"/>
    </row>
    <row r="37" spans="1:12">
      <c r="A37" s="72"/>
      <c r="B37" s="7" t="s">
        <v>90</v>
      </c>
      <c r="C37" s="203" t="s">
        <v>27</v>
      </c>
      <c r="D37" s="358">
        <v>8.5</v>
      </c>
      <c r="E37" s="358">
        <v>4</v>
      </c>
      <c r="F37" s="358">
        <v>11</v>
      </c>
      <c r="G37" s="71"/>
      <c r="I37" s="72"/>
      <c r="J37" s="72"/>
      <c r="K37" s="72"/>
    </row>
    <row r="38" spans="1:12">
      <c r="A38" s="72"/>
      <c r="B38" s="7" t="s">
        <v>91</v>
      </c>
      <c r="C38" s="203" t="s">
        <v>27</v>
      </c>
      <c r="D38" s="365">
        <v>1</v>
      </c>
      <c r="E38" s="365">
        <v>1</v>
      </c>
      <c r="F38" s="365">
        <v>1</v>
      </c>
      <c r="G38" s="71"/>
      <c r="H38" s="72"/>
      <c r="I38" s="72"/>
      <c r="J38" s="72"/>
      <c r="K38" s="72"/>
      <c r="L38" s="72"/>
    </row>
    <row r="39" spans="1:12">
      <c r="A39" s="72"/>
      <c r="B39" s="170" t="s">
        <v>92</v>
      </c>
      <c r="C39" s="204" t="s">
        <v>27</v>
      </c>
      <c r="D39" s="366">
        <v>6</v>
      </c>
      <c r="E39" s="366">
        <v>4</v>
      </c>
      <c r="F39" s="366">
        <v>1</v>
      </c>
      <c r="G39" s="71"/>
      <c r="H39" s="72"/>
      <c r="I39" s="72"/>
      <c r="J39" s="72"/>
      <c r="K39" s="72"/>
      <c r="L39" s="72"/>
    </row>
    <row r="40" spans="1:12">
      <c r="A40" s="72"/>
      <c r="B40" s="393"/>
      <c r="C40" s="393"/>
      <c r="D40" s="393"/>
      <c r="E40" s="164"/>
      <c r="F40" s="164"/>
      <c r="G40" s="164"/>
      <c r="H40" s="72"/>
      <c r="I40" s="72"/>
      <c r="J40" s="72"/>
      <c r="K40" s="72"/>
      <c r="L40" s="72"/>
    </row>
    <row r="41" spans="1:12" ht="17.25" thickBot="1">
      <c r="A41" s="72"/>
      <c r="B41" s="389" t="s">
        <v>93</v>
      </c>
      <c r="C41" s="390"/>
      <c r="D41" s="182" t="s">
        <v>84</v>
      </c>
      <c r="E41" s="182" t="s">
        <v>85</v>
      </c>
      <c r="F41" s="183" t="s">
        <v>86</v>
      </c>
      <c r="G41" s="71"/>
      <c r="H41" s="72"/>
      <c r="I41" s="72"/>
      <c r="J41" s="72"/>
      <c r="K41" s="72"/>
    </row>
    <row r="42" spans="1:12">
      <c r="A42" s="72"/>
      <c r="B42" s="184" t="s">
        <v>7</v>
      </c>
      <c r="C42" s="185" t="s">
        <v>66</v>
      </c>
      <c r="D42" s="186" t="s">
        <v>87</v>
      </c>
      <c r="E42" s="186" t="s">
        <v>87</v>
      </c>
      <c r="F42" s="187" t="s">
        <v>87</v>
      </c>
      <c r="G42" s="72"/>
      <c r="H42" s="72"/>
      <c r="I42" s="72"/>
      <c r="J42" s="72"/>
      <c r="K42" s="72"/>
      <c r="L42" s="72"/>
    </row>
    <row r="43" spans="1:12">
      <c r="A43" s="72"/>
      <c r="B43" s="6" t="s">
        <v>94</v>
      </c>
      <c r="C43" s="112">
        <v>53.67</v>
      </c>
      <c r="D43" s="96">
        <v>50</v>
      </c>
      <c r="E43" s="96">
        <v>25</v>
      </c>
      <c r="F43" s="96">
        <v>90</v>
      </c>
      <c r="G43" s="72"/>
      <c r="I43" s="72"/>
      <c r="J43" s="72"/>
      <c r="K43" s="72"/>
      <c r="L43" s="72"/>
    </row>
    <row r="44" spans="1:12">
      <c r="A44" s="72"/>
      <c r="B44" s="6" t="s">
        <v>95</v>
      </c>
      <c r="C44" s="112">
        <v>15</v>
      </c>
      <c r="D44" s="96">
        <v>0</v>
      </c>
      <c r="E44" s="96">
        <v>15</v>
      </c>
      <c r="F44" s="96">
        <v>75</v>
      </c>
      <c r="G44" s="72"/>
      <c r="H44" s="72"/>
      <c r="I44" s="72"/>
      <c r="J44" s="72"/>
      <c r="K44" s="72"/>
      <c r="L44" s="72"/>
    </row>
    <row r="45" spans="1:12">
      <c r="A45" s="72"/>
      <c r="B45" s="6" t="s">
        <v>96</v>
      </c>
      <c r="C45" s="112">
        <v>40</v>
      </c>
      <c r="D45" s="96">
        <v>15</v>
      </c>
      <c r="E45" s="96">
        <v>20</v>
      </c>
      <c r="F45" s="96">
        <v>32</v>
      </c>
      <c r="G45" s="72"/>
      <c r="H45" s="72"/>
      <c r="I45" s="72"/>
      <c r="J45" s="72"/>
      <c r="K45" s="72"/>
      <c r="L45" s="72"/>
    </row>
    <row r="46" spans="1:12">
      <c r="A46" s="72"/>
      <c r="B46" s="6" t="s">
        <v>97</v>
      </c>
      <c r="C46" s="112">
        <v>20</v>
      </c>
      <c r="D46" s="96">
        <v>12</v>
      </c>
      <c r="E46" s="96">
        <v>8</v>
      </c>
      <c r="F46" s="96">
        <v>16</v>
      </c>
      <c r="G46" s="72"/>
      <c r="H46" s="72"/>
      <c r="I46" s="72"/>
      <c r="J46" s="72"/>
      <c r="K46" s="72"/>
      <c r="L46" s="72"/>
    </row>
    <row r="47" spans="1:12">
      <c r="A47" s="72"/>
      <c r="B47" s="58" t="s">
        <v>98</v>
      </c>
      <c r="C47" s="113">
        <v>12</v>
      </c>
      <c r="D47" s="99">
        <v>180</v>
      </c>
      <c r="E47" s="99">
        <v>40</v>
      </c>
      <c r="F47" s="99"/>
      <c r="G47" s="72"/>
      <c r="H47" s="72"/>
      <c r="I47" s="72"/>
      <c r="J47" s="72"/>
      <c r="K47" s="72"/>
      <c r="L47" s="72"/>
    </row>
    <row r="48" spans="1:12" ht="17.25" thickBot="1">
      <c r="A48" s="72"/>
      <c r="B48" s="72"/>
      <c r="C48" s="72"/>
      <c r="D48" s="72"/>
      <c r="E48" s="72"/>
      <c r="F48" s="72"/>
      <c r="G48" s="72"/>
      <c r="H48" s="72"/>
      <c r="I48" s="72"/>
      <c r="J48" s="72"/>
      <c r="K48" s="72"/>
      <c r="L48" s="72"/>
    </row>
    <row r="49" spans="1:12" ht="17.25">
      <c r="A49" s="72"/>
      <c r="B49" s="387" t="s">
        <v>99</v>
      </c>
      <c r="C49" s="388"/>
      <c r="D49" s="388"/>
      <c r="E49" s="388"/>
      <c r="F49" s="388"/>
      <c r="G49" s="72"/>
      <c r="H49" s="72"/>
      <c r="I49" s="72"/>
      <c r="J49" s="72"/>
      <c r="K49" s="72"/>
      <c r="L49" s="72"/>
    </row>
    <row r="50" spans="1:12" ht="17.25" thickBot="1">
      <c r="A50" s="72"/>
      <c r="B50" s="178" t="s">
        <v>100</v>
      </c>
      <c r="C50" s="132" t="s">
        <v>101</v>
      </c>
      <c r="D50" s="132" t="s">
        <v>102</v>
      </c>
      <c r="E50" s="232" t="s">
        <v>103</v>
      </c>
      <c r="F50" s="132" t="s">
        <v>104</v>
      </c>
      <c r="G50" s="72"/>
      <c r="H50" s="72"/>
      <c r="I50" s="72"/>
      <c r="J50" s="72"/>
      <c r="K50" s="72"/>
      <c r="L50" s="72"/>
    </row>
    <row r="51" spans="1:12">
      <c r="A51" s="72"/>
      <c r="B51" s="6" t="s">
        <v>105</v>
      </c>
      <c r="C51" s="119">
        <v>14000</v>
      </c>
      <c r="D51" s="96">
        <v>20</v>
      </c>
      <c r="E51" s="117">
        <v>0.35</v>
      </c>
      <c r="F51" s="6">
        <f>(C51-(E51*C51))/D51</f>
        <v>455</v>
      </c>
      <c r="G51" s="72"/>
      <c r="H51" s="72"/>
      <c r="I51" s="72"/>
      <c r="J51" s="72"/>
      <c r="K51" s="72"/>
      <c r="L51" s="72"/>
    </row>
    <row r="52" spans="1:12">
      <c r="A52" s="72"/>
      <c r="B52" s="6" t="s">
        <v>106</v>
      </c>
      <c r="C52" s="119">
        <v>5000</v>
      </c>
      <c r="D52" s="96">
        <v>25</v>
      </c>
      <c r="E52" s="117">
        <v>0.25</v>
      </c>
      <c r="F52" s="138">
        <f>(C52-(E52*C52))/D52</f>
        <v>150</v>
      </c>
      <c r="G52" s="72"/>
      <c r="H52" s="352"/>
      <c r="I52" s="72"/>
      <c r="J52" s="72"/>
      <c r="K52" s="72"/>
      <c r="L52" s="72"/>
    </row>
    <row r="53" spans="1:12">
      <c r="A53" s="72"/>
      <c r="B53" s="6" t="s">
        <v>107</v>
      </c>
      <c r="C53" s="119">
        <v>5625</v>
      </c>
      <c r="D53" s="96">
        <v>25</v>
      </c>
      <c r="E53" s="117">
        <v>0.25</v>
      </c>
      <c r="F53" s="6">
        <f>(C53-(E53*C53))/D53</f>
        <v>168.75</v>
      </c>
      <c r="G53" s="72"/>
      <c r="H53" s="353"/>
      <c r="K53" s="72"/>
      <c r="L53" s="72"/>
    </row>
    <row r="54" spans="1:12">
      <c r="A54" s="72"/>
      <c r="B54" s="58" t="s">
        <v>371</v>
      </c>
      <c r="C54" s="120">
        <v>5000</v>
      </c>
      <c r="D54" s="99">
        <v>25</v>
      </c>
      <c r="E54" s="118">
        <v>0.25</v>
      </c>
      <c r="F54" s="58">
        <f>(C54-(E54*C54))/D54</f>
        <v>150</v>
      </c>
      <c r="G54" s="72"/>
      <c r="K54" s="72"/>
      <c r="L54" s="72"/>
    </row>
    <row r="55" spans="1:12">
      <c r="B55" s="72"/>
      <c r="C55" s="72"/>
      <c r="D55" s="72"/>
      <c r="E55" s="72"/>
      <c r="F55" s="72"/>
    </row>
    <row r="56" spans="1:12" hidden="1">
      <c r="B56" s="72"/>
      <c r="C56" s="72"/>
      <c r="D56" s="72"/>
      <c r="E56" s="72"/>
      <c r="F56" s="72"/>
    </row>
    <row r="57" spans="1:12" hidden="1">
      <c r="B57" s="72"/>
      <c r="C57" s="72"/>
      <c r="D57" s="72"/>
      <c r="E57" s="72"/>
      <c r="F57" s="72"/>
    </row>
  </sheetData>
  <sheetProtection sheet="1" objects="1" scenarios="1"/>
  <protectedRanges>
    <protectedRange sqref="D4:D8 D23:D25 D27:D30 D34:F39 C43:F47 C51:E54 J4:J6 J8:J15 J17:J19 J21:J24 D10:D21 J26:J29" name="Grey cells"/>
  </protectedRanges>
  <mergeCells count="16">
    <mergeCell ref="H20:J20"/>
    <mergeCell ref="B32:F32"/>
    <mergeCell ref="B49:F49"/>
    <mergeCell ref="B41:C41"/>
    <mergeCell ref="B26:D26"/>
    <mergeCell ref="B22:D22"/>
    <mergeCell ref="H25:J25"/>
    <mergeCell ref="H30:J30"/>
    <mergeCell ref="B40:D40"/>
    <mergeCell ref="B9:D9"/>
    <mergeCell ref="H1:J1"/>
    <mergeCell ref="H3:J3"/>
    <mergeCell ref="H16:J16"/>
    <mergeCell ref="H7:J7"/>
    <mergeCell ref="B1:D1"/>
    <mergeCell ref="B3:D3"/>
  </mergeCells>
  <pageMargins left="0.7" right="0.7" top="0.75" bottom="0.75" header="0.3" footer="0.3"/>
  <pageSetup orientation="portrait" r:id="rId1"/>
  <rowBreaks count="1" manualBreakCount="1">
    <brk id="36" max="16383" man="1"/>
  </rowBreaks>
  <ignoredErrors>
    <ignoredError sqref="E15"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814B-30CB-4A4A-A4D7-1BF1915263ED}">
  <dimension ref="A1:O38"/>
  <sheetViews>
    <sheetView showGridLines="0" topLeftCell="B1" workbookViewId="0">
      <selection activeCell="I10" activeCellId="2" sqref="I28 I19 I10"/>
    </sheetView>
  </sheetViews>
  <sheetFormatPr defaultColWidth="0" defaultRowHeight="16.5" zeroHeight="1"/>
  <cols>
    <col min="1" max="1" width="3.7109375" style="72" customWidth="1"/>
    <col min="2" max="2" width="25" style="6" customWidth="1"/>
    <col min="3" max="3" width="21.85546875" style="6" customWidth="1"/>
    <col min="4" max="4" width="8.7109375" style="6" customWidth="1"/>
    <col min="5" max="5" width="13" style="6" customWidth="1"/>
    <col min="6" max="6" width="11" style="6" customWidth="1"/>
    <col min="7" max="7" width="9.85546875" style="6" customWidth="1"/>
    <col min="8" max="8" width="11.85546875" style="6" bestFit="1" customWidth="1"/>
    <col min="9" max="9" width="11.140625" style="6" bestFit="1" customWidth="1"/>
    <col min="10" max="10" width="19" style="6" bestFit="1" customWidth="1"/>
    <col min="11" max="13" width="9.140625" style="6" hidden="1" customWidth="1"/>
    <col min="14" max="14" width="19.5703125" style="6" hidden="1" customWidth="1"/>
    <col min="15" max="15" width="9.140625" style="6" hidden="1" customWidth="1"/>
    <col min="16" max="16384" width="9.140625" style="6" hidden="1"/>
  </cols>
  <sheetData>
    <row r="1" spans="2:15" ht="18" thickBot="1">
      <c r="B1" s="400" t="s">
        <v>108</v>
      </c>
      <c r="C1" s="401"/>
      <c r="D1" s="401"/>
      <c r="E1" s="401"/>
      <c r="F1" s="401"/>
      <c r="G1" s="401"/>
      <c r="H1" s="401"/>
      <c r="I1" s="402"/>
      <c r="J1" s="72"/>
      <c r="K1" s="72"/>
    </row>
    <row r="2" spans="2:15" ht="17.25" thickBot="1">
      <c r="B2" s="144" t="s">
        <v>8</v>
      </c>
      <c r="C2" s="61" t="s">
        <v>109</v>
      </c>
      <c r="D2" s="61" t="s">
        <v>8</v>
      </c>
      <c r="E2" s="63" t="s">
        <v>110</v>
      </c>
      <c r="F2" s="63" t="s">
        <v>111</v>
      </c>
      <c r="G2" s="63" t="s">
        <v>112</v>
      </c>
      <c r="H2" s="63" t="s">
        <v>113</v>
      </c>
      <c r="I2" s="64" t="s">
        <v>114</v>
      </c>
      <c r="J2" s="121"/>
      <c r="K2" s="72"/>
    </row>
    <row r="3" spans="2:15">
      <c r="B3" s="55" t="s">
        <v>118</v>
      </c>
      <c r="C3" s="6" t="s">
        <v>33</v>
      </c>
      <c r="D3" s="65" t="s">
        <v>115</v>
      </c>
      <c r="E3" s="138">
        <f>365-E5</f>
        <v>245</v>
      </c>
      <c r="F3" s="137"/>
      <c r="G3" s="212">
        <f>E3*(Inputs!J15)*1.2/30/1000/(Inputs!J17-Inputs!J18-Inputs!J19)</f>
        <v>14.759036144578314</v>
      </c>
      <c r="H3" s="62">
        <f>Inputs!D10</f>
        <v>20</v>
      </c>
      <c r="I3" s="152">
        <f>PRODUCT(G3*H3)</f>
        <v>295.18072289156629</v>
      </c>
      <c r="J3" s="71"/>
      <c r="K3" s="72"/>
    </row>
    <row r="4" spans="2:15">
      <c r="B4" s="55" t="s">
        <v>116</v>
      </c>
      <c r="C4" s="6" t="s">
        <v>33</v>
      </c>
      <c r="D4" s="65" t="s">
        <v>115</v>
      </c>
      <c r="E4" s="138"/>
      <c r="F4" s="137"/>
      <c r="G4" s="212">
        <f>E3/30*1.8/Inputs!J9/(Inputs!J17-Inputs!J18-Inputs!J19)</f>
        <v>0.70843373493975903</v>
      </c>
      <c r="H4" s="62">
        <f>Inputs!D10</f>
        <v>20</v>
      </c>
      <c r="I4" s="152">
        <f>PRODUCT(G4*H4)</f>
        <v>14.168674698795181</v>
      </c>
      <c r="J4" s="71"/>
      <c r="K4" s="72"/>
    </row>
    <row r="5" spans="2:15">
      <c r="B5" s="55" t="s">
        <v>118</v>
      </c>
      <c r="C5" s="96" t="s">
        <v>40</v>
      </c>
      <c r="D5" s="65" t="s">
        <v>117</v>
      </c>
      <c r="E5" s="96">
        <v>120</v>
      </c>
      <c r="F5" s="112">
        <v>34.5</v>
      </c>
      <c r="G5" s="56">
        <f>PRODUCT(E5,F5)/(Inputs!J17-Inputs!J18-Inputs!J19)</f>
        <v>4987.9518072289156</v>
      </c>
      <c r="H5" s="62">
        <f>IFERROR(VLOOKUP(Feed!C5,Inputs!$B$11:$E$20,4,FALSE),"-")</f>
        <v>5.7500000000000002E-2</v>
      </c>
      <c r="I5" s="152">
        <f t="shared" ref="I5:I9" si="0">PRODUCT(G5*H5)</f>
        <v>286.80722891566268</v>
      </c>
      <c r="J5" s="71"/>
      <c r="K5" s="72"/>
    </row>
    <row r="6" spans="2:15">
      <c r="B6" s="55" t="s">
        <v>116</v>
      </c>
      <c r="C6" s="96" t="s">
        <v>40</v>
      </c>
      <c r="D6" s="65" t="s">
        <v>117</v>
      </c>
      <c r="E6" s="96">
        <v>120</v>
      </c>
      <c r="F6" s="112">
        <v>50</v>
      </c>
      <c r="G6" s="56">
        <f>PRODUCT(E6,F6)/Inputs!J9/(Inputs!J17-Inputs!J18-Inputs!J19)</f>
        <v>289.15662650602411</v>
      </c>
      <c r="H6" s="62">
        <f>IFERROR(VLOOKUP(Feed!C6,Inputs!$B$11:$E$20,4,FALSE),"-")</f>
        <v>5.7500000000000002E-2</v>
      </c>
      <c r="I6" s="152">
        <f>PRODUCT(G6*H6)</f>
        <v>16.626506024096386</v>
      </c>
      <c r="J6" s="71"/>
      <c r="K6" s="72"/>
    </row>
    <row r="7" spans="2:15">
      <c r="B7" s="55" t="s">
        <v>118</v>
      </c>
      <c r="C7" s="96" t="s">
        <v>50</v>
      </c>
      <c r="D7" s="65" t="s">
        <v>117</v>
      </c>
      <c r="E7" s="96">
        <v>30</v>
      </c>
      <c r="F7" s="112">
        <v>3</v>
      </c>
      <c r="G7" s="56">
        <f>PRODUCT(E7,F7)/(Inputs!J17-Inputs!J18-Inputs!J19)</f>
        <v>108.43373493975903</v>
      </c>
      <c r="H7" s="62">
        <f>IFERROR(VLOOKUP(Feed!C7,Inputs!$B$11:$E$20,4,FALSE),"-")</f>
        <v>0.09</v>
      </c>
      <c r="I7" s="152">
        <f t="shared" si="0"/>
        <v>9.759036144578312</v>
      </c>
      <c r="J7" s="71"/>
      <c r="K7" s="72"/>
    </row>
    <row r="8" spans="2:15">
      <c r="B8" s="55" t="s">
        <v>116</v>
      </c>
      <c r="C8" s="96" t="s">
        <v>50</v>
      </c>
      <c r="D8" s="65" t="s">
        <v>117</v>
      </c>
      <c r="E8" s="96">
        <v>30</v>
      </c>
      <c r="F8" s="112">
        <v>3</v>
      </c>
      <c r="G8" s="56">
        <f>PRODUCT(E8,F8)/Inputs!J9/(Inputs!J17-Inputs!J18-Inputs!J19)</f>
        <v>4.3373493975903621</v>
      </c>
      <c r="H8" s="62">
        <f>IFERROR(VLOOKUP(Feed!C8,Inputs!$B$11:$E$20,4,FALSE),"-")</f>
        <v>0.09</v>
      </c>
      <c r="I8" s="152">
        <f t="shared" si="0"/>
        <v>0.39036144578313259</v>
      </c>
      <c r="J8" s="71"/>
      <c r="K8" s="72"/>
    </row>
    <row r="9" spans="2:15">
      <c r="B9" s="57" t="s">
        <v>118</v>
      </c>
      <c r="C9" s="99" t="s">
        <v>367</v>
      </c>
      <c r="D9" s="133" t="s">
        <v>117</v>
      </c>
      <c r="E9" s="99">
        <v>365</v>
      </c>
      <c r="F9" s="113">
        <v>0.25</v>
      </c>
      <c r="G9" s="59">
        <f>PRODUCT(E9,F9)/(Inputs!J17-Inputs!J18-Inputs!J19)</f>
        <v>109.93975903614458</v>
      </c>
      <c r="H9" s="136">
        <f>IFERROR(VLOOKUP(Feed!C9,Inputs!$B$11:$E$20,4,FALSE),"-")</f>
        <v>0.6</v>
      </c>
      <c r="I9" s="153">
        <f t="shared" si="0"/>
        <v>65.963855421686745</v>
      </c>
      <c r="J9" s="71"/>
      <c r="K9" s="72"/>
    </row>
    <row r="10" spans="2:15" ht="17.25" thickBot="1">
      <c r="B10" s="159" t="s">
        <v>119</v>
      </c>
      <c r="C10" s="104"/>
      <c r="D10" s="104"/>
      <c r="E10" s="104"/>
      <c r="F10" s="104"/>
      <c r="G10" s="104"/>
      <c r="H10" s="154" t="s">
        <v>112</v>
      </c>
      <c r="I10" s="155">
        <f>SUM(I3:I9)</f>
        <v>688.89638554216879</v>
      </c>
      <c r="J10" s="123"/>
      <c r="K10" s="72"/>
    </row>
    <row r="11" spans="2:15" ht="17.25" thickBot="1">
      <c r="C11" s="72"/>
      <c r="D11" s="72"/>
      <c r="E11" s="72"/>
      <c r="F11" s="72"/>
      <c r="G11" s="72"/>
      <c r="H11" s="122"/>
      <c r="I11" s="123"/>
      <c r="J11" s="72"/>
      <c r="K11" s="72"/>
    </row>
    <row r="12" spans="2:15" ht="18" thickBot="1">
      <c r="B12" s="400" t="s">
        <v>120</v>
      </c>
      <c r="C12" s="401"/>
      <c r="D12" s="401"/>
      <c r="E12" s="401"/>
      <c r="F12" s="401" t="s">
        <v>121</v>
      </c>
      <c r="G12" s="401"/>
      <c r="H12" s="401"/>
      <c r="I12" s="402"/>
      <c r="J12" s="72"/>
      <c r="K12" s="72"/>
      <c r="N12" s="394" t="s">
        <v>122</v>
      </c>
      <c r="O12" s="395"/>
    </row>
    <row r="13" spans="2:15" ht="17.25" thickBot="1">
      <c r="B13" s="144" t="s">
        <v>8</v>
      </c>
      <c r="C13" s="61" t="s">
        <v>109</v>
      </c>
      <c r="D13" s="61" t="s">
        <v>8</v>
      </c>
      <c r="E13" s="63" t="s">
        <v>110</v>
      </c>
      <c r="F13" s="63" t="s">
        <v>111</v>
      </c>
      <c r="G13" s="63" t="s">
        <v>112</v>
      </c>
      <c r="H13" s="63" t="s">
        <v>113</v>
      </c>
      <c r="I13" s="64" t="s">
        <v>114</v>
      </c>
      <c r="J13" s="72"/>
      <c r="K13" s="72"/>
      <c r="N13" s="215" t="s">
        <v>123</v>
      </c>
      <c r="O13" s="216" t="s">
        <v>55</v>
      </c>
    </row>
    <row r="14" spans="2:15">
      <c r="B14" s="55" t="s">
        <v>124</v>
      </c>
      <c r="C14" s="96" t="s">
        <v>46</v>
      </c>
      <c r="D14" s="69" t="s">
        <v>117</v>
      </c>
      <c r="E14" s="60">
        <f>Inputs!$J$5</f>
        <v>120</v>
      </c>
      <c r="F14" s="112">
        <f>(Inputs!$J$28-AVERAGE(Inputs!$J$27:$J$27))*AVERAGE(Inputs!$J$21:$J$22)/Feed!E14*Feed!O14</f>
        <v>4.078125</v>
      </c>
      <c r="G14" s="56">
        <f>E14*F14/(1-Inputs!J18-Inputs!J19)</f>
        <v>499.36224489795921</v>
      </c>
      <c r="H14" s="66">
        <f>IFERROR(VLOOKUP(Feed!C14,Inputs!$B$11:$E$20,4,FALSE),"-")</f>
        <v>8.3928571428571436E-2</v>
      </c>
      <c r="I14" s="156">
        <f>G14*H14</f>
        <v>41.910759839650154</v>
      </c>
      <c r="J14" s="72"/>
      <c r="K14" s="72"/>
      <c r="N14" s="217" t="s">
        <v>125</v>
      </c>
      <c r="O14" s="218">
        <v>0.25</v>
      </c>
    </row>
    <row r="15" spans="2:15">
      <c r="B15" s="55" t="s">
        <v>124</v>
      </c>
      <c r="C15" s="96" t="s">
        <v>50</v>
      </c>
      <c r="D15" s="69" t="s">
        <v>117</v>
      </c>
      <c r="E15" s="60">
        <f>Inputs!$J$5</f>
        <v>120</v>
      </c>
      <c r="F15" s="112">
        <f>(Inputs!$J$28-AVERAGE(Inputs!$J$27:$J$27))*AVERAGE(Inputs!$J$21:$J$22)/Feed!E15*Feed!O15</f>
        <v>2.4468749999999999</v>
      </c>
      <c r="G15" s="56">
        <f>PRODUCT(E15,F15)/(1-Inputs!J18-Inputs!J19)</f>
        <v>299.61734693877554</v>
      </c>
      <c r="H15" s="66">
        <f>IFERROR(VLOOKUP(Feed!C15,Inputs!$B$11:$E$20,4,FALSE),"-")</f>
        <v>0.09</v>
      </c>
      <c r="I15" s="114">
        <f>IFERROR(PRODUCT(G15*H15),"-")</f>
        <v>26.965561224489797</v>
      </c>
      <c r="J15" s="72"/>
      <c r="K15" s="72"/>
      <c r="N15" s="217" t="s">
        <v>126</v>
      </c>
      <c r="O15" s="218">
        <v>0.15</v>
      </c>
    </row>
    <row r="16" spans="2:15">
      <c r="B16" s="55" t="s">
        <v>124</v>
      </c>
      <c r="C16" s="96" t="s">
        <v>40</v>
      </c>
      <c r="D16" s="65" t="s">
        <v>117</v>
      </c>
      <c r="E16" s="60">
        <f>Inputs!$J$5</f>
        <v>120</v>
      </c>
      <c r="F16" s="112">
        <f>(Inputs!$J$28-AVERAGE(Inputs!$J$27:$J$27))*AVERAGE(Inputs!$J$21:$J$22)/Feed!E16*Feed!O16</f>
        <v>9.5428125000000001</v>
      </c>
      <c r="G16" s="56">
        <f>PRODUCT(E16,F16)/(1-Inputs!J18-Inputs!J19)</f>
        <v>1168.5076530612246</v>
      </c>
      <c r="H16" s="66">
        <f>IFERROR(VLOOKUP(Feed!C16,Inputs!$B$11:$E$20,4,FALSE),"-")</f>
        <v>5.7500000000000002E-2</v>
      </c>
      <c r="I16" s="114">
        <f t="shared" ref="I16:I18" si="1">IFERROR(PRODUCT(G16*H16),"-")</f>
        <v>67.189190051020418</v>
      </c>
      <c r="J16" s="72"/>
      <c r="K16" s="72"/>
      <c r="N16" s="217" t="s">
        <v>40</v>
      </c>
      <c r="O16" s="218">
        <v>0.58499999999999996</v>
      </c>
    </row>
    <row r="17" spans="2:15">
      <c r="B17" s="55" t="s">
        <v>124</v>
      </c>
      <c r="C17" s="96" t="s">
        <v>58</v>
      </c>
      <c r="D17" s="65" t="s">
        <v>117</v>
      </c>
      <c r="E17" s="60">
        <f>Inputs!$J$5</f>
        <v>120</v>
      </c>
      <c r="F17" s="112">
        <f>(Inputs!$J$28-AVERAGE(Inputs!$J$27:$J$27))*AVERAGE(Inputs!$J$21:$J$22)/Feed!E17*Feed!O17</f>
        <v>8.1562499999999996E-2</v>
      </c>
      <c r="G17" s="56">
        <f>PRODUCT(E17,F17)/(1-Inputs!J18-Inputs!J19)</f>
        <v>9.987244897959183</v>
      </c>
      <c r="H17" s="66">
        <f>IFERROR(VLOOKUP(Feed!C17,Inputs!$B$11:$E$20,4,FALSE),"-")</f>
        <v>0.1</v>
      </c>
      <c r="I17" s="114">
        <f t="shared" si="1"/>
        <v>0.99872448979591832</v>
      </c>
      <c r="J17" s="72"/>
      <c r="K17" s="72"/>
      <c r="N17" s="217" t="s">
        <v>58</v>
      </c>
      <c r="O17" s="218">
        <v>5.0000000000000001E-3</v>
      </c>
    </row>
    <row r="18" spans="2:15" ht="17.25" thickBot="1">
      <c r="B18" s="55" t="s">
        <v>124</v>
      </c>
      <c r="C18" s="96" t="s">
        <v>367</v>
      </c>
      <c r="D18" s="133" t="s">
        <v>117</v>
      </c>
      <c r="E18" s="134">
        <f>Inputs!$J$5</f>
        <v>120</v>
      </c>
      <c r="F18" s="112">
        <f>(Inputs!$J$28-AVERAGE(Inputs!$J$27:$J$27))*AVERAGE(Inputs!$J$21:$J$22)/Feed!E18*Feed!O18</f>
        <v>0.16312499999999999</v>
      </c>
      <c r="G18" s="59">
        <f>PRODUCT(E18,F18)/(1-Inputs!J18-Inputs!J19)</f>
        <v>19.974489795918366</v>
      </c>
      <c r="H18" s="66">
        <f>IFERROR(VLOOKUP(Feed!C18,Inputs!$B$11:$E$20,4,FALSE),"-")</f>
        <v>0.6</v>
      </c>
      <c r="I18" s="115">
        <f t="shared" si="1"/>
        <v>11.984693877551019</v>
      </c>
      <c r="J18" s="72"/>
      <c r="K18" s="72"/>
      <c r="N18" s="219" t="s">
        <v>367</v>
      </c>
      <c r="O18" s="220">
        <v>0.01</v>
      </c>
    </row>
    <row r="19" spans="2:15" ht="17.25" thickBot="1">
      <c r="B19" s="145"/>
      <c r="C19" s="146"/>
      <c r="D19" s="146"/>
      <c r="E19" s="147" t="s">
        <v>127</v>
      </c>
      <c r="F19" s="148">
        <f>SUM(F14:F18)</f>
        <v>16.312500000000004</v>
      </c>
      <c r="G19" s="146"/>
      <c r="H19" s="157" t="s">
        <v>112</v>
      </c>
      <c r="I19" s="158">
        <f>SUM(I14:I18)</f>
        <v>149.04892948250728</v>
      </c>
      <c r="J19" s="121"/>
      <c r="K19" s="72"/>
    </row>
    <row r="20" spans="2:15" ht="17.25" thickBot="1">
      <c r="B20" s="55"/>
      <c r="C20" s="72"/>
      <c r="D20" s="72"/>
      <c r="E20" s="122"/>
      <c r="F20" s="129"/>
      <c r="G20" s="130"/>
      <c r="H20" s="131"/>
      <c r="I20" s="71"/>
      <c r="J20" s="72"/>
      <c r="K20" s="72"/>
    </row>
    <row r="21" spans="2:15" ht="18" thickBot="1">
      <c r="B21" s="400" t="s">
        <v>128</v>
      </c>
      <c r="C21" s="401"/>
      <c r="D21" s="401"/>
      <c r="E21" s="401"/>
      <c r="F21" s="401"/>
      <c r="G21" s="401"/>
      <c r="H21" s="401"/>
      <c r="I21" s="402"/>
      <c r="J21" s="121"/>
      <c r="K21" s="72"/>
      <c r="N21" s="394" t="s">
        <v>129</v>
      </c>
      <c r="O21" s="395"/>
    </row>
    <row r="22" spans="2:15" ht="17.25" thickBot="1">
      <c r="B22" s="144" t="s">
        <v>8</v>
      </c>
      <c r="C22" s="61" t="s">
        <v>109</v>
      </c>
      <c r="D22" s="61" t="s">
        <v>8</v>
      </c>
      <c r="E22" s="63" t="s">
        <v>110</v>
      </c>
      <c r="F22" s="63" t="s">
        <v>111</v>
      </c>
      <c r="G22" s="63" t="s">
        <v>112</v>
      </c>
      <c r="H22" s="63" t="s">
        <v>113</v>
      </c>
      <c r="I22" s="64" t="s">
        <v>114</v>
      </c>
      <c r="J22" s="71"/>
      <c r="K22" s="72"/>
      <c r="N22" s="215" t="s">
        <v>123</v>
      </c>
      <c r="O22" s="216" t="s">
        <v>55</v>
      </c>
    </row>
    <row r="23" spans="2:15">
      <c r="B23" s="55" t="s">
        <v>124</v>
      </c>
      <c r="C23" s="96" t="s">
        <v>46</v>
      </c>
      <c r="D23" s="6" t="s">
        <v>117</v>
      </c>
      <c r="E23" s="60">
        <f>Inputs!$J$6</f>
        <v>190</v>
      </c>
      <c r="F23" s="112">
        <f>(AVERAGE(Inputs!$J$29:$J$29)-AVERAGE(Inputs!$J$28:$J$28))*AVERAGE(Inputs!$J$23:$J$24)*Feed!O23/E23</f>
        <v>16.830000000000002</v>
      </c>
      <c r="G23" s="56">
        <f>PRODUCT(E23,F23)/(1-Inputs!J19)</f>
        <v>3230.0000000000005</v>
      </c>
      <c r="H23" s="67">
        <f>IFERROR(VLOOKUP(Feed!C23,Inputs!$B$11:$E$20,4,FALSE),"-")</f>
        <v>8.3928571428571436E-2</v>
      </c>
      <c r="I23" s="114">
        <f>PRODUCT(G23*H23)</f>
        <v>271.08928571428578</v>
      </c>
      <c r="J23" s="72"/>
      <c r="K23" s="72"/>
      <c r="N23" s="217" t="s">
        <v>125</v>
      </c>
      <c r="O23" s="218">
        <v>0.68</v>
      </c>
    </row>
    <row r="24" spans="2:15">
      <c r="B24" s="55" t="s">
        <v>124</v>
      </c>
      <c r="C24" s="96" t="s">
        <v>50</v>
      </c>
      <c r="D24" s="6" t="s">
        <v>117</v>
      </c>
      <c r="E24" s="60">
        <f>Inputs!$J$6</f>
        <v>190</v>
      </c>
      <c r="F24" s="112">
        <f>(AVERAGE(Inputs!$J$29:$J$29)-AVERAGE(Inputs!$J$28:$J$28))*AVERAGE(Inputs!$J$23:$J$24)*Feed!O24/E24</f>
        <v>4.5168749999999998</v>
      </c>
      <c r="G24" s="56">
        <f>PRODUCT(E24,F24)/(1-Inputs!J19)</f>
        <v>866.875</v>
      </c>
      <c r="H24" s="67">
        <f>IFERROR(VLOOKUP(Feed!C24,Inputs!$B$11:$E$20,4,FALSE),"-")</f>
        <v>0.09</v>
      </c>
      <c r="I24" s="114">
        <f t="shared" ref="I24:I27" si="2">IFERROR(PRODUCT(G24*H24),"-")</f>
        <v>78.018749999999997</v>
      </c>
      <c r="J24" s="72"/>
      <c r="K24" s="72"/>
      <c r="N24" s="217" t="s">
        <v>126</v>
      </c>
      <c r="O24" s="218">
        <v>0.1825</v>
      </c>
    </row>
    <row r="25" spans="2:15">
      <c r="B25" s="55" t="s">
        <v>124</v>
      </c>
      <c r="C25" s="96" t="s">
        <v>40</v>
      </c>
      <c r="D25" s="6" t="s">
        <v>117</v>
      </c>
      <c r="E25" s="60">
        <f>Inputs!$J$6</f>
        <v>190</v>
      </c>
      <c r="F25" s="112">
        <f>(AVERAGE(Inputs!$J$29:$J$29)-AVERAGE(Inputs!$J$28:$J$28))*AVERAGE(Inputs!$J$23:$J$24)*Feed!O25/E25</f>
        <v>2.9699999999999998</v>
      </c>
      <c r="G25" s="56">
        <f>PRODUCT(E25,F25)/(1-Inputs!J19)</f>
        <v>570</v>
      </c>
      <c r="H25" s="67">
        <f>IFERROR(VLOOKUP(Feed!C25,Inputs!$B$11:$E$20,4,FALSE),"-")</f>
        <v>5.7500000000000002E-2</v>
      </c>
      <c r="I25" s="114">
        <f t="shared" si="2"/>
        <v>32.774999999999999</v>
      </c>
      <c r="J25" s="72"/>
      <c r="K25" s="72"/>
      <c r="N25" s="217" t="s">
        <v>40</v>
      </c>
      <c r="O25" s="218">
        <v>0.12</v>
      </c>
    </row>
    <row r="26" spans="2:15">
      <c r="B26" s="55" t="s">
        <v>124</v>
      </c>
      <c r="C26" s="96" t="s">
        <v>58</v>
      </c>
      <c r="D26" s="6" t="s">
        <v>117</v>
      </c>
      <c r="E26" s="60">
        <f>Inputs!$J$6</f>
        <v>190</v>
      </c>
      <c r="F26" s="112">
        <f>(AVERAGE(Inputs!$J$29:$J$29)-AVERAGE(Inputs!$J$28:$J$28))*AVERAGE(Inputs!$J$23:$J$24)*Feed!O26/E26</f>
        <v>0.2475</v>
      </c>
      <c r="G26" s="56">
        <f>PRODUCT(E26,F26)/(1-Inputs!J19)</f>
        <v>47.5</v>
      </c>
      <c r="H26" s="67">
        <f>IFERROR(VLOOKUP(Feed!C26,Inputs!$B$11:$E$20,4,FALSE),"-")</f>
        <v>0.1</v>
      </c>
      <c r="I26" s="114">
        <f t="shared" si="2"/>
        <v>4.75</v>
      </c>
      <c r="J26" s="72"/>
      <c r="K26" s="72"/>
      <c r="N26" s="217" t="s">
        <v>58</v>
      </c>
      <c r="O26" s="218">
        <v>0.01</v>
      </c>
    </row>
    <row r="27" spans="2:15" ht="17.25" thickBot="1">
      <c r="B27" s="55" t="s">
        <v>124</v>
      </c>
      <c r="C27" s="96" t="s">
        <v>367</v>
      </c>
      <c r="D27" s="58" t="s">
        <v>117</v>
      </c>
      <c r="E27" s="60">
        <f>Inputs!$J$6</f>
        <v>190</v>
      </c>
      <c r="F27" s="112">
        <f>(AVERAGE(Inputs!$J$29:$J$29)-AVERAGE(Inputs!$J$28:$J$28))*AVERAGE(Inputs!$J$23:$J$24)*Feed!O27/E27</f>
        <v>0.18562499999999998</v>
      </c>
      <c r="G27" s="59">
        <f>PRODUCT(E27,F27)/(1-Inputs!J19)</f>
        <v>35.625</v>
      </c>
      <c r="H27" s="135">
        <f>IFERROR(VLOOKUP(Feed!C27,Inputs!$B$11:$E$20,4,FALSE),"-")</f>
        <v>0.6</v>
      </c>
      <c r="I27" s="115">
        <f t="shared" si="2"/>
        <v>21.375</v>
      </c>
      <c r="J27" s="72"/>
      <c r="K27" s="72"/>
      <c r="N27" s="219" t="s">
        <v>367</v>
      </c>
      <c r="O27" s="220">
        <v>7.4999999999999997E-3</v>
      </c>
    </row>
    <row r="28" spans="2:15" ht="17.25" thickBot="1">
      <c r="B28" s="145"/>
      <c r="C28" s="146"/>
      <c r="D28" s="146"/>
      <c r="E28" s="147" t="s">
        <v>127</v>
      </c>
      <c r="F28" s="148">
        <f>SUM(F23:F27)</f>
        <v>24.75</v>
      </c>
      <c r="G28" s="149"/>
      <c r="H28" s="150" t="s">
        <v>112</v>
      </c>
      <c r="I28" s="151">
        <f>SUM(I23:I27)</f>
        <v>408.00803571428577</v>
      </c>
      <c r="J28" s="124"/>
      <c r="K28" s="72"/>
    </row>
    <row r="29" spans="2:15" ht="17.25" thickBot="1">
      <c r="B29" s="72"/>
      <c r="C29" s="72"/>
      <c r="D29" s="72"/>
      <c r="E29" s="72"/>
      <c r="F29" s="73"/>
      <c r="G29" s="72"/>
      <c r="H29" s="72"/>
      <c r="I29" s="72"/>
      <c r="J29" s="72"/>
    </row>
    <row r="30" spans="2:15" ht="17.25">
      <c r="B30" s="400" t="s">
        <v>130</v>
      </c>
      <c r="C30" s="401"/>
      <c r="D30" s="401"/>
      <c r="E30" s="401"/>
      <c r="F30" s="401"/>
      <c r="G30" s="402"/>
      <c r="H30" s="72"/>
      <c r="I30" s="124"/>
      <c r="J30" s="72"/>
    </row>
    <row r="31" spans="2:15" ht="16.5" customHeight="1">
      <c r="B31" s="403" t="s">
        <v>100</v>
      </c>
      <c r="C31" s="404"/>
      <c r="D31" s="139" t="s">
        <v>131</v>
      </c>
      <c r="E31" s="139" t="s">
        <v>127</v>
      </c>
      <c r="F31" s="139" t="s">
        <v>132</v>
      </c>
      <c r="G31" s="140" t="s">
        <v>133</v>
      </c>
      <c r="H31" s="72"/>
      <c r="I31" s="124"/>
      <c r="J31" s="72"/>
    </row>
    <row r="32" spans="2:15">
      <c r="B32" s="398" t="s">
        <v>134</v>
      </c>
      <c r="C32" s="399"/>
      <c r="D32" s="70">
        <f>Inputs!J27-Inputs!J26</f>
        <v>495</v>
      </c>
      <c r="E32" s="324">
        <f>D32/Inputs!$J$4</f>
        <v>2.3571428571428572</v>
      </c>
      <c r="F32" s="326" t="s">
        <v>135</v>
      </c>
      <c r="G32" s="326" t="s">
        <v>135</v>
      </c>
      <c r="H32" s="233"/>
      <c r="I32" s="108"/>
      <c r="J32" s="72"/>
    </row>
    <row r="33" spans="2:11">
      <c r="B33" s="398" t="s">
        <v>136</v>
      </c>
      <c r="C33" s="399"/>
      <c r="D33" s="141">
        <f>Inputs!J28-Inputs!J27</f>
        <v>270</v>
      </c>
      <c r="E33" s="324">
        <f>D33/Inputs!$J$5</f>
        <v>2.25</v>
      </c>
      <c r="F33" s="67">
        <f>I19/D33</f>
        <v>0.55203307215743436</v>
      </c>
      <c r="G33" s="114">
        <f>I19/Inputs!J5</f>
        <v>1.2420744123542273</v>
      </c>
      <c r="H33" s="233"/>
      <c r="I33" s="108"/>
      <c r="J33" s="72"/>
    </row>
    <row r="34" spans="2:11" ht="17.25" thickBot="1">
      <c r="B34" s="396" t="s">
        <v>137</v>
      </c>
      <c r="C34" s="397"/>
      <c r="D34" s="142">
        <f>Inputs!J29-Inputs!J28</f>
        <v>570</v>
      </c>
      <c r="E34" s="325">
        <f>D34/Inputs!$J$6</f>
        <v>3</v>
      </c>
      <c r="F34" s="143">
        <f>I28/D34</f>
        <v>0.71580357142857154</v>
      </c>
      <c r="G34" s="116">
        <f>I28/Inputs!J6</f>
        <v>2.1474107142857144</v>
      </c>
      <c r="H34" s="233"/>
      <c r="I34" s="108"/>
      <c r="J34" s="125"/>
      <c r="K34" s="72"/>
    </row>
    <row r="35" spans="2:11">
      <c r="B35" s="72"/>
      <c r="C35" s="72"/>
      <c r="D35" s="74"/>
      <c r="E35" s="127"/>
      <c r="F35" s="128"/>
      <c r="G35" s="126"/>
      <c r="H35" s="126"/>
      <c r="I35" s="124"/>
      <c r="J35" s="126"/>
      <c r="K35" s="72"/>
    </row>
    <row r="36" spans="2:11">
      <c r="B36" s="72"/>
      <c r="C36" s="72"/>
      <c r="D36" s="72"/>
      <c r="E36" s="72"/>
      <c r="F36" s="73"/>
      <c r="G36" s="123"/>
      <c r="H36" s="71"/>
      <c r="I36" s="125"/>
    </row>
    <row r="37" spans="2:11"/>
    <row r="38" spans="2:11"/>
  </sheetData>
  <sheetProtection sheet="1" objects="1" scenarios="1"/>
  <protectedRanges>
    <protectedRange sqref="E5:F9 G3 F23:F27 F14:F18" name="Grey cells"/>
  </protectedRanges>
  <mergeCells count="10">
    <mergeCell ref="B1:I1"/>
    <mergeCell ref="B12:I12"/>
    <mergeCell ref="B21:I21"/>
    <mergeCell ref="B31:C31"/>
    <mergeCell ref="B30:G30"/>
    <mergeCell ref="N21:O21"/>
    <mergeCell ref="N12:O12"/>
    <mergeCell ref="B34:C34"/>
    <mergeCell ref="B33:C33"/>
    <mergeCell ref="B32:C32"/>
  </mergeCells>
  <pageMargins left="0.7" right="0.7" top="0.75" bottom="0.75" header="0.3" footer="0.3"/>
  <pageSetup orientation="landscape" r:id="rId1"/>
  <rowBreaks count="1" manualBreakCount="1">
    <brk id="27" max="16383" man="1"/>
  </rowBreaks>
  <colBreaks count="1" manualBreakCount="1">
    <brk id="9" max="1048575" man="1"/>
  </col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481F6E3-69B4-4848-B955-4DF4706350E6}">
          <x14:formula1>
            <xm:f>Inputs!$B$11:$B$20</xm:f>
          </x14:formula1>
          <xm:sqref>C23:C27 C14:C18 C5:C9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EC299-0D16-4649-ABAC-F7EB8D5284DB}">
  <dimension ref="A1:T114"/>
  <sheetViews>
    <sheetView showGridLines="0" workbookViewId="0">
      <selection activeCell="E27" activeCellId="1" sqref="E26 E27"/>
    </sheetView>
  </sheetViews>
  <sheetFormatPr defaultColWidth="0" defaultRowHeight="16.5" zeroHeight="1"/>
  <cols>
    <col min="1" max="1" width="2.7109375" style="6" customWidth="1"/>
    <col min="2" max="2" width="3.28515625" style="6" customWidth="1"/>
    <col min="3" max="3" width="15" style="6" customWidth="1"/>
    <col min="4" max="4" width="36" style="6" customWidth="1"/>
    <col min="5" max="5" width="17" style="6" customWidth="1"/>
    <col min="6" max="6" width="15.42578125" style="6" customWidth="1"/>
    <col min="7" max="7" width="11.42578125" style="6" customWidth="1"/>
    <col min="8" max="8" width="9.140625" style="6" hidden="1" customWidth="1"/>
    <col min="9" max="9" width="29.7109375" style="6" hidden="1" customWidth="1"/>
    <col min="10" max="10" width="9.140625" style="6" hidden="1" customWidth="1"/>
    <col min="11" max="11" width="9.7109375" style="6" hidden="1" customWidth="1"/>
    <col min="12" max="12" width="9.140625" style="6" hidden="1" customWidth="1"/>
    <col min="13" max="20" width="0" style="6" hidden="1" customWidth="1"/>
    <col min="21" max="16384" width="9.140625" style="6" hidden="1"/>
  </cols>
  <sheetData>
    <row r="1" spans="1:20" ht="25.5">
      <c r="A1" s="72"/>
      <c r="B1" s="406" t="s">
        <v>138</v>
      </c>
      <c r="C1" s="407"/>
      <c r="D1" s="407"/>
      <c r="E1" s="407"/>
      <c r="F1" s="408"/>
      <c r="G1" s="72"/>
    </row>
    <row r="2" spans="1:20">
      <c r="A2" s="72"/>
      <c r="B2" s="78"/>
      <c r="C2" s="79"/>
      <c r="D2" s="79"/>
      <c r="E2" s="80"/>
      <c r="F2" s="236"/>
      <c r="G2" s="74"/>
      <c r="H2" s="7"/>
      <c r="I2" s="7"/>
      <c r="J2" s="7"/>
      <c r="K2" s="7"/>
      <c r="L2" s="7"/>
      <c r="M2" s="7"/>
      <c r="N2" s="7"/>
      <c r="O2" s="7"/>
      <c r="P2" s="7"/>
      <c r="Q2" s="7"/>
      <c r="R2" s="7"/>
      <c r="S2" s="7"/>
      <c r="T2" s="7"/>
    </row>
    <row r="3" spans="1:20">
      <c r="A3" s="72"/>
      <c r="B3" s="81" t="s">
        <v>139</v>
      </c>
      <c r="C3" s="75"/>
      <c r="D3" s="75"/>
      <c r="E3" s="246" t="s">
        <v>140</v>
      </c>
      <c r="F3" s="247" t="s">
        <v>141</v>
      </c>
      <c r="G3" s="74"/>
      <c r="H3" s="7"/>
      <c r="I3" s="7"/>
      <c r="J3" s="7"/>
      <c r="K3" s="7"/>
      <c r="L3" s="7"/>
      <c r="M3" s="7"/>
      <c r="N3" s="7"/>
      <c r="O3" s="7"/>
      <c r="P3" s="7"/>
      <c r="Q3" s="7"/>
      <c r="R3" s="7"/>
      <c r="S3" s="7"/>
      <c r="T3" s="7"/>
    </row>
    <row r="4" spans="1:20">
      <c r="A4" s="72"/>
      <c r="B4" s="82" t="s">
        <v>142</v>
      </c>
      <c r="C4" s="75" t="s">
        <v>143</v>
      </c>
      <c r="D4" s="74"/>
      <c r="E4" s="234">
        <f>Inputs!J29/100*Inputs!D4</f>
        <v>2594.4</v>
      </c>
      <c r="F4" s="235"/>
      <c r="G4" s="74"/>
      <c r="H4" s="7"/>
      <c r="I4" s="7"/>
      <c r="J4" s="7"/>
      <c r="K4" s="7"/>
      <c r="L4" s="7"/>
      <c r="M4" s="7"/>
      <c r="N4" s="7"/>
      <c r="O4" s="7"/>
      <c r="P4" s="7"/>
      <c r="Q4" s="7"/>
      <c r="R4" s="7"/>
      <c r="S4" s="7"/>
      <c r="T4" s="7"/>
    </row>
    <row r="5" spans="1:20">
      <c r="A5" s="72"/>
      <c r="B5" s="82" t="s">
        <v>144</v>
      </c>
      <c r="C5" s="75" t="s">
        <v>145</v>
      </c>
      <c r="D5" s="75"/>
      <c r="E5" s="94">
        <f>(Inputs!J14*Inputs!J15*Inputs!D7/100)+Inputs!J8/Inputs!J9/Inputs!J12*Inputs!J11/3/Inputs!J8</f>
        <v>244.55</v>
      </c>
      <c r="F5" s="236"/>
      <c r="G5" s="74"/>
      <c r="H5" s="7"/>
      <c r="I5" s="7"/>
      <c r="J5" s="7"/>
      <c r="K5" s="7"/>
      <c r="L5" s="7"/>
      <c r="M5" s="7"/>
      <c r="N5" s="7"/>
      <c r="O5" s="7"/>
      <c r="P5" s="7"/>
      <c r="Q5" s="7"/>
      <c r="R5" s="7"/>
      <c r="S5" s="7"/>
      <c r="T5" s="7"/>
    </row>
    <row r="6" spans="1:20">
      <c r="A6" s="72"/>
      <c r="B6" s="78"/>
      <c r="C6" s="83"/>
      <c r="D6" s="84" t="s">
        <v>146</v>
      </c>
      <c r="E6" s="10">
        <f>SUM(E4:E5)</f>
        <v>2838.9500000000003</v>
      </c>
      <c r="F6" s="237">
        <f>E6/Inputs!$J$29</f>
        <v>2.0134397163120568</v>
      </c>
      <c r="G6" s="74"/>
      <c r="H6" s="7"/>
      <c r="I6" s="7"/>
      <c r="J6" s="7"/>
      <c r="K6" s="7"/>
      <c r="L6" s="7"/>
      <c r="M6" s="7"/>
      <c r="N6" s="7"/>
      <c r="O6" s="7"/>
      <c r="P6" s="7"/>
      <c r="Q6" s="7"/>
      <c r="R6" s="7"/>
      <c r="S6" s="7"/>
      <c r="T6" s="7"/>
    </row>
    <row r="7" spans="1:20">
      <c r="A7" s="72"/>
      <c r="B7" s="81" t="s">
        <v>147</v>
      </c>
      <c r="C7" s="75"/>
      <c r="D7" s="75"/>
      <c r="E7" s="234"/>
      <c r="F7" s="235"/>
      <c r="G7" s="74"/>
      <c r="H7" s="7"/>
      <c r="I7" s="7"/>
      <c r="J7" s="7"/>
      <c r="K7" s="7"/>
      <c r="L7" s="7"/>
      <c r="M7" s="7"/>
      <c r="N7" s="7"/>
      <c r="O7" s="7"/>
      <c r="P7" s="7"/>
      <c r="Q7" s="7"/>
      <c r="R7" s="7"/>
      <c r="S7" s="7"/>
      <c r="T7" s="7"/>
    </row>
    <row r="8" spans="1:20">
      <c r="A8" s="72"/>
      <c r="B8" s="81"/>
      <c r="C8" s="75" t="s">
        <v>148</v>
      </c>
      <c r="D8" s="75"/>
      <c r="E8" s="234"/>
      <c r="F8" s="238"/>
      <c r="G8" s="74"/>
      <c r="H8" s="7"/>
      <c r="I8" s="7"/>
      <c r="J8" s="7"/>
      <c r="K8" s="7"/>
      <c r="L8" s="7"/>
      <c r="M8" s="7"/>
      <c r="N8" s="7"/>
      <c r="O8" s="7"/>
      <c r="P8" s="7"/>
      <c r="Q8" s="7"/>
      <c r="R8" s="7"/>
      <c r="S8" s="7"/>
      <c r="T8" s="7"/>
    </row>
    <row r="9" spans="1:20">
      <c r="A9" s="72"/>
      <c r="B9" s="86"/>
      <c r="C9" s="221" t="s">
        <v>149</v>
      </c>
      <c r="D9" s="75"/>
      <c r="E9" s="234">
        <f>Feed!I10</f>
        <v>688.89638554216879</v>
      </c>
      <c r="F9" s="239">
        <f>E9/Inputs!$J$29</f>
        <v>0.4885789968384176</v>
      </c>
      <c r="G9" s="74"/>
      <c r="H9" s="7"/>
      <c r="I9" s="7"/>
      <c r="J9" s="7"/>
      <c r="K9" s="7"/>
      <c r="L9" s="7"/>
      <c r="M9" s="7"/>
      <c r="N9" s="7"/>
      <c r="O9" s="7"/>
      <c r="P9" s="7"/>
      <c r="Q9" s="7"/>
      <c r="R9" s="7"/>
      <c r="S9" s="7"/>
      <c r="T9" s="7"/>
    </row>
    <row r="10" spans="1:20">
      <c r="A10" s="72"/>
      <c r="B10" s="86"/>
      <c r="C10" s="221" t="s">
        <v>150</v>
      </c>
      <c r="D10" s="75"/>
      <c r="E10" s="234">
        <f>Feed!I19</f>
        <v>149.04892948250728</v>
      </c>
      <c r="F10" s="239">
        <f>E10/Inputs!$J$29</f>
        <v>0.10570846062589169</v>
      </c>
      <c r="G10" s="74"/>
      <c r="H10" s="7"/>
      <c r="I10" s="7"/>
      <c r="J10" s="7"/>
      <c r="K10" s="7"/>
      <c r="L10" s="7"/>
      <c r="M10" s="7"/>
      <c r="N10" s="7"/>
      <c r="O10" s="7"/>
      <c r="P10" s="7"/>
      <c r="Q10" s="7"/>
      <c r="R10" s="7"/>
      <c r="S10" s="7"/>
      <c r="T10" s="7"/>
    </row>
    <row r="11" spans="1:20">
      <c r="A11" s="72"/>
      <c r="B11" s="86"/>
      <c r="C11" s="221" t="s">
        <v>151</v>
      </c>
      <c r="D11" s="75"/>
      <c r="E11" s="234">
        <f>Feed!I28</f>
        <v>408.00803571428577</v>
      </c>
      <c r="F11" s="239">
        <f>E11/Inputs!$J$29</f>
        <v>0.28936740121580551</v>
      </c>
      <c r="G11" s="74"/>
      <c r="H11" s="7"/>
      <c r="I11" s="7"/>
      <c r="J11" s="7"/>
      <c r="K11" s="7"/>
      <c r="L11" s="7"/>
      <c r="M11" s="7"/>
      <c r="N11" s="7"/>
      <c r="O11" s="7"/>
      <c r="P11" s="7"/>
      <c r="Q11" s="7"/>
      <c r="R11" s="7"/>
      <c r="S11" s="7"/>
      <c r="T11" s="7"/>
    </row>
    <row r="12" spans="1:20">
      <c r="A12" s="72"/>
      <c r="B12" s="86"/>
      <c r="C12" s="75" t="s">
        <v>65</v>
      </c>
      <c r="D12" s="75"/>
      <c r="E12" s="234">
        <f>((Inputs!D34*Inputs!D23)/(Inputs!$J$17)+(Inputs!E34*Inputs!D23)/(1-Inputs!$J$18)+(Inputs!F34*Inputs!D23/(1-Inputs!$J$19)))</f>
        <v>276.35294117647061</v>
      </c>
      <c r="F12" s="239">
        <f>E12/Inputs!$J$29</f>
        <v>0.19599499374217774</v>
      </c>
      <c r="G12" s="74"/>
      <c r="H12" s="7"/>
      <c r="I12" s="7"/>
      <c r="J12" s="7"/>
      <c r="K12" s="7"/>
      <c r="L12" s="7"/>
      <c r="M12" s="7"/>
      <c r="N12" s="7"/>
      <c r="O12" s="7"/>
      <c r="P12" s="7"/>
      <c r="Q12" s="7"/>
      <c r="R12" s="7"/>
      <c r="S12" s="7"/>
      <c r="T12" s="7"/>
    </row>
    <row r="13" spans="1:20">
      <c r="A13" s="72"/>
      <c r="B13" s="86"/>
      <c r="C13" s="75" t="s">
        <v>88</v>
      </c>
      <c r="D13" s="75"/>
      <c r="E13" s="234">
        <f>(Inputs!D35/Inputs!$J$17)+(Inputs!E35/(1-Inputs!$J$18))+(Inputs!F35/(1-Inputs!$J$19))</f>
        <v>60.026737967914436</v>
      </c>
      <c r="F13" s="239">
        <f>E13/Inputs!$J$29</f>
        <v>4.2572154587173359E-2</v>
      </c>
      <c r="G13" s="74"/>
      <c r="H13" s="7"/>
      <c r="I13" s="7"/>
      <c r="J13" s="7"/>
      <c r="K13" s="7"/>
      <c r="L13" s="7"/>
      <c r="M13" s="7"/>
      <c r="N13" s="7"/>
      <c r="O13" s="7"/>
      <c r="P13" s="7"/>
      <c r="Q13" s="7"/>
      <c r="R13" s="7"/>
      <c r="S13" s="7"/>
      <c r="T13" s="7"/>
    </row>
    <row r="14" spans="1:20">
      <c r="A14" s="72"/>
      <c r="B14" s="86"/>
      <c r="C14" s="75" t="s">
        <v>93</v>
      </c>
      <c r="D14" s="75"/>
      <c r="E14" s="234">
        <f>SUMPRODUCT(Inputs!C43:C47,Inputs!D43:D47)/Inputs!J8/Inputs!J17+SUMPRODUCT(Inputs!C43:C47,Inputs!E43:E47)/Inputs!J8/(1-Inputs!J18)+SUMPRODUCT(Inputs!C43:C47,Inputs!F43:F47)/Inputs!J8/(1-Inputs!J19)</f>
        <v>347.10415923945334</v>
      </c>
      <c r="F14" s="239">
        <f>E14/Inputs!$J$29</f>
        <v>0.24617316258117258</v>
      </c>
      <c r="G14" s="74"/>
      <c r="H14" s="7"/>
      <c r="I14" s="7"/>
      <c r="J14" s="7"/>
      <c r="K14" s="7"/>
      <c r="L14" s="7"/>
      <c r="M14" s="7"/>
      <c r="N14" s="7"/>
      <c r="O14" s="7"/>
      <c r="P14" s="7"/>
      <c r="Q14" s="7"/>
      <c r="R14" s="7"/>
      <c r="S14" s="7"/>
      <c r="T14" s="7"/>
    </row>
    <row r="15" spans="1:20">
      <c r="A15" s="72"/>
      <c r="B15" s="86"/>
      <c r="C15" s="75" t="s">
        <v>89</v>
      </c>
      <c r="D15" s="75"/>
      <c r="E15" s="234">
        <f>(Inputs!D36/Inputs!$J$17)+(Inputs!E36/(1-Inputs!$J$18))+(Inputs!F36/(1-Inputs!$J$19))</f>
        <v>18.502673796791441</v>
      </c>
      <c r="F15" s="239">
        <f>E15/Inputs!$J$29</f>
        <v>1.3122463685667688E-2</v>
      </c>
      <c r="G15" s="74"/>
      <c r="H15" s="7"/>
      <c r="I15" s="7"/>
      <c r="J15" s="7"/>
      <c r="K15" s="7"/>
      <c r="L15" s="7"/>
      <c r="M15" s="7"/>
      <c r="N15" s="7"/>
      <c r="O15" s="7"/>
      <c r="P15" s="7"/>
      <c r="Q15" s="7"/>
      <c r="R15" s="7"/>
      <c r="S15" s="7"/>
      <c r="T15" s="7"/>
    </row>
    <row r="16" spans="1:20">
      <c r="A16" s="72"/>
      <c r="B16" s="86"/>
      <c r="C16" s="75" t="s">
        <v>90</v>
      </c>
      <c r="D16" s="75"/>
      <c r="E16" s="234">
        <f>(Inputs!D37/Inputs!$J$17)+(Inputs!E37/(1-Inputs!$J$18))+(Inputs!F37/(1-Inputs!$J$19))</f>
        <v>25.151515151515152</v>
      </c>
      <c r="F16" s="239">
        <f>E16/Inputs!$J$29</f>
        <v>1.7837954008166776E-2</v>
      </c>
      <c r="G16" s="74"/>
      <c r="H16" s="7"/>
      <c r="I16" s="7"/>
      <c r="J16" s="7"/>
      <c r="K16" s="7"/>
      <c r="L16" s="7"/>
      <c r="M16" s="7"/>
      <c r="N16" s="7"/>
      <c r="O16" s="7"/>
      <c r="P16" s="7"/>
      <c r="Q16" s="7"/>
      <c r="R16" s="7"/>
      <c r="S16" s="7"/>
      <c r="T16" s="7"/>
    </row>
    <row r="17" spans="1:20">
      <c r="A17" s="72"/>
      <c r="B17" s="86"/>
      <c r="C17" s="75" t="s">
        <v>152</v>
      </c>
      <c r="D17" s="229"/>
      <c r="E17" s="234">
        <f>(Inputs!$J$13*Inputs!$J$14)/(Inputs!J17-Inputs!$J$18-Inputs!$J$19)</f>
        <v>542.16867469879526</v>
      </c>
      <c r="F17" s="239">
        <f>E17/Inputs!$J$29</f>
        <v>0.38451679056652144</v>
      </c>
      <c r="G17" s="74"/>
      <c r="H17" s="7"/>
      <c r="I17" s="213"/>
      <c r="J17" s="7"/>
      <c r="K17" s="7"/>
      <c r="L17" s="7"/>
      <c r="M17" s="7"/>
      <c r="N17" s="7"/>
      <c r="O17" s="7"/>
      <c r="P17" s="7"/>
      <c r="Q17" s="7"/>
      <c r="R17" s="7"/>
      <c r="S17" s="7"/>
      <c r="T17" s="7"/>
    </row>
    <row r="18" spans="1:20">
      <c r="A18" s="72"/>
      <c r="B18" s="82" t="s">
        <v>153</v>
      </c>
      <c r="C18" s="75" t="s">
        <v>154</v>
      </c>
      <c r="D18" s="75"/>
      <c r="E18" s="240">
        <f>SUM(E4:E5)*Inputs!$D$24</f>
        <v>70.97375000000001</v>
      </c>
      <c r="F18" s="239">
        <f>E18/Inputs!$J$29</f>
        <v>5.0335992907801427E-2</v>
      </c>
      <c r="G18" s="74"/>
      <c r="H18" s="7"/>
      <c r="I18" s="7"/>
      <c r="J18" s="7"/>
      <c r="K18" s="7"/>
      <c r="L18" s="7"/>
      <c r="M18" s="7"/>
      <c r="N18" s="7"/>
      <c r="O18" s="7"/>
      <c r="P18" s="7"/>
      <c r="Q18" s="7"/>
      <c r="R18" s="7"/>
      <c r="S18" s="7"/>
      <c r="T18" s="7"/>
    </row>
    <row r="19" spans="1:20">
      <c r="A19" s="72"/>
      <c r="B19" s="82"/>
      <c r="C19" s="75" t="s">
        <v>155</v>
      </c>
      <c r="D19" s="221"/>
      <c r="E19" s="223">
        <f>((Inputs!J11-Inputs!D8)/Inputs!J9/Inputs!J12)/(Inputs!J17-Inputs!$J$18-Inputs!$J$19)</f>
        <v>28.91566265060241</v>
      </c>
      <c r="F19" s="239">
        <f>E19/Inputs!$J$29</f>
        <v>2.0507562163547807E-2</v>
      </c>
      <c r="G19" s="74"/>
      <c r="H19" s="214"/>
      <c r="I19" s="205"/>
      <c r="J19" s="7"/>
      <c r="K19" s="7"/>
      <c r="L19" s="7"/>
      <c r="M19" s="7"/>
      <c r="N19" s="7"/>
      <c r="O19" s="7"/>
      <c r="P19" s="7"/>
      <c r="Q19" s="7"/>
      <c r="R19" s="7"/>
      <c r="S19" s="7"/>
      <c r="T19" s="7"/>
    </row>
    <row r="20" spans="1:20">
      <c r="A20" s="72"/>
      <c r="B20" s="87"/>
      <c r="C20" s="75" t="s">
        <v>156</v>
      </c>
      <c r="D20" s="75"/>
      <c r="E20" s="234">
        <f>(Inputs!D38/Inputs!$J$17)+(Inputs!E38/(1-Inputs!$J$18))+(Inputs!F38/(1-Inputs!$J$19))</f>
        <v>3.1966726084373143</v>
      </c>
      <c r="F20" s="239">
        <f>E20/Inputs!$J$29</f>
        <v>2.2671436939271732E-3</v>
      </c>
      <c r="G20" s="74"/>
      <c r="H20" s="7"/>
      <c r="I20" s="7"/>
      <c r="J20" s="7"/>
      <c r="K20" s="7"/>
      <c r="L20" s="7"/>
      <c r="M20" s="7"/>
      <c r="N20" s="7"/>
      <c r="O20" s="7"/>
      <c r="P20" s="7"/>
      <c r="Q20" s="7"/>
      <c r="R20" s="7"/>
      <c r="S20" s="7"/>
      <c r="T20" s="7"/>
    </row>
    <row r="21" spans="1:20">
      <c r="A21" s="72"/>
      <c r="B21" s="86"/>
      <c r="C21" s="75" t="s">
        <v>92</v>
      </c>
      <c r="D21" s="75"/>
      <c r="E21" s="234">
        <f>SUM(Inputs!D39:F39)</f>
        <v>11</v>
      </c>
      <c r="F21" s="239">
        <f>E21/Inputs!$J$29</f>
        <v>7.801418439716312E-3</v>
      </c>
      <c r="G21" s="74"/>
      <c r="H21" s="7"/>
      <c r="I21" s="7"/>
      <c r="J21" s="7"/>
      <c r="K21" s="7"/>
      <c r="L21" s="7"/>
      <c r="M21" s="7"/>
      <c r="N21" s="7"/>
      <c r="O21" s="7"/>
      <c r="P21" s="7"/>
      <c r="Q21" s="7"/>
      <c r="R21" s="7"/>
      <c r="S21" s="7"/>
      <c r="T21" s="7"/>
    </row>
    <row r="22" spans="1:20">
      <c r="A22" s="72"/>
      <c r="B22" s="86"/>
      <c r="C22" s="75" t="str">
        <f>"Operating interest"</f>
        <v>Operating interest</v>
      </c>
      <c r="D22" s="75"/>
      <c r="E22" s="94">
        <f>(SUM(E9:E21)/2)*(Inputs!$D$25*(SUM(Inputs!J4:J6)/365))</f>
        <v>145.15431419529639</v>
      </c>
      <c r="F22" s="241">
        <f>E22/Inputs!$J$29</f>
        <v>0.10294632212432368</v>
      </c>
      <c r="G22" s="74"/>
      <c r="H22" s="7"/>
      <c r="I22" s="7"/>
      <c r="J22" s="7"/>
      <c r="K22" s="7"/>
      <c r="L22" s="7"/>
      <c r="M22" s="7"/>
      <c r="N22" s="7"/>
      <c r="O22" s="7"/>
      <c r="P22" s="7"/>
      <c r="Q22" s="7"/>
      <c r="R22" s="7"/>
      <c r="S22" s="7"/>
      <c r="T22" s="7"/>
    </row>
    <row r="23" spans="1:20">
      <c r="A23" s="72"/>
      <c r="B23" s="78"/>
      <c r="C23" s="188"/>
      <c r="D23" s="193" t="s">
        <v>157</v>
      </c>
      <c r="E23" s="194">
        <f>SUM(E9:E22)</f>
        <v>2774.5004522242389</v>
      </c>
      <c r="F23" s="242">
        <f>E23/Inputs!$J$29</f>
        <v>1.9677308171803112</v>
      </c>
      <c r="G23" s="74"/>
      <c r="H23" s="7"/>
      <c r="I23" s="7"/>
      <c r="J23" s="7"/>
      <c r="K23" s="7"/>
      <c r="L23" s="7"/>
      <c r="M23" s="7"/>
      <c r="N23" s="7"/>
      <c r="O23" s="7"/>
      <c r="P23" s="7"/>
      <c r="Q23" s="7"/>
      <c r="R23" s="7"/>
      <c r="S23" s="7"/>
      <c r="T23" s="7"/>
    </row>
    <row r="24" spans="1:20">
      <c r="A24" s="72"/>
      <c r="B24" s="81" t="s">
        <v>158</v>
      </c>
      <c r="C24" s="75"/>
      <c r="D24" s="75"/>
      <c r="E24" s="234"/>
      <c r="F24" s="239"/>
      <c r="G24" s="74"/>
      <c r="H24" s="7"/>
      <c r="I24" s="7"/>
      <c r="J24" s="7"/>
      <c r="K24" s="7"/>
      <c r="L24" s="7"/>
      <c r="M24" s="7"/>
      <c r="N24" s="7"/>
      <c r="O24" s="7"/>
      <c r="P24" s="7"/>
      <c r="Q24" s="7"/>
      <c r="R24" s="7"/>
      <c r="S24" s="7"/>
      <c r="T24" s="7"/>
    </row>
    <row r="25" spans="1:20">
      <c r="A25" s="72"/>
      <c r="B25" s="55"/>
      <c r="C25" s="75" t="s">
        <v>159</v>
      </c>
      <c r="D25" s="75"/>
      <c r="E25" s="223">
        <f>(SUM(Inputs!$F$51:$F$53)/Inputs!$J$8)/(Inputs!$J$17-Inputs!$J$18-Inputs!$J$19)</f>
        <v>18.644578313253014</v>
      </c>
      <c r="F25" s="239">
        <f>E25/Inputs!$J$29</f>
        <v>1.3223105186704266E-2</v>
      </c>
      <c r="G25" s="74"/>
      <c r="H25" s="74"/>
      <c r="I25" s="74"/>
      <c r="J25" s="74"/>
      <c r="K25" s="74"/>
      <c r="L25" s="74"/>
      <c r="M25" s="74"/>
      <c r="N25" s="74"/>
      <c r="O25" s="7"/>
      <c r="P25" s="7"/>
      <c r="Q25" s="7"/>
      <c r="R25" s="7"/>
      <c r="S25" s="7"/>
      <c r="T25" s="7"/>
    </row>
    <row r="26" spans="1:20">
      <c r="A26" s="72"/>
      <c r="B26" s="88" t="s">
        <v>160</v>
      </c>
      <c r="C26" s="75" t="s">
        <v>161</v>
      </c>
      <c r="D26" s="75"/>
      <c r="E26" s="223">
        <f>((Inputs!$J$10)+(Inputs!$J$11/Inputs!$J$9+Inputs!$D$8/Inputs!J9))*Inputs!$D$25</f>
        <v>212.35</v>
      </c>
      <c r="F26" s="239">
        <f>E26/Inputs!$J$29</f>
        <v>0.15060283687943263</v>
      </c>
      <c r="G26" s="72"/>
      <c r="H26" s="74"/>
      <c r="I26" s="74"/>
      <c r="J26" s="74"/>
      <c r="K26" s="208"/>
      <c r="L26" s="206"/>
      <c r="M26" s="206"/>
      <c r="N26" s="206"/>
      <c r="O26" s="206"/>
      <c r="P26" s="206"/>
      <c r="Q26" s="206"/>
      <c r="R26" s="206"/>
      <c r="S26" s="206"/>
      <c r="T26" s="74"/>
    </row>
    <row r="27" spans="1:20">
      <c r="A27" s="72"/>
      <c r="B27" s="88"/>
      <c r="C27" s="75" t="s">
        <v>162</v>
      </c>
      <c r="D27" s="75"/>
      <c r="E27" s="223">
        <f>((SUM(Inputs!$C$51:$C$53)/Inputs!$J$8/2)*Inputs!$D$27)/(Inputs!$J$17-Inputs!$J$18-Inputs!$J$19)</f>
        <v>21.509789156626507</v>
      </c>
      <c r="F27" s="239">
        <f>E27/Inputs!$J$29</f>
        <v>1.5255169614628729E-2</v>
      </c>
      <c r="G27" s="72"/>
      <c r="H27" s="7"/>
      <c r="K27" s="205"/>
    </row>
    <row r="28" spans="1:20">
      <c r="A28" s="72"/>
      <c r="B28" s="86"/>
      <c r="C28" s="75" t="s">
        <v>163</v>
      </c>
      <c r="D28" s="75"/>
      <c r="E28" s="209">
        <f>SUM($J$35:$J$38)</f>
        <v>61.044397590361449</v>
      </c>
      <c r="F28" s="241">
        <f>E28/Inputs!$J$29</f>
        <v>4.3293899000256347E-2</v>
      </c>
      <c r="G28" s="74"/>
      <c r="H28" s="74"/>
      <c r="I28" s="74"/>
      <c r="J28" s="74"/>
      <c r="K28" s="205"/>
      <c r="L28" s="205"/>
      <c r="M28" s="205"/>
      <c r="N28" s="205"/>
      <c r="O28" s="205"/>
      <c r="P28" s="205"/>
      <c r="Q28" s="205"/>
      <c r="R28" s="205"/>
      <c r="S28" s="205"/>
      <c r="T28" s="205"/>
    </row>
    <row r="29" spans="1:20">
      <c r="A29" s="72"/>
      <c r="B29" s="78"/>
      <c r="C29" s="79"/>
      <c r="D29" s="84" t="s">
        <v>164</v>
      </c>
      <c r="E29" s="192">
        <f>SUM(E25:E28)</f>
        <v>313.54876506024095</v>
      </c>
      <c r="F29" s="242">
        <f>E29/Inputs!$J$29</f>
        <v>0.22237501068102195</v>
      </c>
      <c r="G29" s="206"/>
      <c r="H29" s="205"/>
      <c r="I29" s="205"/>
      <c r="J29" s="205"/>
      <c r="K29" s="205"/>
      <c r="L29" s="205"/>
      <c r="M29" s="205"/>
      <c r="N29" s="205"/>
      <c r="O29" s="205"/>
      <c r="P29" s="205"/>
      <c r="Q29" s="205"/>
      <c r="R29" s="205"/>
      <c r="S29" s="205"/>
      <c r="T29" s="205"/>
    </row>
    <row r="30" spans="1:20">
      <c r="A30" s="72"/>
      <c r="B30" s="86"/>
      <c r="C30" s="75"/>
      <c r="D30" s="75"/>
      <c r="E30" s="234"/>
      <c r="F30" s="235"/>
      <c r="G30" s="72"/>
    </row>
    <row r="31" spans="1:20">
      <c r="A31" s="72"/>
      <c r="B31" s="81"/>
      <c r="C31" s="75"/>
      <c r="D31" s="222" t="s">
        <v>165</v>
      </c>
      <c r="E31" s="243">
        <f>E23+E29</f>
        <v>3088.0492172844797</v>
      </c>
      <c r="F31" s="244">
        <f>E31/Inputs!$J$29</f>
        <v>2.1901058278613332</v>
      </c>
      <c r="G31" s="72"/>
      <c r="K31" s="105"/>
    </row>
    <row r="32" spans="1:20">
      <c r="A32" s="72"/>
      <c r="B32" s="86"/>
      <c r="C32" s="72"/>
      <c r="D32" s="222" t="s">
        <v>166</v>
      </c>
      <c r="E32" s="245">
        <f>E6-E23</f>
        <v>64.449547775761403</v>
      </c>
      <c r="F32" s="244">
        <f>E32/Inputs!$J$29</f>
        <v>4.5708899131745674E-2</v>
      </c>
      <c r="G32" s="72"/>
    </row>
    <row r="33" spans="1:10" ht="17.25" thickBot="1">
      <c r="A33" s="72"/>
      <c r="B33" s="89"/>
      <c r="C33" s="90"/>
      <c r="D33" s="91" t="s">
        <v>167</v>
      </c>
      <c r="E33" s="92">
        <f>E6-E31</f>
        <v>-249.09921728447944</v>
      </c>
      <c r="F33" s="290">
        <f>E33/Inputs!$J$29</f>
        <v>-0.17666611154927619</v>
      </c>
      <c r="G33" s="72"/>
    </row>
    <row r="34" spans="1:10">
      <c r="A34" s="72"/>
      <c r="B34" s="75"/>
      <c r="C34" s="75"/>
      <c r="D34" s="75"/>
      <c r="E34" s="76"/>
      <c r="F34" s="72"/>
      <c r="G34" s="72"/>
      <c r="I34" s="405" t="s">
        <v>168</v>
      </c>
      <c r="J34" s="405"/>
    </row>
    <row r="35" spans="1:10" hidden="1">
      <c r="A35" s="72"/>
      <c r="B35" s="75"/>
      <c r="C35" s="75"/>
      <c r="D35" s="75"/>
      <c r="E35" s="75"/>
      <c r="I35" s="6" t="s">
        <v>169</v>
      </c>
      <c r="J35" s="137">
        <f>Inputs!D29*(Inputs!J10+(Inputs!J11/Inputs!J9))/(Inputs!J17-Inputs!J18-Inputs!J19)</f>
        <v>32.144578313253014</v>
      </c>
    </row>
    <row r="36" spans="1:10" hidden="1">
      <c r="A36" s="72"/>
      <c r="B36" s="75"/>
      <c r="C36" s="9"/>
      <c r="D36" s="9"/>
      <c r="E36" s="9"/>
      <c r="I36" s="6" t="s">
        <v>170</v>
      </c>
      <c r="J36" s="137">
        <f>(Inputs!D30*SUM(Inputs!C51:C53)/Inputs!J8)/(Inputs!J17-Inputs!J18-Inputs!J19)</f>
        <v>1.4834337349397591</v>
      </c>
    </row>
    <row r="37" spans="1:10" hidden="1">
      <c r="B37" s="9"/>
      <c r="C37" s="7"/>
      <c r="D37" s="7"/>
      <c r="E37" s="7"/>
      <c r="I37" s="6" t="s">
        <v>171</v>
      </c>
      <c r="J37" s="137">
        <f>Inputs!D28*(Inputs!J10+(Inputs!J11/Inputs!J9))/(Inputs!J17-Inputs!J18-Inputs!J19)</f>
        <v>23.144096385542166</v>
      </c>
    </row>
    <row r="38" spans="1:10" hidden="1">
      <c r="B38" s="12"/>
      <c r="C38" s="9"/>
      <c r="D38" s="9"/>
      <c r="E38" s="9"/>
      <c r="I38" s="6" t="s">
        <v>172</v>
      </c>
      <c r="J38" s="137">
        <f>(Inputs!D28*SUM(Inputs!C51:C53)/Inputs!J8)/(Inputs!J17-Inputs!J18-Inputs!J19)</f>
        <v>4.2722891566265062</v>
      </c>
    </row>
    <row r="39" spans="1:10" hidden="1">
      <c r="B39" s="9"/>
      <c r="C39" s="9"/>
      <c r="D39" s="9"/>
      <c r="E39" s="9"/>
    </row>
    <row r="40" spans="1:10" hidden="1">
      <c r="B40" s="9"/>
      <c r="C40" s="9"/>
      <c r="D40" s="9"/>
      <c r="E40" s="9"/>
    </row>
    <row r="41" spans="1:10" hidden="1">
      <c r="B41" s="9"/>
      <c r="C41" s="9"/>
      <c r="D41" s="9"/>
      <c r="E41" s="9"/>
    </row>
    <row r="42" spans="1:10" hidden="1">
      <c r="B42" s="9"/>
      <c r="C42" s="9"/>
      <c r="D42" s="9"/>
      <c r="E42" s="9"/>
    </row>
    <row r="43" spans="1:10" hidden="1">
      <c r="B43" s="9"/>
      <c r="C43" s="9"/>
      <c r="D43" s="9"/>
      <c r="E43" s="9"/>
    </row>
    <row r="44" spans="1:10" hidden="1">
      <c r="B44" s="9"/>
      <c r="C44" s="9"/>
      <c r="D44" s="9"/>
      <c r="E44" s="9"/>
    </row>
    <row r="45" spans="1:10" hidden="1">
      <c r="B45" s="9"/>
      <c r="C45" s="9"/>
      <c r="D45" s="9"/>
      <c r="E45" s="9"/>
    </row>
    <row r="46" spans="1:10" hidden="1">
      <c r="B46" s="9"/>
      <c r="C46" s="9"/>
      <c r="D46" s="9"/>
      <c r="E46" s="17"/>
    </row>
    <row r="47" spans="1:10" hidden="1">
      <c r="B47" s="7"/>
      <c r="C47" s="9"/>
      <c r="D47" s="9"/>
      <c r="E47" s="14"/>
    </row>
    <row r="48" spans="1:10" hidden="1">
      <c r="B48" s="9"/>
      <c r="C48" s="9"/>
      <c r="D48" s="9"/>
      <c r="E48" s="19"/>
    </row>
    <row r="49" spans="2:5" hidden="1">
      <c r="B49" s="9"/>
      <c r="C49" s="9"/>
      <c r="D49" s="17"/>
      <c r="E49" s="20"/>
    </row>
    <row r="50" spans="2:5" hidden="1">
      <c r="B50" s="12"/>
      <c r="C50" s="9"/>
      <c r="D50" s="14"/>
      <c r="E50" s="21"/>
    </row>
    <row r="51" spans="2:5" hidden="1">
      <c r="B51" s="9"/>
      <c r="C51" s="9"/>
      <c r="D51" s="14"/>
      <c r="E51" s="21"/>
    </row>
    <row r="52" spans="2:5" hidden="1">
      <c r="B52" s="9"/>
      <c r="C52" s="9"/>
      <c r="D52" s="14"/>
      <c r="E52" s="21"/>
    </row>
    <row r="53" spans="2:5" hidden="1">
      <c r="B53" s="9"/>
      <c r="C53" s="9"/>
      <c r="D53" s="14"/>
      <c r="E53" s="22"/>
    </row>
    <row r="54" spans="2:5" hidden="1">
      <c r="B54" s="9"/>
      <c r="C54" s="9"/>
      <c r="D54" s="7"/>
      <c r="E54" s="23"/>
    </row>
    <row r="55" spans="2:5" hidden="1">
      <c r="B55" s="9"/>
      <c r="C55" s="7"/>
      <c r="D55" s="7"/>
      <c r="E55" s="7"/>
    </row>
    <row r="56" spans="2:5" hidden="1">
      <c r="B56" s="7"/>
      <c r="C56" s="9"/>
      <c r="D56" s="9"/>
      <c r="E56" s="19"/>
    </row>
    <row r="57" spans="2:5" hidden="1">
      <c r="B57" s="12"/>
      <c r="C57" s="7"/>
      <c r="D57" s="7"/>
      <c r="E57" s="17"/>
    </row>
    <row r="58" spans="2:5" hidden="1">
      <c r="B58" s="11"/>
      <c r="C58" s="9"/>
      <c r="D58" s="7"/>
      <c r="E58" s="25"/>
    </row>
    <row r="59" spans="2:5" hidden="1">
      <c r="B59" s="9"/>
      <c r="C59" s="9"/>
      <c r="D59" s="7"/>
      <c r="E59" s="25"/>
    </row>
    <row r="60" spans="2:5" hidden="1">
      <c r="B60" s="9"/>
      <c r="C60" s="28"/>
      <c r="D60" s="28"/>
      <c r="E60" s="29"/>
    </row>
    <row r="61" spans="2:5" hidden="1">
      <c r="B61" s="27"/>
      <c r="C61" s="28"/>
      <c r="D61" s="28"/>
      <c r="E61" s="29"/>
    </row>
    <row r="62" spans="2:5" hidden="1">
      <c r="B62" s="27"/>
      <c r="C62" s="7"/>
      <c r="D62" s="17"/>
      <c r="E62" s="17"/>
    </row>
    <row r="63" spans="2:5" hidden="1">
      <c r="B63" s="11"/>
      <c r="C63" s="9"/>
      <c r="D63" s="24"/>
      <c r="E63" s="25"/>
    </row>
    <row r="64" spans="2:5" hidden="1">
      <c r="B64" s="9"/>
      <c r="C64" s="9"/>
      <c r="D64" s="24"/>
      <c r="E64" s="25"/>
    </row>
    <row r="65" spans="2:6" hidden="1">
      <c r="B65" s="9"/>
      <c r="C65" s="9"/>
      <c r="D65" s="24"/>
      <c r="E65" s="25"/>
    </row>
    <row r="66" spans="2:6" hidden="1">
      <c r="B66" s="9"/>
      <c r="C66" s="9"/>
      <c r="D66" s="24"/>
      <c r="E66" s="25"/>
    </row>
    <row r="67" spans="2:6" hidden="1">
      <c r="B67" s="9"/>
      <c r="C67" s="7"/>
      <c r="D67" s="7"/>
      <c r="E67" s="30"/>
    </row>
    <row r="68" spans="2:6" hidden="1">
      <c r="B68" s="27"/>
      <c r="C68" s="9"/>
      <c r="D68" s="9"/>
      <c r="E68" s="19"/>
    </row>
    <row r="69" spans="2:6" hidden="1">
      <c r="B69" s="9"/>
      <c r="C69" s="7"/>
      <c r="D69" s="17"/>
      <c r="E69" s="17"/>
    </row>
    <row r="70" spans="2:6" hidden="1">
      <c r="B70" s="11"/>
      <c r="C70" s="7"/>
      <c r="D70" s="43"/>
      <c r="E70" s="31"/>
      <c r="F70" s="7"/>
    </row>
    <row r="71" spans="2:6" hidden="1">
      <c r="B71" s="9"/>
      <c r="C71" s="7"/>
      <c r="D71" s="43"/>
      <c r="E71" s="31"/>
      <c r="F71" s="7"/>
    </row>
    <row r="72" spans="2:6" hidden="1">
      <c r="B72" s="9"/>
      <c r="C72" s="7"/>
      <c r="D72" s="43"/>
      <c r="E72" s="16"/>
      <c r="F72" s="7"/>
    </row>
    <row r="73" spans="2:6" hidden="1">
      <c r="B73" s="9"/>
      <c r="C73" s="7"/>
      <c r="D73" s="7"/>
      <c r="E73" s="44"/>
      <c r="F73" s="7"/>
    </row>
    <row r="74" spans="2:6" hidden="1">
      <c r="B74" s="27"/>
      <c r="C74" s="7"/>
      <c r="D74" s="7"/>
      <c r="E74" s="44"/>
      <c r="F74" s="7"/>
    </row>
    <row r="75" spans="2:6" hidden="1">
      <c r="B75" s="27"/>
      <c r="C75" s="7"/>
      <c r="D75" s="18"/>
      <c r="E75" s="18"/>
      <c r="F75" s="7"/>
    </row>
    <row r="76" spans="2:6" hidden="1">
      <c r="B76" s="11"/>
      <c r="C76" s="7"/>
      <c r="D76" s="43"/>
      <c r="E76" s="33"/>
      <c r="F76" s="7"/>
    </row>
    <row r="77" spans="2:6" hidden="1">
      <c r="B77" s="9"/>
      <c r="C77" s="7"/>
      <c r="D77" s="43"/>
      <c r="E77" s="33"/>
      <c r="F77" s="7"/>
    </row>
    <row r="78" spans="2:6" hidden="1">
      <c r="B78" s="9"/>
      <c r="C78" s="7"/>
      <c r="D78" s="43"/>
      <c r="E78" s="33"/>
      <c r="F78" s="7"/>
    </row>
    <row r="79" spans="2:6" hidden="1">
      <c r="B79" s="9"/>
      <c r="C79" s="7"/>
      <c r="D79" s="7"/>
      <c r="E79" s="33"/>
      <c r="F79" s="7"/>
    </row>
    <row r="80" spans="2:6" hidden="1">
      <c r="B80" s="27"/>
      <c r="C80" s="7"/>
      <c r="D80" s="7"/>
      <c r="E80" s="40"/>
      <c r="F80" s="7"/>
    </row>
    <row r="81" spans="2:6" hidden="1">
      <c r="B81" s="9"/>
      <c r="C81" s="7"/>
      <c r="D81" s="18"/>
      <c r="E81" s="18"/>
      <c r="F81" s="7"/>
    </row>
    <row r="82" spans="2:6" hidden="1">
      <c r="B82" s="11"/>
      <c r="C82" s="7"/>
      <c r="D82" s="41"/>
      <c r="E82" s="25"/>
      <c r="F82" s="7"/>
    </row>
    <row r="83" spans="2:6" hidden="1">
      <c r="B83" s="9"/>
      <c r="C83" s="7"/>
      <c r="D83" s="41"/>
      <c r="E83" s="16"/>
      <c r="F83" s="7"/>
    </row>
    <row r="84" spans="2:6" hidden="1">
      <c r="B84" s="9"/>
      <c r="C84" s="7"/>
      <c r="D84" s="7"/>
      <c r="E84" s="7"/>
      <c r="F84" s="7"/>
    </row>
    <row r="85" spans="2:6" hidden="1">
      <c r="B85" s="35"/>
      <c r="C85" s="7"/>
      <c r="D85" s="7"/>
      <c r="E85" s="36"/>
      <c r="F85" s="7"/>
    </row>
    <row r="86" spans="2:6" hidden="1">
      <c r="B86" s="7"/>
      <c r="C86" s="7"/>
      <c r="D86" s="7"/>
      <c r="E86" s="7"/>
      <c r="F86" s="7"/>
    </row>
    <row r="87" spans="2:6" hidden="1">
      <c r="B87" s="7"/>
      <c r="C87" s="7"/>
      <c r="D87" s="7"/>
      <c r="E87" s="7"/>
      <c r="F87" s="7"/>
    </row>
    <row r="88" spans="2:6" hidden="1">
      <c r="B88" s="7"/>
      <c r="C88" s="7"/>
      <c r="D88" s="7"/>
      <c r="E88" s="7"/>
      <c r="F88" s="7"/>
    </row>
    <row r="89" spans="2:6" hidden="1">
      <c r="B89" s="7"/>
      <c r="C89" s="7"/>
      <c r="D89" s="7"/>
      <c r="E89" s="7"/>
      <c r="F89" s="7"/>
    </row>
    <row r="90" spans="2:6" hidden="1">
      <c r="B90" s="7"/>
      <c r="C90" s="7"/>
      <c r="D90" s="7"/>
      <c r="E90" s="7"/>
      <c r="F90" s="7"/>
    </row>
    <row r="91" spans="2:6" hidden="1">
      <c r="B91" s="7"/>
      <c r="C91" s="7"/>
      <c r="D91" s="7"/>
      <c r="E91" s="7"/>
      <c r="F91" s="7"/>
    </row>
    <row r="92" spans="2:6" hidden="1">
      <c r="B92" s="7"/>
      <c r="C92" s="7"/>
      <c r="D92" s="7"/>
      <c r="E92" s="7"/>
      <c r="F92" s="7"/>
    </row>
    <row r="93" spans="2:6" hidden="1">
      <c r="B93" s="7"/>
      <c r="C93" s="7"/>
      <c r="D93" s="7"/>
      <c r="E93" s="7"/>
      <c r="F93" s="7"/>
    </row>
    <row r="94" spans="2:6" hidden="1">
      <c r="B94" s="7"/>
      <c r="C94" s="7"/>
      <c r="D94" s="7"/>
      <c r="E94" s="34"/>
      <c r="F94" s="7"/>
    </row>
    <row r="95" spans="2:6" hidden="1">
      <c r="B95" s="7"/>
      <c r="C95" s="7"/>
      <c r="D95" s="7"/>
      <c r="E95" s="7"/>
      <c r="F95" s="7"/>
    </row>
    <row r="96" spans="2:6" hidden="1">
      <c r="B96" s="35"/>
      <c r="C96" s="7"/>
      <c r="D96" s="42"/>
      <c r="E96" s="7"/>
      <c r="F96" s="7"/>
    </row>
    <row r="97" spans="2:6" hidden="1">
      <c r="B97" s="9"/>
      <c r="C97" s="7"/>
      <c r="D97" s="7"/>
      <c r="E97" s="7"/>
      <c r="F97" s="7"/>
    </row>
    <row r="98" spans="2:6" hidden="1">
      <c r="B98" s="7"/>
      <c r="C98" s="7"/>
      <c r="D98" s="18"/>
      <c r="E98" s="7"/>
      <c r="F98" s="7"/>
    </row>
    <row r="99" spans="2:6" hidden="1">
      <c r="B99" s="37"/>
      <c r="C99" s="7"/>
      <c r="D99" s="32"/>
      <c r="E99" s="7"/>
      <c r="F99" s="7"/>
    </row>
    <row r="100" spans="2:6" hidden="1">
      <c r="B100" s="13"/>
      <c r="C100" s="7"/>
      <c r="D100" s="32"/>
      <c r="E100" s="7"/>
      <c r="F100" s="7"/>
    </row>
    <row r="101" spans="2:6" hidden="1">
      <c r="B101" s="13"/>
      <c r="C101" s="7"/>
      <c r="D101" s="32"/>
      <c r="E101" s="7"/>
      <c r="F101" s="7"/>
    </row>
    <row r="102" spans="2:6" hidden="1">
      <c r="B102" s="13"/>
      <c r="C102" s="7"/>
      <c r="D102" s="32"/>
      <c r="E102" s="7"/>
      <c r="F102" s="7"/>
    </row>
    <row r="103" spans="2:6" hidden="1">
      <c r="B103" s="13"/>
      <c r="C103" s="7"/>
      <c r="D103" s="7"/>
      <c r="E103" s="38"/>
    </row>
    <row r="104" spans="2:6" hidden="1">
      <c r="B104" s="9"/>
      <c r="C104" s="9"/>
      <c r="D104" s="14"/>
      <c r="E104" s="9"/>
    </row>
    <row r="105" spans="2:6" hidden="1">
      <c r="B105" s="9"/>
      <c r="C105" s="7"/>
      <c r="D105" s="7"/>
      <c r="E105" s="39"/>
    </row>
    <row r="106" spans="2:6" hidden="1">
      <c r="B106" s="8"/>
      <c r="C106" s="7"/>
      <c r="D106" s="7"/>
      <c r="E106" s="26"/>
    </row>
    <row r="107" spans="2:6" hidden="1">
      <c r="B107" s="7"/>
    </row>
    <row r="114"/>
  </sheetData>
  <sheetProtection sheet="1" objects="1" scenarios="1"/>
  <mergeCells count="2">
    <mergeCell ref="I34:J34"/>
    <mergeCell ref="B1:F1"/>
  </mergeCells>
  <conditionalFormatting sqref="E32:E33">
    <cfRule type="cellIs" dxfId="11"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7E769-634E-4AAA-ABB7-E844BB53C156}">
  <dimension ref="A1:Q102"/>
  <sheetViews>
    <sheetView showGridLines="0" workbookViewId="0">
      <selection activeCell="H31" sqref="H31"/>
    </sheetView>
  </sheetViews>
  <sheetFormatPr defaultColWidth="0" defaultRowHeight="0" customHeight="1" zeroHeight="1"/>
  <cols>
    <col min="1" max="1" width="3" style="6" customWidth="1"/>
    <col min="2" max="2" width="3.28515625" style="6" customWidth="1"/>
    <col min="3" max="3" width="27.140625" style="6" customWidth="1"/>
    <col min="4" max="4" width="18.7109375" style="6" customWidth="1"/>
    <col min="5" max="5" width="16.140625" style="6" customWidth="1"/>
    <col min="6" max="6" width="18.28515625" style="6" customWidth="1"/>
    <col min="7" max="7" width="21.28515625" style="6" customWidth="1"/>
    <col min="8" max="8" width="15.85546875" style="6" customWidth="1"/>
    <col min="9" max="9" width="5.28515625" style="6" customWidth="1"/>
    <col min="10" max="10" width="16.42578125" style="6" bestFit="1" customWidth="1"/>
    <col min="11" max="11" width="18" style="6" customWidth="1"/>
    <col min="12" max="12" width="18.42578125" style="6" customWidth="1"/>
    <col min="13" max="13" width="24.140625" style="6" customWidth="1"/>
    <col min="14" max="14" width="19.140625" style="6" hidden="1" customWidth="1"/>
    <col min="15" max="16384" width="5.28515625" style="6" hidden="1"/>
  </cols>
  <sheetData>
    <row r="1" spans="1:17" ht="34.5" customHeight="1" thickBot="1">
      <c r="A1" s="72"/>
      <c r="B1" s="406" t="s">
        <v>173</v>
      </c>
      <c r="C1" s="407"/>
      <c r="D1" s="407"/>
      <c r="E1" s="407"/>
      <c r="F1" s="407"/>
      <c r="G1" s="407"/>
      <c r="H1" s="224"/>
      <c r="J1" s="198" t="s">
        <v>174</v>
      </c>
      <c r="K1" s="199" t="s">
        <v>175</v>
      </c>
      <c r="L1" s="200" t="s">
        <v>176</v>
      </c>
      <c r="M1" s="330" t="s">
        <v>177</v>
      </c>
    </row>
    <row r="2" spans="1:17" ht="16.5" customHeight="1">
      <c r="A2" s="72"/>
      <c r="B2" s="225"/>
      <c r="C2" s="226" t="s">
        <v>174</v>
      </c>
      <c r="D2" s="227" t="s">
        <v>188</v>
      </c>
      <c r="E2" s="410" t="str">
        <f>IF(D2=J2,"See retail cuts sheets before continuing","")</f>
        <v/>
      </c>
      <c r="F2" s="410"/>
      <c r="G2" s="410"/>
      <c r="H2" s="228"/>
      <c r="I2" s="72"/>
      <c r="J2" s="74" t="s">
        <v>178</v>
      </c>
      <c r="K2" s="197" t="s">
        <v>179</v>
      </c>
      <c r="L2" s="179"/>
      <c r="M2" s="331">
        <f>'Marketing cost calculator'!K19</f>
        <v>878</v>
      </c>
      <c r="O2" s="6" t="s">
        <v>180</v>
      </c>
      <c r="P2" s="6" t="s">
        <v>181</v>
      </c>
      <c r="Q2" s="6" t="s">
        <v>182</v>
      </c>
    </row>
    <row r="3" spans="1:17" ht="16.5" customHeight="1">
      <c r="A3" s="72"/>
      <c r="B3" s="77"/>
      <c r="C3" s="74"/>
      <c r="D3" s="7"/>
      <c r="E3" s="257"/>
      <c r="F3" s="257" t="s">
        <v>183</v>
      </c>
      <c r="G3" s="181">
        <f>IF(D3=Q3,AVERAGE(Inputs!J29:J29)*(Inputs!D5-0.05),Inputs!D5*AVERAGE(Inputs!J29:J29))*(1-Inputs!D6)</f>
        <v>825.69600000000003</v>
      </c>
      <c r="H3" s="111"/>
      <c r="I3" s="72"/>
      <c r="J3" s="74" t="s">
        <v>184</v>
      </c>
      <c r="K3" s="95">
        <v>2.0699999999999998</v>
      </c>
      <c r="L3" s="328">
        <f>K3*AVERAGE(Inputs!$J$29:$J$29)</f>
        <v>2918.7</v>
      </c>
      <c r="M3" s="123">
        <f>'Marketing cost calculator'!B15</f>
        <v>164.66666666666666</v>
      </c>
      <c r="O3" s="6" t="s">
        <v>185</v>
      </c>
      <c r="P3" s="6" t="s">
        <v>186</v>
      </c>
      <c r="Q3" s="6" t="s">
        <v>187</v>
      </c>
    </row>
    <row r="4" spans="1:17" ht="16.5" customHeight="1">
      <c r="A4" s="72"/>
      <c r="B4" s="77"/>
      <c r="C4" s="258"/>
      <c r="D4" s="74"/>
      <c r="E4" s="411" t="str">
        <f>IF(D2=J2,"Approx. weight of beef sold","")</f>
        <v/>
      </c>
      <c r="F4" s="411"/>
      <c r="G4" s="259" t="str">
        <f>IF(D2=J2,'Retail cuts pricing'!D23,"")</f>
        <v/>
      </c>
      <c r="H4" s="106"/>
      <c r="J4" s="74" t="s">
        <v>188</v>
      </c>
      <c r="K4" s="95">
        <v>2.2000000000000002</v>
      </c>
      <c r="L4" s="328">
        <f>K4*AVERAGE(Inputs!$J$29:$J$29)</f>
        <v>3102.0000000000005</v>
      </c>
      <c r="M4" s="123">
        <f>'Marketing cost calculator'!E15</f>
        <v>227.33333333333334</v>
      </c>
    </row>
    <row r="5" spans="1:17" ht="16.5" customHeight="1">
      <c r="A5" s="72"/>
      <c r="B5" s="78"/>
      <c r="C5" s="79"/>
      <c r="D5" s="79"/>
      <c r="E5" s="79"/>
      <c r="F5" s="58"/>
      <c r="G5" s="250"/>
      <c r="H5" s="251"/>
      <c r="I5" s="72"/>
      <c r="J5" s="188" t="s">
        <v>189</v>
      </c>
      <c r="K5" s="201">
        <v>2.35</v>
      </c>
      <c r="L5" s="329">
        <f>K5*AVERAGE(Inputs!$J$29:$J$29)</f>
        <v>3313.5</v>
      </c>
      <c r="M5" s="332">
        <f>'Marketing cost calculator'!H15</f>
        <v>336</v>
      </c>
    </row>
    <row r="6" spans="1:17" ht="16.5" customHeight="1">
      <c r="A6" s="72"/>
      <c r="B6" s="81" t="s">
        <v>139</v>
      </c>
      <c r="C6" s="75"/>
      <c r="D6" s="75"/>
      <c r="E6" s="75"/>
      <c r="F6" s="75"/>
      <c r="G6" s="255" t="s">
        <v>140</v>
      </c>
      <c r="H6" s="256" t="s">
        <v>141</v>
      </c>
      <c r="I6" s="72"/>
      <c r="J6" s="72"/>
      <c r="K6" s="72"/>
      <c r="L6" s="72"/>
      <c r="M6" s="72"/>
    </row>
    <row r="7" spans="1:17" ht="16.5" customHeight="1" thickBot="1">
      <c r="A7" s="72"/>
      <c r="B7" s="82" t="s">
        <v>142</v>
      </c>
      <c r="C7" s="75" t="s">
        <v>190</v>
      </c>
      <c r="D7" s="74"/>
      <c r="E7" s="75"/>
      <c r="F7" s="75"/>
      <c r="G7" s="234">
        <f>IF($D$2=$J$3,$L$3,IF($D$2=$J$4,$L$4,IF(D2=J2,'Retail cuts pricing'!F23,$L$5)))</f>
        <v>3102.0000000000005</v>
      </c>
      <c r="H7" s="107"/>
      <c r="I7" s="72"/>
      <c r="J7" s="72"/>
      <c r="K7" s="72"/>
      <c r="L7" s="72"/>
      <c r="M7" s="72"/>
    </row>
    <row r="8" spans="1:17" ht="16.5" customHeight="1">
      <c r="A8" s="72"/>
      <c r="B8" s="82" t="s">
        <v>144</v>
      </c>
      <c r="C8" s="75" t="s">
        <v>145</v>
      </c>
      <c r="D8" s="75"/>
      <c r="E8" s="75"/>
      <c r="F8" s="75"/>
      <c r="G8" s="94">
        <f>(Inputs!J14*Inputs!J15*Inputs!D7/100)+Inputs!J8/Inputs!J9/Inputs!J12*Inputs!J11/3/Inputs!J8</f>
        <v>244.55</v>
      </c>
      <c r="H8" s="85"/>
      <c r="I8" s="72"/>
      <c r="J8" s="189" t="s">
        <v>191</v>
      </c>
      <c r="K8" s="189"/>
      <c r="L8" s="189"/>
      <c r="M8" s="72"/>
    </row>
    <row r="9" spans="1:17" ht="16.5" customHeight="1">
      <c r="A9" s="72"/>
      <c r="B9" s="78"/>
      <c r="C9" s="83"/>
      <c r="D9" s="58"/>
      <c r="E9" s="79"/>
      <c r="F9" s="83" t="s">
        <v>146</v>
      </c>
      <c r="G9" s="192">
        <f>SUM(G7:G8)</f>
        <v>3346.5500000000006</v>
      </c>
      <c r="H9" s="252">
        <f>G9/AVERAGE(Inputs!$J$29:$J$29)</f>
        <v>2.3734397163120571</v>
      </c>
      <c r="I9" s="72"/>
      <c r="J9" s="180" t="s">
        <v>192</v>
      </c>
      <c r="K9" s="180"/>
      <c r="L9" s="190">
        <v>132</v>
      </c>
      <c r="M9" s="72"/>
    </row>
    <row r="10" spans="1:17" ht="16.5" customHeight="1">
      <c r="A10" s="72"/>
      <c r="B10" s="81" t="s">
        <v>147</v>
      </c>
      <c r="C10" s="75"/>
      <c r="D10" s="75"/>
      <c r="E10" s="75"/>
      <c r="F10" s="75"/>
      <c r="G10" s="234"/>
      <c r="H10" s="253"/>
      <c r="I10" s="72"/>
      <c r="J10" s="180" t="s">
        <v>193</v>
      </c>
      <c r="K10" s="180"/>
      <c r="L10" s="191">
        <v>3</v>
      </c>
      <c r="M10" s="72"/>
    </row>
    <row r="11" spans="1:17" ht="16.5" customHeight="1">
      <c r="A11" s="72"/>
      <c r="B11" s="81"/>
      <c r="C11" s="75" t="s">
        <v>194</v>
      </c>
      <c r="D11" s="75"/>
      <c r="E11" s="75"/>
      <c r="F11" s="75"/>
      <c r="G11" s="240">
        <f>'Budget - Commercial Sale'!E23-'Budget - Commercial Sale'!E18-'Budget - Commercial Sale'!E22</f>
        <v>2558.3723880289422</v>
      </c>
      <c r="H11" s="254">
        <f>G11/AVERAGE(Inputs!$J$29:$J$29)</f>
        <v>1.814448502148186</v>
      </c>
      <c r="I11" s="108"/>
      <c r="J11" s="409" t="s">
        <v>195</v>
      </c>
      <c r="K11" s="409"/>
      <c r="L11" s="202">
        <v>75</v>
      </c>
      <c r="M11" s="72"/>
    </row>
    <row r="12" spans="1:17" ht="16.5" customHeight="1">
      <c r="A12" s="72"/>
      <c r="B12" s="81"/>
      <c r="C12" s="75" t="str">
        <f>IF(D2=J2,"Less processing costs","")</f>
        <v/>
      </c>
      <c r="D12" s="75" t="str">
        <f>IF(D2=J2,"Enter your processing costs on 'Retail cuts pricing' sheet","")</f>
        <v/>
      </c>
      <c r="E12" s="75"/>
      <c r="F12" s="75"/>
      <c r="G12" s="240">
        <f>IF(D2=J2,'Retail cuts pricing'!L10,0)</f>
        <v>0</v>
      </c>
      <c r="H12" s="254">
        <f>G12/AVERAGE(Inputs!$J$29:$J$29)</f>
        <v>0</v>
      </c>
      <c r="I12" s="207"/>
      <c r="K12" s="207"/>
      <c r="L12" s="207"/>
      <c r="M12" s="207"/>
    </row>
    <row r="13" spans="1:17" ht="16.5" customHeight="1">
      <c r="A13" s="72"/>
      <c r="B13" s="86"/>
      <c r="C13" s="75" t="s">
        <v>154</v>
      </c>
      <c r="D13" s="75"/>
      <c r="E13" s="75"/>
      <c r="F13" s="75"/>
      <c r="G13" s="234">
        <f>VLOOKUP(D2,J2:M5,4,FALSE)</f>
        <v>227.33333333333334</v>
      </c>
      <c r="H13" s="254">
        <f>G13/AVERAGE(Inputs!$J$29:$J$29)</f>
        <v>0.16122931442080379</v>
      </c>
      <c r="I13" s="207"/>
      <c r="K13" s="207"/>
      <c r="L13" s="207"/>
      <c r="M13" s="207"/>
    </row>
    <row r="14" spans="1:17" ht="16.5" customHeight="1">
      <c r="A14" s="72"/>
      <c r="B14" s="87"/>
      <c r="C14" s="75" t="s">
        <v>196</v>
      </c>
      <c r="D14" s="221"/>
      <c r="E14" s="221"/>
      <c r="F14" s="221"/>
      <c r="G14" s="234">
        <f>IF(D2=J2,L9/L10,0)</f>
        <v>0</v>
      </c>
      <c r="H14" s="254">
        <f>G14/AVERAGE(Inputs!$J$29:$J$29)</f>
        <v>0</v>
      </c>
      <c r="I14" s="108"/>
      <c r="J14" s="109"/>
      <c r="K14" s="109"/>
      <c r="L14" s="109"/>
    </row>
    <row r="15" spans="1:17" ht="16.5" customHeight="1">
      <c r="A15" s="72"/>
      <c r="B15" s="86"/>
      <c r="C15" s="75" t="s">
        <v>197</v>
      </c>
      <c r="D15" s="75"/>
      <c r="E15" s="75"/>
      <c r="F15" s="75"/>
      <c r="G15" s="234">
        <f>IF(D2=J2,L11,0)</f>
        <v>0</v>
      </c>
      <c r="H15" s="254">
        <f>G15/AVERAGE(Inputs!$J$29:$J$29)</f>
        <v>0</v>
      </c>
      <c r="I15" s="109"/>
      <c r="J15" s="109"/>
      <c r="K15" s="109"/>
      <c r="L15" s="109"/>
      <c r="M15" s="72"/>
    </row>
    <row r="16" spans="1:17" ht="16.5" customHeight="1">
      <c r="A16" s="72"/>
      <c r="B16" s="86"/>
      <c r="C16" s="75" t="s">
        <v>198</v>
      </c>
      <c r="D16" s="75"/>
      <c r="E16" s="75"/>
      <c r="F16" s="75"/>
      <c r="G16" s="234">
        <f>SUM(Inputs!D39:F39)</f>
        <v>11</v>
      </c>
      <c r="H16" s="254">
        <f>G16/AVERAGE(Inputs!$J$29:$J$29)</f>
        <v>7.801418439716312E-3</v>
      </c>
      <c r="I16" s="109"/>
      <c r="J16" s="72"/>
      <c r="K16" s="72"/>
      <c r="L16" s="72"/>
      <c r="M16" s="72"/>
    </row>
    <row r="17" spans="1:13" ht="16.5" customHeight="1">
      <c r="A17" s="72"/>
      <c r="B17" s="86"/>
      <c r="C17" s="75" t="str">
        <f>"Operating interest"</f>
        <v>Operating interest</v>
      </c>
      <c r="D17" s="75"/>
      <c r="E17" s="75"/>
      <c r="F17" s="75"/>
      <c r="G17" s="94">
        <f>(SUM(G11:G16)/2)*(Inputs!$D$25*(SUM(Inputs!J4:J6)/365))</f>
        <v>154.39348023410918</v>
      </c>
      <c r="H17" s="254">
        <f>G17/AVERAGE(Inputs!$J$29:$J$29)</f>
        <v>0.10949892215185048</v>
      </c>
      <c r="I17" s="72"/>
      <c r="J17" s="72"/>
      <c r="K17" s="72"/>
      <c r="L17" s="72"/>
      <c r="M17" s="72"/>
    </row>
    <row r="18" spans="1:13" ht="16.5" customHeight="1">
      <c r="A18" s="72"/>
      <c r="B18" s="78"/>
      <c r="C18" s="188"/>
      <c r="D18" s="58"/>
      <c r="E18" s="188"/>
      <c r="F18" s="193" t="s">
        <v>157</v>
      </c>
      <c r="G18" s="194">
        <f>SUM(G11:G17)</f>
        <v>2951.0992015963848</v>
      </c>
      <c r="H18" s="252">
        <f>G18/AVERAGE(Inputs!$J$29:$J$29)</f>
        <v>2.0929781571605566</v>
      </c>
      <c r="I18" s="72"/>
      <c r="J18" s="72"/>
      <c r="K18" s="72"/>
      <c r="L18" s="207"/>
      <c r="M18" s="72"/>
    </row>
    <row r="19" spans="1:13" ht="16.5" customHeight="1">
      <c r="A19" s="72"/>
      <c r="B19" s="81" t="s">
        <v>158</v>
      </c>
      <c r="C19" s="74"/>
      <c r="D19" s="222"/>
      <c r="E19" s="74"/>
      <c r="F19" s="74"/>
      <c r="G19" s="260"/>
      <c r="H19" s="254"/>
      <c r="I19" s="72"/>
      <c r="J19" s="72"/>
      <c r="K19" s="72"/>
      <c r="L19" s="72"/>
      <c r="M19" s="72"/>
    </row>
    <row r="20" spans="1:13" ht="16.5" customHeight="1">
      <c r="A20" s="72"/>
      <c r="B20" s="88" t="s">
        <v>160</v>
      </c>
      <c r="C20" s="9" t="s">
        <v>159</v>
      </c>
      <c r="D20" s="75"/>
      <c r="E20" s="223"/>
      <c r="F20" s="75"/>
      <c r="G20" s="223">
        <f>'Budget - Commercial Sale'!E25+IF(D2=J2,Inputs!F54/3)</f>
        <v>18.644578313253014</v>
      </c>
      <c r="H20" s="254">
        <f>G20/AVERAGE(Inputs!$J$29:$J$29)</f>
        <v>1.3223105186704266E-2</v>
      </c>
      <c r="I20" s="412"/>
      <c r="J20" s="412"/>
      <c r="K20" s="72"/>
      <c r="L20" s="72"/>
      <c r="M20" s="72"/>
    </row>
    <row r="21" spans="1:13" ht="16.5" customHeight="1">
      <c r="A21" s="72"/>
      <c r="B21" s="88"/>
      <c r="C21" s="75" t="s">
        <v>161</v>
      </c>
      <c r="D21" s="75"/>
      <c r="E21" s="223"/>
      <c r="F21" s="75"/>
      <c r="G21" s="223">
        <f>((Inputs!$J$10+Inputs!$D$7*Inputs!$J$15/100)+(Inputs!$J$11/Inputs!$J$9+Inputs!$D$8/25))/2*Inputs!$D$27</f>
        <v>155.04124999999999</v>
      </c>
      <c r="H21" s="254">
        <f>G21/AVERAGE(Inputs!$J$29:$J$29)</f>
        <v>0.10995833333333332</v>
      </c>
      <c r="I21" s="412"/>
      <c r="J21" s="412"/>
      <c r="K21" s="72"/>
      <c r="L21" s="72"/>
      <c r="M21" s="72"/>
    </row>
    <row r="22" spans="1:13" ht="16.5" customHeight="1">
      <c r="A22" s="72"/>
      <c r="B22" s="86"/>
      <c r="C22" s="75" t="s">
        <v>162</v>
      </c>
      <c r="D22" s="75"/>
      <c r="E22" s="223"/>
      <c r="F22" s="75"/>
      <c r="G22" s="223">
        <f>'Budget - Commercial Sale'!E27+IF('Budget - Freezer Beef'!D2='Budget - Freezer Beef'!J2,Inputs!C54/2*Inputs!D27/'Budget - Freezer Beef'!L10,0)</f>
        <v>21.509789156626507</v>
      </c>
      <c r="H22" s="254">
        <f>G22/AVERAGE(Inputs!$J$29:$J$29)</f>
        <v>1.5255169614628729E-2</v>
      </c>
      <c r="I22" s="412"/>
      <c r="J22" s="412"/>
      <c r="K22" s="72"/>
      <c r="L22" s="72"/>
      <c r="M22" s="72"/>
    </row>
    <row r="23" spans="1:13" ht="16.5" customHeight="1">
      <c r="A23" s="72"/>
      <c r="B23" s="86"/>
      <c r="C23" s="75" t="s">
        <v>163</v>
      </c>
      <c r="D23" s="75"/>
      <c r="E23" s="223"/>
      <c r="F23" s="75"/>
      <c r="G23" s="209">
        <f>SUM($K$37:$K$40)</f>
        <v>61.044397590361449</v>
      </c>
      <c r="H23" s="254">
        <f>G23/AVERAGE(Inputs!$J$29:$J$29)</f>
        <v>4.3293899000256347E-2</v>
      </c>
      <c r="I23" s="72"/>
      <c r="J23" s="72"/>
      <c r="K23" s="72"/>
      <c r="L23" s="72"/>
      <c r="M23" s="72"/>
    </row>
    <row r="24" spans="1:13" ht="16.5" customHeight="1">
      <c r="A24" s="72"/>
      <c r="B24" s="249"/>
      <c r="C24" s="79"/>
      <c r="D24" s="58"/>
      <c r="E24" s="192"/>
      <c r="F24" s="84" t="s">
        <v>164</v>
      </c>
      <c r="G24" s="248">
        <f>SUM(G20:G23)</f>
        <v>256.24001506024098</v>
      </c>
      <c r="H24" s="252">
        <f>G24/AVERAGE(Inputs!$J$29:$J$29)</f>
        <v>0.18173050713492267</v>
      </c>
      <c r="I24" s="72"/>
      <c r="J24" s="72"/>
      <c r="K24" s="72"/>
      <c r="L24" s="72"/>
      <c r="M24" s="72"/>
    </row>
    <row r="25" spans="1:13" ht="16.5" customHeight="1">
      <c r="A25" s="72"/>
      <c r="B25" s="86"/>
      <c r="C25" s="75"/>
      <c r="D25" s="75"/>
      <c r="E25" s="234"/>
      <c r="F25" s="75"/>
      <c r="G25" s="223"/>
      <c r="H25" s="93"/>
      <c r="I25" s="72"/>
      <c r="J25" s="72"/>
      <c r="K25" s="72"/>
      <c r="L25" s="72"/>
      <c r="M25" s="72"/>
    </row>
    <row r="26" spans="1:13" ht="16.5" customHeight="1">
      <c r="A26" s="72"/>
      <c r="B26" s="86"/>
      <c r="C26" s="75"/>
      <c r="D26" s="222" t="s">
        <v>165</v>
      </c>
      <c r="E26" s="72"/>
      <c r="F26" s="72"/>
      <c r="G26" s="261">
        <f>G24+G18</f>
        <v>3207.3392166566259</v>
      </c>
      <c r="H26" s="262">
        <f>G26/AVERAGE(Inputs!$J$29:$J$29)</f>
        <v>2.2747086642954795</v>
      </c>
      <c r="I26" s="72"/>
      <c r="J26" s="72"/>
      <c r="K26" s="72"/>
      <c r="L26" s="72"/>
      <c r="M26" s="72"/>
    </row>
    <row r="27" spans="1:13" ht="16.5" customHeight="1">
      <c r="A27" s="72"/>
      <c r="B27" s="86"/>
      <c r="C27" s="72"/>
      <c r="D27" s="222" t="s">
        <v>166</v>
      </c>
      <c r="E27" s="72"/>
      <c r="F27" s="75"/>
      <c r="G27" s="245">
        <f>G9-G18</f>
        <v>395.45079840361586</v>
      </c>
      <c r="H27" s="262">
        <f>G27/AVERAGE(Inputs!$J$29:$J$29)</f>
        <v>0.28046155915150062</v>
      </c>
      <c r="I27" s="72"/>
      <c r="J27" s="72"/>
      <c r="K27" s="72"/>
      <c r="L27" s="72"/>
      <c r="M27" s="72"/>
    </row>
    <row r="28" spans="1:13" ht="16.5" customHeight="1" thickBot="1">
      <c r="A28" s="72"/>
      <c r="B28" s="86"/>
      <c r="C28" s="72"/>
      <c r="D28" s="222" t="s">
        <v>167</v>
      </c>
      <c r="E28" s="72"/>
      <c r="F28" s="75"/>
      <c r="G28" s="245">
        <f>G9-G24-G18</f>
        <v>139.21078334337471</v>
      </c>
      <c r="H28" s="262">
        <f>G28/AVERAGE(Inputs!$J$29:$J$29)</f>
        <v>9.8731052016577808E-2</v>
      </c>
      <c r="I28" s="72"/>
      <c r="J28" s="72"/>
      <c r="K28" s="72"/>
      <c r="L28" s="72"/>
      <c r="M28" s="72"/>
    </row>
    <row r="29" spans="1:13" ht="16.5" customHeight="1" thickBot="1">
      <c r="A29" s="72"/>
      <c r="B29" s="89"/>
      <c r="C29" s="110"/>
      <c r="D29" s="110"/>
      <c r="E29" s="90"/>
      <c r="F29" s="348" t="s">
        <v>199</v>
      </c>
      <c r="G29" s="349"/>
      <c r="H29" s="350">
        <f>G26/G3</f>
        <v>3.8844068720892748</v>
      </c>
      <c r="I29" s="72"/>
      <c r="J29" s="72"/>
      <c r="K29" s="72"/>
      <c r="L29" s="72"/>
      <c r="M29" s="72"/>
    </row>
    <row r="30" spans="1:13" ht="16.5" customHeight="1">
      <c r="A30" s="72"/>
      <c r="B30" s="75"/>
      <c r="C30" s="75"/>
      <c r="D30" s="75"/>
      <c r="E30" s="75"/>
      <c r="F30" s="75"/>
      <c r="G30" s="75"/>
      <c r="H30" s="75"/>
      <c r="I30" s="72"/>
      <c r="J30" s="72"/>
      <c r="K30" s="72"/>
      <c r="L30" s="72"/>
      <c r="M30" s="72"/>
    </row>
    <row r="31" spans="1:13" ht="16.5" customHeight="1">
      <c r="A31" s="72"/>
      <c r="B31" s="291"/>
      <c r="C31" s="74"/>
      <c r="D31" s="74"/>
      <c r="E31" s="74"/>
      <c r="F31" s="74"/>
      <c r="G31" s="74"/>
      <c r="H31" s="74"/>
      <c r="I31" s="72"/>
      <c r="J31" s="72"/>
      <c r="K31" s="72"/>
      <c r="L31" s="72"/>
      <c r="M31" s="72"/>
    </row>
    <row r="32" spans="1:13" ht="16.5" customHeight="1">
      <c r="A32" s="72"/>
      <c r="B32" s="9"/>
      <c r="C32" s="9"/>
      <c r="D32" s="9"/>
      <c r="E32" s="7"/>
      <c r="F32" s="7"/>
      <c r="G32" s="9"/>
      <c r="H32" s="9"/>
      <c r="I32" s="72"/>
      <c r="J32" s="72"/>
      <c r="K32" s="72"/>
      <c r="L32" s="72"/>
      <c r="M32" s="72"/>
    </row>
    <row r="33" spans="1:11" ht="16.5" hidden="1" customHeight="1">
      <c r="A33" s="72"/>
      <c r="B33" s="9"/>
      <c r="C33" s="9"/>
      <c r="D33" s="9"/>
      <c r="E33" s="7"/>
      <c r="F33" s="7"/>
      <c r="G33" s="9"/>
      <c r="H33" s="9"/>
      <c r="I33" s="72"/>
    </row>
    <row r="34" spans="1:11" ht="16.5" hidden="1" customHeight="1">
      <c r="B34" s="9"/>
      <c r="C34" s="9"/>
      <c r="D34" s="9"/>
      <c r="E34" s="7"/>
      <c r="F34" s="7"/>
      <c r="G34" s="9"/>
      <c r="H34" s="9"/>
    </row>
    <row r="35" spans="1:11" ht="16.5" hidden="1" customHeight="1">
      <c r="B35" s="9"/>
      <c r="C35" s="9"/>
      <c r="D35" s="9"/>
      <c r="E35" s="7"/>
      <c r="F35" s="7"/>
      <c r="G35" s="9"/>
      <c r="H35" s="9"/>
    </row>
    <row r="36" spans="1:11" ht="16.5" hidden="1" customHeight="1">
      <c r="B36" s="9"/>
      <c r="C36" s="9"/>
      <c r="D36" s="9"/>
      <c r="E36" s="7"/>
      <c r="F36" s="7"/>
      <c r="G36" s="9"/>
      <c r="H36" s="9"/>
      <c r="J36" s="405" t="s">
        <v>168</v>
      </c>
      <c r="K36" s="405"/>
    </row>
    <row r="37" spans="1:11" ht="16.5" hidden="1" customHeight="1">
      <c r="B37" s="9"/>
      <c r="C37" s="9"/>
      <c r="D37" s="9"/>
      <c r="E37" s="7"/>
      <c r="F37" s="7"/>
      <c r="G37" s="9"/>
      <c r="H37" s="9"/>
      <c r="J37" s="6" t="s">
        <v>169</v>
      </c>
      <c r="K37" s="137">
        <f>Inputs!D29*(Inputs!J10+(Inputs!J11/Inputs!J9))/(Inputs!J17-Inputs!J18-Inputs!J19)</f>
        <v>32.144578313253014</v>
      </c>
    </row>
    <row r="38" spans="1:11" ht="16.5" hidden="1" customHeight="1">
      <c r="B38" s="9"/>
      <c r="C38" s="9"/>
      <c r="D38" s="9"/>
      <c r="E38" s="7"/>
      <c r="F38" s="7"/>
      <c r="G38" s="9"/>
      <c r="H38" s="9"/>
      <c r="J38" s="6" t="s">
        <v>170</v>
      </c>
      <c r="K38" s="137">
        <f>(Inputs!D30*(SUM(Inputs!C51:C53)+IF(D2=J2,Inputs!C54,0))/Inputs!J8)/(Inputs!J17-Inputs!J18-Inputs!J19)</f>
        <v>1.4834337349397591</v>
      </c>
    </row>
    <row r="39" spans="1:11" ht="16.5" hidden="1" customHeight="1">
      <c r="B39" s="9"/>
      <c r="C39" s="9"/>
      <c r="D39" s="9"/>
      <c r="E39" s="7"/>
      <c r="F39" s="7"/>
      <c r="G39" s="9"/>
      <c r="H39" s="9"/>
      <c r="J39" s="6" t="s">
        <v>171</v>
      </c>
      <c r="K39" s="137">
        <f>Inputs!D28*(Inputs!J10+(Inputs!J11/Inputs!J9))/(Inputs!J17-Inputs!J18-Inputs!J19)</f>
        <v>23.144096385542166</v>
      </c>
    </row>
    <row r="40" spans="1:11" ht="16.5" hidden="1" customHeight="1">
      <c r="B40" s="7"/>
      <c r="C40" s="9"/>
      <c r="D40" s="9"/>
      <c r="E40" s="7"/>
      <c r="F40" s="17"/>
      <c r="G40" s="17"/>
      <c r="H40" s="17"/>
      <c r="J40" s="6" t="s">
        <v>172</v>
      </c>
      <c r="K40" s="137">
        <f>(Inputs!D28*(SUM(Inputs!C51:C53)+IF(D2=J2,Inputs!C54,0))/Inputs!J8)/(Inputs!J17-Inputs!J18-Inputs!J19)</f>
        <v>4.2722891566265062</v>
      </c>
    </row>
    <row r="41" spans="1:11" ht="16.5" hidden="1" customHeight="1">
      <c r="B41" s="9"/>
      <c r="C41" s="9"/>
      <c r="D41" s="9"/>
      <c r="E41" s="7"/>
      <c r="F41" s="14"/>
      <c r="G41" s="14"/>
      <c r="H41" s="14"/>
    </row>
    <row r="42" spans="1:11" ht="16.5" hidden="1" customHeight="1">
      <c r="B42" s="9"/>
      <c r="C42" s="9"/>
      <c r="D42" s="9"/>
      <c r="E42" s="9"/>
      <c r="F42" s="9"/>
      <c r="G42" s="19"/>
      <c r="H42" s="19"/>
    </row>
    <row r="43" spans="1:11" ht="16.5" hidden="1" customHeight="1">
      <c r="B43" s="12"/>
      <c r="C43" s="9"/>
      <c r="D43" s="17"/>
      <c r="E43" s="17"/>
      <c r="F43" s="17"/>
      <c r="G43" s="20"/>
      <c r="H43" s="20"/>
    </row>
    <row r="44" spans="1:11" ht="16.5" hidden="1" customHeight="1">
      <c r="B44" s="9"/>
      <c r="C44" s="9"/>
      <c r="D44" s="14"/>
      <c r="E44" s="15"/>
      <c r="F44" s="45"/>
      <c r="G44" s="21"/>
      <c r="H44" s="21"/>
    </row>
    <row r="45" spans="1:11" ht="16.5" hidden="1" customHeight="1">
      <c r="B45" s="9"/>
      <c r="C45" s="9"/>
      <c r="D45" s="14"/>
      <c r="E45" s="15"/>
      <c r="F45" s="45"/>
      <c r="G45" s="21"/>
      <c r="H45" s="21"/>
    </row>
    <row r="46" spans="1:11" ht="16.5" hidden="1" customHeight="1">
      <c r="B46" s="9"/>
      <c r="C46" s="9"/>
      <c r="D46" s="14"/>
      <c r="E46" s="15"/>
      <c r="F46" s="45"/>
      <c r="G46" s="21"/>
      <c r="H46" s="21"/>
    </row>
    <row r="47" spans="1:11" ht="16.5" hidden="1" customHeight="1">
      <c r="B47" s="9"/>
      <c r="C47" s="9"/>
      <c r="D47" s="14"/>
      <c r="E47" s="15"/>
      <c r="F47" s="46"/>
      <c r="G47" s="22"/>
      <c r="H47" s="22"/>
    </row>
    <row r="48" spans="1:11" ht="16.5" hidden="1" customHeight="1">
      <c r="B48" s="9"/>
      <c r="C48" s="9"/>
      <c r="D48" s="7"/>
      <c r="E48" s="9"/>
      <c r="F48" s="9"/>
      <c r="G48" s="23"/>
      <c r="H48" s="23"/>
    </row>
    <row r="49" spans="2:8" ht="16.5" hidden="1" customHeight="1">
      <c r="B49" s="7"/>
      <c r="C49" s="7"/>
      <c r="D49" s="7"/>
      <c r="E49" s="7"/>
      <c r="F49" s="7"/>
      <c r="G49" s="7"/>
      <c r="H49" s="7"/>
    </row>
    <row r="50" spans="2:8" ht="16.5" hidden="1" customHeight="1">
      <c r="B50" s="12"/>
      <c r="C50" s="9"/>
      <c r="D50" s="9"/>
      <c r="E50" s="9"/>
      <c r="F50" s="9"/>
      <c r="G50" s="19"/>
      <c r="H50" s="19"/>
    </row>
    <row r="51" spans="2:8" ht="16.5" hidden="1" customHeight="1">
      <c r="B51" s="11"/>
      <c r="C51" s="7"/>
      <c r="D51" s="7"/>
      <c r="E51" s="17"/>
      <c r="F51" s="17"/>
      <c r="G51" s="17"/>
      <c r="H51" s="17"/>
    </row>
    <row r="52" spans="2:8" ht="16.5" hidden="1" customHeight="1">
      <c r="B52" s="9"/>
      <c r="C52" s="9"/>
      <c r="D52" s="7"/>
      <c r="E52" s="24"/>
      <c r="F52" s="14"/>
      <c r="G52" s="25"/>
      <c r="H52" s="25"/>
    </row>
    <row r="53" spans="2:8" ht="16.5" hidden="1" customHeight="1">
      <c r="B53" s="9"/>
      <c r="C53" s="9"/>
      <c r="D53" s="7"/>
      <c r="E53" s="24"/>
      <c r="F53" s="14"/>
      <c r="G53" s="25"/>
      <c r="H53" s="25"/>
    </row>
    <row r="54" spans="2:8" ht="16.5" hidden="1" customHeight="1">
      <c r="B54" s="27"/>
      <c r="C54" s="28"/>
      <c r="D54" s="28"/>
      <c r="E54" s="28"/>
      <c r="F54" s="28"/>
      <c r="G54" s="29"/>
      <c r="H54" s="29"/>
    </row>
    <row r="55" spans="2:8" ht="16.5" hidden="1" customHeight="1">
      <c r="B55" s="27"/>
      <c r="C55" s="28"/>
      <c r="D55" s="28"/>
      <c r="E55" s="28"/>
      <c r="F55" s="28"/>
      <c r="G55" s="29"/>
      <c r="H55" s="29"/>
    </row>
    <row r="56" spans="2:8" ht="16.5" hidden="1" customHeight="1">
      <c r="B56" s="11"/>
      <c r="C56" s="7"/>
      <c r="D56" s="17"/>
      <c r="E56" s="17"/>
      <c r="F56" s="17"/>
      <c r="G56" s="17"/>
      <c r="H56" s="17"/>
    </row>
    <row r="57" spans="2:8" ht="16.5" hidden="1" customHeight="1">
      <c r="B57" s="9"/>
      <c r="C57" s="9"/>
      <c r="D57" s="24"/>
      <c r="E57" s="47"/>
      <c r="F57" s="14"/>
      <c r="G57" s="25"/>
      <c r="H57" s="25"/>
    </row>
    <row r="58" spans="2:8" ht="16.5" hidden="1" customHeight="1">
      <c r="B58" s="9"/>
      <c r="C58" s="9"/>
      <c r="D58" s="24"/>
      <c r="E58" s="47"/>
      <c r="F58" s="14"/>
      <c r="G58" s="25"/>
      <c r="H58" s="25"/>
    </row>
    <row r="59" spans="2:8" ht="16.5" hidden="1" customHeight="1">
      <c r="B59" s="9"/>
      <c r="C59" s="9"/>
      <c r="D59" s="24"/>
      <c r="E59" s="47"/>
      <c r="F59" s="14"/>
      <c r="G59" s="25"/>
      <c r="H59" s="25"/>
    </row>
    <row r="60" spans="2:8" ht="16.5" hidden="1" customHeight="1">
      <c r="B60" s="9"/>
      <c r="C60" s="9"/>
      <c r="D60" s="24"/>
      <c r="E60" s="47"/>
      <c r="F60" s="14"/>
      <c r="G60" s="25"/>
      <c r="H60" s="25"/>
    </row>
    <row r="61" spans="2:8" ht="16.5" hidden="1" customHeight="1">
      <c r="B61" s="27"/>
      <c r="C61" s="7"/>
      <c r="D61" s="7"/>
      <c r="E61" s="7"/>
      <c r="F61" s="7"/>
      <c r="G61" s="30"/>
      <c r="H61" s="30"/>
    </row>
    <row r="62" spans="2:8" ht="16.5" hidden="1" customHeight="1">
      <c r="B62" s="9"/>
      <c r="C62" s="9"/>
      <c r="D62" s="9"/>
      <c r="E62" s="9"/>
      <c r="F62" s="9"/>
      <c r="G62" s="19"/>
      <c r="H62" s="19"/>
    </row>
    <row r="63" spans="2:8" ht="16.5" hidden="1" customHeight="1">
      <c r="B63" s="11"/>
      <c r="C63" s="7"/>
      <c r="D63" s="17"/>
      <c r="E63" s="17"/>
      <c r="F63" s="17"/>
      <c r="G63" s="17"/>
      <c r="H63" s="17"/>
    </row>
    <row r="64" spans="2:8" ht="16.5" hidden="1" customHeight="1">
      <c r="B64" s="9"/>
      <c r="C64" s="9"/>
      <c r="D64" s="24"/>
      <c r="E64" s="47"/>
      <c r="F64" s="14"/>
      <c r="G64" s="31"/>
      <c r="H64" s="31"/>
    </row>
    <row r="65" spans="2:8" ht="16.5" hidden="1" customHeight="1">
      <c r="B65" s="9"/>
      <c r="C65" s="9"/>
      <c r="D65" s="24"/>
      <c r="E65" s="47"/>
      <c r="F65" s="14"/>
      <c r="G65" s="31"/>
      <c r="H65" s="31"/>
    </row>
    <row r="66" spans="2:8" ht="16.5" hidden="1" customHeight="1">
      <c r="B66" s="9"/>
      <c r="C66" s="9"/>
      <c r="D66" s="24"/>
      <c r="E66" s="47"/>
      <c r="F66" s="14"/>
      <c r="G66" s="16"/>
      <c r="H66" s="16"/>
    </row>
    <row r="67" spans="2:8" ht="16.5" hidden="1" customHeight="1">
      <c r="B67" s="27"/>
      <c r="C67" s="7"/>
      <c r="D67" s="7"/>
      <c r="E67" s="7"/>
      <c r="F67" s="7"/>
      <c r="G67" s="48"/>
      <c r="H67" s="48"/>
    </row>
    <row r="68" spans="2:8" ht="16.5" hidden="1" customHeight="1">
      <c r="B68" s="27"/>
      <c r="C68" s="7"/>
      <c r="D68" s="7"/>
      <c r="E68" s="7"/>
      <c r="F68" s="7"/>
      <c r="G68" s="48"/>
      <c r="H68" s="48"/>
    </row>
    <row r="69" spans="2:8" ht="16.5" hidden="1" customHeight="1">
      <c r="B69" s="11"/>
      <c r="C69" s="7"/>
      <c r="D69" s="17"/>
      <c r="E69" s="17"/>
      <c r="F69" s="17"/>
      <c r="G69" s="17"/>
      <c r="H69" s="17"/>
    </row>
    <row r="70" spans="2:8" ht="16.5" hidden="1" customHeight="1">
      <c r="B70" s="9"/>
      <c r="C70" s="7"/>
      <c r="D70" s="24"/>
      <c r="E70" s="47"/>
      <c r="F70" s="14"/>
      <c r="G70" s="33"/>
      <c r="H70" s="33"/>
    </row>
    <row r="71" spans="2:8" ht="16.5" hidden="1" customHeight="1">
      <c r="B71" s="9"/>
      <c r="C71" s="9"/>
      <c r="D71" s="24"/>
      <c r="E71" s="47"/>
      <c r="F71" s="14"/>
      <c r="G71" s="33"/>
      <c r="H71" s="33"/>
    </row>
    <row r="72" spans="2:8" ht="16.5" hidden="1" customHeight="1">
      <c r="B72" s="9"/>
      <c r="C72" s="9"/>
      <c r="D72" s="24"/>
      <c r="E72" s="47"/>
      <c r="F72" s="14"/>
      <c r="G72" s="33"/>
      <c r="H72" s="33"/>
    </row>
    <row r="73" spans="2:8" ht="16.5" hidden="1" customHeight="1">
      <c r="B73" s="27"/>
      <c r="C73" s="7"/>
      <c r="D73" s="7"/>
      <c r="E73" s="7"/>
      <c r="F73" s="7"/>
      <c r="G73" s="49"/>
      <c r="H73" s="49"/>
    </row>
    <row r="74" spans="2:8" ht="16.5" hidden="1" customHeight="1">
      <c r="B74" s="9"/>
      <c r="C74" s="9"/>
      <c r="D74" s="9"/>
      <c r="E74" s="9"/>
      <c r="F74" s="9"/>
      <c r="G74" s="19"/>
      <c r="H74" s="19"/>
    </row>
    <row r="75" spans="2:8" ht="16.5" hidden="1" customHeight="1">
      <c r="B75" s="11"/>
      <c r="C75" s="7"/>
      <c r="D75" s="17"/>
      <c r="E75" s="17"/>
      <c r="F75" s="17"/>
      <c r="G75" s="17"/>
      <c r="H75" s="17"/>
    </row>
    <row r="76" spans="2:8" ht="16.5" hidden="1" customHeight="1">
      <c r="B76" s="9"/>
      <c r="C76" s="9"/>
      <c r="D76" s="50"/>
      <c r="E76" s="47"/>
      <c r="F76" s="14"/>
      <c r="G76" s="25"/>
      <c r="H76" s="25"/>
    </row>
    <row r="77" spans="2:8" ht="16.5" hidden="1" customHeight="1">
      <c r="B77" s="9"/>
      <c r="C77" s="9"/>
      <c r="D77" s="50"/>
      <c r="E77" s="47"/>
      <c r="F77" s="14"/>
      <c r="G77" s="16"/>
      <c r="H77" s="16"/>
    </row>
    <row r="78" spans="2:8" ht="16.5" hidden="1" customHeight="1">
      <c r="B78" s="35"/>
      <c r="C78" s="7"/>
      <c r="D78" s="7"/>
      <c r="E78" s="7"/>
      <c r="F78" s="7"/>
      <c r="G78" s="7"/>
      <c r="H78" s="7"/>
    </row>
    <row r="79" spans="2:8" ht="16.5" hidden="1" customHeight="1">
      <c r="B79" s="7"/>
      <c r="C79" s="7"/>
      <c r="D79" s="7"/>
      <c r="E79" s="7"/>
      <c r="F79" s="26"/>
      <c r="G79" s="36"/>
      <c r="H79" s="36"/>
    </row>
    <row r="80" spans="2:8" ht="16.5" hidden="1" customHeight="1">
      <c r="B80" s="7"/>
      <c r="C80" s="7"/>
      <c r="D80" s="7"/>
      <c r="E80" s="7"/>
      <c r="F80" s="7"/>
      <c r="G80" s="7"/>
      <c r="H80" s="7"/>
    </row>
    <row r="81" spans="2:8" ht="16.5" hidden="1" customHeight="1">
      <c r="B81" s="7"/>
      <c r="C81" s="9"/>
      <c r="D81" s="9"/>
      <c r="E81" s="51"/>
      <c r="F81" s="7"/>
      <c r="G81" s="7"/>
      <c r="H81" s="7"/>
    </row>
    <row r="82" spans="2:8" ht="16.5" hidden="1" customHeight="1">
      <c r="B82" s="7"/>
      <c r="C82" s="7"/>
      <c r="D82" s="7"/>
      <c r="E82" s="7"/>
      <c r="F82" s="7"/>
      <c r="G82" s="7"/>
      <c r="H82" s="7"/>
    </row>
    <row r="83" spans="2:8" ht="15" hidden="1" customHeight="1">
      <c r="B83" s="7"/>
      <c r="C83" s="7"/>
      <c r="D83" s="7"/>
      <c r="E83" s="7"/>
      <c r="F83" s="7"/>
      <c r="G83" s="7"/>
      <c r="H83" s="7"/>
    </row>
    <row r="84" spans="2:8" ht="15" hidden="1" customHeight="1">
      <c r="B84" s="7"/>
      <c r="C84" s="7"/>
      <c r="D84" s="7"/>
      <c r="E84" s="7"/>
      <c r="F84" s="7"/>
      <c r="G84" s="7"/>
      <c r="H84" s="7"/>
    </row>
    <row r="85" spans="2:8" ht="15" hidden="1" customHeight="1">
      <c r="B85" s="7"/>
      <c r="C85" s="7"/>
      <c r="D85" s="7"/>
      <c r="E85" s="7"/>
      <c r="F85" s="7"/>
      <c r="G85" s="7"/>
      <c r="H85" s="7"/>
    </row>
    <row r="86" spans="2:8" ht="15" hidden="1" customHeight="1">
      <c r="B86" s="7"/>
      <c r="C86" s="7"/>
      <c r="D86" s="7"/>
      <c r="E86" s="7"/>
      <c r="F86" s="7"/>
      <c r="G86" s="7"/>
      <c r="H86" s="7"/>
    </row>
    <row r="87" spans="2:8" ht="15" hidden="1" customHeight="1">
      <c r="B87" s="7"/>
      <c r="C87" s="7"/>
      <c r="D87" s="7"/>
      <c r="E87" s="7"/>
      <c r="F87" s="7"/>
      <c r="G87" s="7"/>
      <c r="H87" s="7"/>
    </row>
    <row r="88" spans="2:8" ht="15" hidden="1" customHeight="1">
      <c r="B88" s="7"/>
      <c r="C88" s="7"/>
      <c r="D88" s="7"/>
      <c r="E88" s="7"/>
      <c r="F88" s="7"/>
      <c r="G88" s="52"/>
      <c r="H88" s="52"/>
    </row>
    <row r="89" spans="2:8" ht="15" hidden="1" customHeight="1">
      <c r="B89" s="35"/>
      <c r="C89" s="7"/>
      <c r="D89" s="7"/>
      <c r="E89" s="7"/>
      <c r="F89" s="7"/>
      <c r="G89" s="7"/>
      <c r="H89" s="7"/>
    </row>
    <row r="90" spans="2:8" ht="15" hidden="1" customHeight="1">
      <c r="B90" s="9"/>
      <c r="C90" s="9"/>
      <c r="D90" s="53"/>
      <c r="E90" s="9"/>
      <c r="F90" s="7"/>
      <c r="G90" s="7"/>
      <c r="H90" s="7"/>
    </row>
    <row r="91" spans="2:8" ht="15" hidden="1" customHeight="1">
      <c r="B91" s="7"/>
      <c r="C91" s="7"/>
      <c r="D91" s="7"/>
      <c r="E91" s="7"/>
      <c r="F91" s="7"/>
      <c r="G91" s="7"/>
      <c r="H91" s="7"/>
    </row>
    <row r="92" spans="2:8" ht="15" hidden="1" customHeight="1">
      <c r="B92" s="37"/>
      <c r="C92" s="9"/>
      <c r="D92" s="17"/>
      <c r="E92" s="17"/>
      <c r="F92" s="37"/>
      <c r="G92" s="9"/>
      <c r="H92" s="9"/>
    </row>
    <row r="93" spans="2:8" ht="15" hidden="1" customHeight="1">
      <c r="B93" s="13"/>
      <c r="C93" s="7"/>
      <c r="D93" s="45"/>
      <c r="E93" s="54"/>
      <c r="F93" s="13"/>
      <c r="G93" s="9"/>
      <c r="H93" s="9"/>
    </row>
    <row r="94" spans="2:8" ht="15" hidden="1" customHeight="1">
      <c r="B94" s="13"/>
      <c r="C94" s="7"/>
      <c r="D94" s="45"/>
      <c r="E94" s="13"/>
      <c r="F94" s="13"/>
      <c r="G94" s="9"/>
      <c r="H94" s="9"/>
    </row>
    <row r="95" spans="2:8" ht="15" hidden="1" customHeight="1">
      <c r="B95" s="13"/>
      <c r="C95" s="7"/>
      <c r="D95" s="45"/>
      <c r="E95" s="13"/>
      <c r="F95" s="13"/>
      <c r="G95" s="9"/>
      <c r="H95" s="9"/>
    </row>
    <row r="96" spans="2:8" ht="15" hidden="1" customHeight="1">
      <c r="B96" s="13"/>
      <c r="C96" s="7"/>
      <c r="D96" s="45"/>
      <c r="E96" s="13"/>
      <c r="F96" s="13"/>
      <c r="G96" s="7"/>
      <c r="H96" s="7"/>
    </row>
    <row r="97" spans="2:8" ht="15" hidden="1" customHeight="1">
      <c r="B97" s="9"/>
      <c r="C97" s="7"/>
      <c r="D97" s="7"/>
      <c r="E97" s="7"/>
      <c r="F97" s="7"/>
      <c r="G97" s="38"/>
      <c r="H97" s="38"/>
    </row>
    <row r="98" spans="2:8" ht="15" hidden="1" customHeight="1">
      <c r="B98" s="9"/>
      <c r="C98" s="9"/>
      <c r="D98" s="14"/>
      <c r="E98" s="9"/>
      <c r="F98" s="9"/>
      <c r="G98" s="9"/>
      <c r="H98" s="9"/>
    </row>
    <row r="99" spans="2:8" ht="15" hidden="1" customHeight="1">
      <c r="B99" s="8"/>
      <c r="C99" s="7"/>
      <c r="D99" s="7"/>
      <c r="E99" s="7"/>
      <c r="F99" s="39"/>
      <c r="G99" s="39"/>
      <c r="H99" s="39"/>
    </row>
    <row r="100" spans="2:8" ht="15" hidden="1" customHeight="1">
      <c r="B100" s="7"/>
      <c r="C100" s="7"/>
      <c r="D100" s="7"/>
      <c r="E100" s="7"/>
      <c r="F100" s="45"/>
      <c r="G100" s="26"/>
      <c r="H100" s="26"/>
    </row>
    <row r="101" spans="2:8" ht="15" hidden="1" customHeight="1"/>
    <row r="102" spans="2:8" ht="15" hidden="1" customHeight="1"/>
  </sheetData>
  <sheetProtection sheet="1" objects="1" scenarios="1"/>
  <protectedRanges>
    <protectedRange sqref="K3:K5 L9:L11 D2:D3" name="Grey cells"/>
  </protectedRanges>
  <mergeCells count="6">
    <mergeCell ref="J36:K36"/>
    <mergeCell ref="B1:G1"/>
    <mergeCell ref="J11:K11"/>
    <mergeCell ref="E2:G2"/>
    <mergeCell ref="E4:F4"/>
    <mergeCell ref="I20:J22"/>
  </mergeCells>
  <conditionalFormatting sqref="D4">
    <cfRule type="colorScale" priority="8">
      <colorScale>
        <cfvo type="min"/>
        <cfvo type="max"/>
        <color rgb="FFFF7128"/>
        <color rgb="FFFFEF9C"/>
      </colorScale>
    </cfRule>
    <cfRule type="expression" dxfId="10" priority="9">
      <formula>$J$3</formula>
    </cfRule>
  </conditionalFormatting>
  <conditionalFormatting sqref="G27:H28">
    <cfRule type="cellIs" dxfId="9" priority="1" operator="lessThan">
      <formula>0</formula>
    </cfRule>
  </conditionalFormatting>
  <dataValidations count="1">
    <dataValidation type="list" allowBlank="1" showInputMessage="1" showErrorMessage="1" sqref="D2" xr:uid="{2CE55F29-0001-4CEF-A000-AD01967CBAE3}">
      <formula1>$J$2:$J$5</formula1>
    </dataValidation>
  </dataValidations>
  <pageMargins left="0.7" right="0.7"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EBB0-4AEC-4A1B-BDF1-399A50B99164}">
  <dimension ref="A1:Q27"/>
  <sheetViews>
    <sheetView showGridLines="0" workbookViewId="0">
      <selection activeCell="H21" sqref="H21"/>
    </sheetView>
  </sheetViews>
  <sheetFormatPr defaultColWidth="0" defaultRowHeight="16.5" zeroHeight="1"/>
  <cols>
    <col min="1" max="1" width="9.140625" style="6" customWidth="1"/>
    <col min="2" max="2" width="18.7109375" style="6" bestFit="1" customWidth="1"/>
    <col min="3" max="3" width="32.85546875" style="6" bestFit="1" customWidth="1"/>
    <col min="4" max="4" width="21.140625" style="6" customWidth="1"/>
    <col min="5" max="5" width="8.7109375" style="6" bestFit="1" customWidth="1"/>
    <col min="6" max="6" width="13.140625" style="6" bestFit="1" customWidth="1"/>
    <col min="7" max="7" width="9.140625" style="6" customWidth="1"/>
    <col min="8" max="8" width="25.85546875" style="6" bestFit="1" customWidth="1"/>
    <col min="9" max="9" width="17.42578125" style="6" bestFit="1" customWidth="1"/>
    <col min="10" max="10" width="10.7109375" style="6" bestFit="1" customWidth="1"/>
    <col min="11" max="11" width="9.140625" style="6" customWidth="1"/>
    <col min="12" max="16384" width="9.140625" style="6" hidden="1"/>
  </cols>
  <sheetData>
    <row r="1" spans="2:17" ht="21" thickBot="1">
      <c r="B1" s="413" t="s">
        <v>200</v>
      </c>
      <c r="C1" s="414"/>
      <c r="D1" s="414"/>
      <c r="E1" s="414"/>
      <c r="F1" s="415"/>
      <c r="H1" s="416" t="s">
        <v>201</v>
      </c>
      <c r="I1" s="417"/>
      <c r="J1" s="418"/>
      <c r="K1" s="310"/>
      <c r="L1" s="311"/>
      <c r="N1" s="6" t="s">
        <v>202</v>
      </c>
      <c r="O1" s="6" t="s">
        <v>203</v>
      </c>
      <c r="Q1" s="6">
        <v>1</v>
      </c>
    </row>
    <row r="2" spans="2:17" ht="17.25" thickBot="1">
      <c r="B2" s="57" t="s">
        <v>204</v>
      </c>
      <c r="C2" s="58" t="s">
        <v>205</v>
      </c>
      <c r="D2" s="58" t="s">
        <v>206</v>
      </c>
      <c r="E2" s="58" t="s">
        <v>9</v>
      </c>
      <c r="F2" s="299" t="s">
        <v>207</v>
      </c>
      <c r="H2" s="315" t="s">
        <v>208</v>
      </c>
      <c r="I2" s="315" t="s">
        <v>8</v>
      </c>
      <c r="J2" s="317" t="s">
        <v>209</v>
      </c>
      <c r="N2" s="6" t="s">
        <v>210</v>
      </c>
      <c r="O2" s="6" t="s">
        <v>211</v>
      </c>
      <c r="Q2" s="141">
        <f>AVERAGE(Inputs!J29:J29)</f>
        <v>1410</v>
      </c>
    </row>
    <row r="3" spans="2:17">
      <c r="B3" s="55" t="s">
        <v>212</v>
      </c>
      <c r="C3" s="6" t="s">
        <v>213</v>
      </c>
      <c r="D3" s="98">
        <f>SUMIF('Retail cuts selection'!$C$4:$C$11,C3,'Retail cuts selection'!$F$4:$F$11)</f>
        <v>27.864678908188587</v>
      </c>
      <c r="E3" s="327">
        <v>8.91</v>
      </c>
      <c r="F3" s="300">
        <f>D3*E3</f>
        <v>248.27428907196031</v>
      </c>
      <c r="H3" s="318" t="s">
        <v>214</v>
      </c>
      <c r="I3" s="422" t="s">
        <v>210</v>
      </c>
      <c r="J3" s="423"/>
      <c r="O3" s="6" t="s">
        <v>215</v>
      </c>
      <c r="Q3" s="98">
        <f>'Budget - Freezer Beef'!G3</f>
        <v>825.69600000000003</v>
      </c>
    </row>
    <row r="4" spans="2:17">
      <c r="B4" s="57"/>
      <c r="C4" s="58" t="s">
        <v>216</v>
      </c>
      <c r="D4" s="102">
        <f>SUMIF('Retail cuts selection'!$C$4:$C$11,C4,'Retail cuts selection'!$F$4:$F$11)</f>
        <v>10.551698263027298</v>
      </c>
      <c r="E4" s="297">
        <v>12.07</v>
      </c>
      <c r="F4" s="298">
        <f t="shared" ref="F4:F22" si="0">D4*E4</f>
        <v>127.35899803473949</v>
      </c>
      <c r="H4" s="55" t="s">
        <v>217</v>
      </c>
      <c r="I4" s="321" t="s">
        <v>203</v>
      </c>
      <c r="J4" s="312">
        <v>75</v>
      </c>
      <c r="L4" s="6">
        <f>J4*VLOOKUP(I4,$O$1:$Q$3,3,FALSE)</f>
        <v>75</v>
      </c>
      <c r="O4" s="6" t="s">
        <v>218</v>
      </c>
      <c r="Q4" s="98">
        <f>'Retail cuts selection'!V10</f>
        <v>261.15607384615379</v>
      </c>
    </row>
    <row r="5" spans="2:17">
      <c r="B5" s="55" t="s">
        <v>219</v>
      </c>
      <c r="C5" s="6" t="s">
        <v>213</v>
      </c>
      <c r="D5" s="98">
        <f>SUMIF('Retail cuts selection'!$K$4:$K$4,C5,'Retail cuts selection'!$N$4:$N$4)</f>
        <v>25.508474441687344</v>
      </c>
      <c r="E5" s="327">
        <v>16.600000000000001</v>
      </c>
      <c r="F5" s="300">
        <f t="shared" si="0"/>
        <v>423.44067573200994</v>
      </c>
      <c r="H5" s="55" t="s">
        <v>220</v>
      </c>
      <c r="I5" s="322" t="s">
        <v>215</v>
      </c>
      <c r="J5" s="312">
        <v>0.85</v>
      </c>
      <c r="L5" s="6">
        <f>J5*VLOOKUP(I5,$O$1:$Q$3,3,FALSE)</f>
        <v>701.84159999999997</v>
      </c>
    </row>
    <row r="6" spans="2:17">
      <c r="B6" s="57"/>
      <c r="C6" s="58" t="s">
        <v>216</v>
      </c>
      <c r="D6" s="102">
        <f>SUMIF('Retail cuts selection'!$K$4:$K$4,C6,'Retail cuts selection'!$N$4:$N$4)</f>
        <v>0</v>
      </c>
      <c r="E6" s="297">
        <v>19.34</v>
      </c>
      <c r="F6" s="298">
        <f t="shared" si="0"/>
        <v>0</v>
      </c>
      <c r="H6" s="55" t="s">
        <v>221</v>
      </c>
      <c r="I6" s="322" t="s">
        <v>203</v>
      </c>
      <c r="J6" s="312">
        <v>25</v>
      </c>
      <c r="L6" s="6">
        <f>J6*VLOOKUP(I6,$O$1:$Q$4,3,FALSE)</f>
        <v>25</v>
      </c>
    </row>
    <row r="7" spans="2:17">
      <c r="B7" s="55" t="s">
        <v>222</v>
      </c>
      <c r="C7" s="6" t="s">
        <v>223</v>
      </c>
      <c r="D7" s="98">
        <f>SUMIF('Retail cuts selection'!$C$14:$C$17,C7,'Retail cuts selection'!$F$14:$F$17)</f>
        <v>0</v>
      </c>
      <c r="E7" s="327">
        <v>25.64</v>
      </c>
      <c r="F7" s="300">
        <f t="shared" si="0"/>
        <v>0</v>
      </c>
      <c r="H7" s="55" t="s">
        <v>224</v>
      </c>
      <c r="I7" s="321" t="s">
        <v>203</v>
      </c>
      <c r="J7" s="312">
        <v>20</v>
      </c>
      <c r="L7" s="6">
        <f>J7*VLOOKUP(I7,$O$1:$Q$3,3,FALSE)</f>
        <v>20</v>
      </c>
    </row>
    <row r="8" spans="2:17">
      <c r="B8" s="55" t="s">
        <v>225</v>
      </c>
      <c r="C8" s="6" t="s">
        <v>216</v>
      </c>
      <c r="D8" s="98">
        <f>IF(AND('Retail cuts selection'!C17='Retail cuts selection'!C14,'Retail cuts selection'!F17&gt;0),'Retail cuts selection'!F17,0)</f>
        <v>0</v>
      </c>
      <c r="E8" s="327">
        <v>28.29</v>
      </c>
      <c r="F8" s="300">
        <f t="shared" si="0"/>
        <v>0</v>
      </c>
      <c r="H8" s="319" t="s">
        <v>226</v>
      </c>
      <c r="I8" s="321" t="s">
        <v>203</v>
      </c>
      <c r="J8" s="312">
        <v>0</v>
      </c>
      <c r="L8" s="6">
        <f>J8*VLOOKUP(I8,$O$1:$Q$3,3,FALSE)</f>
        <v>0</v>
      </c>
    </row>
    <row r="9" spans="2:17">
      <c r="B9" s="57" t="s">
        <v>227</v>
      </c>
      <c r="C9" s="58" t="s">
        <v>216</v>
      </c>
      <c r="D9" s="102">
        <f>SUMIF('Retail cuts selection'!$C$14:$C$17,C9,'Retail cuts selection'!$F$14:$F$17)</f>
        <v>37.699271464019851</v>
      </c>
      <c r="E9" s="297">
        <v>16.71</v>
      </c>
      <c r="F9" s="298">
        <f t="shared" si="0"/>
        <v>629.95482616377171</v>
      </c>
      <c r="H9" s="320" t="s">
        <v>226</v>
      </c>
      <c r="I9" s="323" t="s">
        <v>203</v>
      </c>
      <c r="J9" s="313">
        <v>0</v>
      </c>
      <c r="L9" s="6">
        <f>J9*VLOOKUP(I9,$O$1:$Q$3,3,FALSE)</f>
        <v>0</v>
      </c>
    </row>
    <row r="10" spans="2:17">
      <c r="B10" s="55" t="s">
        <v>228</v>
      </c>
      <c r="C10" s="6" t="s">
        <v>213</v>
      </c>
      <c r="D10" s="98">
        <f>SUMIF('Retail cuts selection'!$K$7:$K$13,C10,'Retail cuts selection'!$N$7:$N$13)</f>
        <v>0</v>
      </c>
      <c r="E10" s="327">
        <v>10.19</v>
      </c>
      <c r="F10" s="300">
        <f t="shared" si="0"/>
        <v>0</v>
      </c>
      <c r="H10" s="419" t="s">
        <v>229</v>
      </c>
      <c r="I10" s="420"/>
      <c r="J10" s="421"/>
      <c r="L10" s="6">
        <f>IF(I3=N2,SUM(L4:L9),J11)</f>
        <v>821.84159999999997</v>
      </c>
    </row>
    <row r="11" spans="2:17" ht="17.25" thickBot="1">
      <c r="B11" s="57"/>
      <c r="C11" s="58" t="s">
        <v>216</v>
      </c>
      <c r="D11" s="102">
        <f>SUMIF('Retail cuts selection'!$K$7:$K$13,C11,'Retail cuts selection'!$N$7:$N$13)</f>
        <v>17.415424317617866</v>
      </c>
      <c r="E11" s="297">
        <v>12.46</v>
      </c>
      <c r="F11" s="298">
        <f t="shared" si="0"/>
        <v>216.99618699751863</v>
      </c>
      <c r="H11" s="68" t="s">
        <v>202</v>
      </c>
      <c r="I11" s="316" t="s">
        <v>230</v>
      </c>
      <c r="J11" s="314">
        <v>875</v>
      </c>
    </row>
    <row r="12" spans="2:17">
      <c r="B12" s="55" t="s">
        <v>231</v>
      </c>
      <c r="C12" s="6" t="s">
        <v>213</v>
      </c>
      <c r="D12" s="98">
        <f>SUMIF('Retail cuts selection'!$C$20:$C$25,C12,'Retail cuts selection'!$F$20:$F$25)</f>
        <v>34.523517617866005</v>
      </c>
      <c r="E12" s="327">
        <v>8.15</v>
      </c>
      <c r="F12" s="300">
        <f t="shared" si="0"/>
        <v>281.36666858560795</v>
      </c>
    </row>
    <row r="13" spans="2:17">
      <c r="B13" s="57"/>
      <c r="C13" s="58" t="s">
        <v>216</v>
      </c>
      <c r="D13" s="102">
        <f>SUMIF('Retail cuts selection'!$C$20:$C$25,C13,'Retail cuts selection'!$F$20:$F$25)</f>
        <v>0</v>
      </c>
      <c r="E13" s="297">
        <v>8.67</v>
      </c>
      <c r="F13" s="298">
        <f t="shared" si="0"/>
        <v>0</v>
      </c>
    </row>
    <row r="14" spans="2:17">
      <c r="B14" s="55" t="s">
        <v>232</v>
      </c>
      <c r="C14" s="6" t="s">
        <v>216</v>
      </c>
      <c r="D14" s="98">
        <f>'Retail cuts selection'!N18</f>
        <v>0</v>
      </c>
      <c r="E14" s="327">
        <v>13.66</v>
      </c>
      <c r="F14" s="300">
        <f t="shared" si="0"/>
        <v>0</v>
      </c>
    </row>
    <row r="15" spans="2:17">
      <c r="B15" s="55" t="s">
        <v>233</v>
      </c>
      <c r="D15" s="98">
        <f>'Retail cuts selection'!N17</f>
        <v>28.274453598014887</v>
      </c>
      <c r="E15" s="327">
        <v>8.7100000000000009</v>
      </c>
      <c r="F15" s="300">
        <f t="shared" si="0"/>
        <v>246.27049083870969</v>
      </c>
    </row>
    <row r="16" spans="2:17">
      <c r="B16" s="55" t="s">
        <v>234</v>
      </c>
      <c r="D16" s="98">
        <f>'Retail cuts selection'!N20</f>
        <v>6.351507692307691</v>
      </c>
      <c r="E16" s="327">
        <v>7.94</v>
      </c>
      <c r="F16" s="300">
        <f t="shared" si="0"/>
        <v>50.430971076923072</v>
      </c>
    </row>
    <row r="17" spans="2:6">
      <c r="B17" s="55" t="s">
        <v>235</v>
      </c>
      <c r="C17" s="6" t="s">
        <v>236</v>
      </c>
      <c r="D17" s="98">
        <f>'Retail cuts selection'!N14+'Retail cuts selection'!N19</f>
        <v>24.176706699751861</v>
      </c>
      <c r="E17" s="327">
        <v>13.3</v>
      </c>
      <c r="F17" s="300">
        <f t="shared" si="0"/>
        <v>321.55019910669978</v>
      </c>
    </row>
    <row r="18" spans="2:6">
      <c r="B18" s="55" t="s">
        <v>237</v>
      </c>
      <c r="C18" s="6" t="s">
        <v>238</v>
      </c>
      <c r="D18" s="98">
        <f>'Retail cuts selection'!V10-'Retail cuts selection'!N22</f>
        <v>246.15607384615379</v>
      </c>
      <c r="E18" s="327">
        <v>7.7</v>
      </c>
      <c r="F18" s="300">
        <f t="shared" si="0"/>
        <v>1895.4017686153843</v>
      </c>
    </row>
    <row r="19" spans="2:6">
      <c r="B19" s="55" t="s">
        <v>239</v>
      </c>
      <c r="D19" s="98">
        <f>'Retail cuts selection'!N22</f>
        <v>15</v>
      </c>
      <c r="E19" s="327">
        <v>9.11</v>
      </c>
      <c r="F19" s="300">
        <f t="shared" si="0"/>
        <v>136.64999999999998</v>
      </c>
    </row>
    <row r="20" spans="2:6">
      <c r="B20" s="55" t="s">
        <v>240</v>
      </c>
      <c r="C20" s="6" t="s">
        <v>241</v>
      </c>
      <c r="D20" s="98">
        <f>'Retail cuts selection'!F26</f>
        <v>40.157919602977671</v>
      </c>
      <c r="E20" s="327">
        <v>9.31</v>
      </c>
      <c r="F20" s="300">
        <f t="shared" si="0"/>
        <v>373.87023150372215</v>
      </c>
    </row>
    <row r="21" spans="2:6">
      <c r="B21" s="55" t="s">
        <v>242</v>
      </c>
      <c r="D21" s="98">
        <f>'Retail cuts selection'!N21</f>
        <v>0</v>
      </c>
      <c r="E21" s="327">
        <v>5.64</v>
      </c>
      <c r="F21" s="300">
        <f t="shared" si="0"/>
        <v>0</v>
      </c>
    </row>
    <row r="22" spans="2:6" ht="17.25" thickBot="1">
      <c r="B22" s="68" t="s">
        <v>243</v>
      </c>
      <c r="C22" s="104"/>
      <c r="D22" s="272">
        <f>SUM('Retail cuts selection'!N23:N26)</f>
        <v>0</v>
      </c>
      <c r="E22" s="301">
        <v>5.13</v>
      </c>
      <c r="F22" s="302">
        <f t="shared" si="0"/>
        <v>0</v>
      </c>
    </row>
    <row r="23" spans="2:6" ht="17.25" thickBot="1">
      <c r="C23" s="304" t="s">
        <v>112</v>
      </c>
      <c r="D23" s="305">
        <f>SUM(D3:D20)</f>
        <v>513.67972645161285</v>
      </c>
      <c r="E23" s="306"/>
      <c r="F23" s="307">
        <f>SUM(F3:F22)</f>
        <v>4951.5653057270465</v>
      </c>
    </row>
    <row r="24" spans="2:6">
      <c r="D24" s="303" t="s">
        <v>244</v>
      </c>
      <c r="E24" s="309">
        <f>SUMPRODUCT(D3:D20,E3:E20)/D23</f>
        <v>9.6394018505098042</v>
      </c>
    </row>
    <row r="25" spans="2:6">
      <c r="D25" s="303" t="s">
        <v>361</v>
      </c>
      <c r="E25" s="351">
        <f>F23/Inputs!J29</f>
        <v>3.5117484437780471</v>
      </c>
    </row>
    <row r="26" spans="2:6"/>
    <row r="27" spans="2:6" ht="15.75" hidden="1" customHeight="1"/>
  </sheetData>
  <sheetProtection sheet="1" objects="1" scenarios="1"/>
  <protectedRanges>
    <protectedRange sqref="E3:E22" name="GB and loss_3"/>
  </protectedRanges>
  <mergeCells count="4">
    <mergeCell ref="B1:F1"/>
    <mergeCell ref="H1:J1"/>
    <mergeCell ref="H10:J10"/>
    <mergeCell ref="I3:J3"/>
  </mergeCells>
  <dataValidations count="2">
    <dataValidation type="list" allowBlank="1" showInputMessage="1" showErrorMessage="1" sqref="I3:J3" xr:uid="{307C6440-71AB-4ACF-88D9-E5CC47419F06}">
      <formula1>$N$1:$N$2</formula1>
    </dataValidation>
    <dataValidation type="list" allowBlank="1" showInputMessage="1" showErrorMessage="1" sqref="I4:I9" xr:uid="{92CFACB2-6887-42D3-834D-D4F824A40A1C}">
      <formula1>$O$1:$O$5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DA312-F554-4521-ABB8-E12CAF61881E}">
  <dimension ref="A1:AE49"/>
  <sheetViews>
    <sheetView showGridLines="0" workbookViewId="0">
      <selection activeCell="S19" sqref="S19"/>
    </sheetView>
  </sheetViews>
  <sheetFormatPr defaultColWidth="0" defaultRowHeight="16.5" zeroHeight="1"/>
  <cols>
    <col min="1" max="1" width="9.140625" style="6" customWidth="1"/>
    <col min="2" max="2" width="26" style="6" bestFit="1" customWidth="1"/>
    <col min="3" max="3" width="14.28515625" style="6" bestFit="1" customWidth="1"/>
    <col min="4" max="4" width="15.85546875" style="6" bestFit="1" customWidth="1"/>
    <col min="5" max="5" width="13.85546875" style="6" bestFit="1" customWidth="1"/>
    <col min="6" max="6" width="15" style="6" bestFit="1" customWidth="1"/>
    <col min="7" max="7" width="2.140625" style="6" hidden="1" customWidth="1"/>
    <col min="8" max="8" width="4.42578125" style="6" hidden="1" customWidth="1"/>
    <col min="9" max="9" width="2.140625" style="6" customWidth="1"/>
    <col min="10" max="10" width="21.140625" style="6" bestFit="1" customWidth="1"/>
    <col min="11" max="11" width="12.140625" style="6" bestFit="1" customWidth="1"/>
    <col min="12" max="12" width="15.85546875" style="6" bestFit="1" customWidth="1"/>
    <col min="13" max="13" width="13.85546875" style="6" bestFit="1" customWidth="1"/>
    <col min="14" max="14" width="15" style="6" bestFit="1" customWidth="1"/>
    <col min="15" max="15" width="4.5703125" style="6" hidden="1" customWidth="1"/>
    <col min="16" max="16" width="6.28515625" style="6" hidden="1" customWidth="1"/>
    <col min="17" max="17" width="3.140625" style="6" customWidth="1"/>
    <col min="18" max="18" width="11" style="6" customWidth="1"/>
    <col min="19" max="19" width="24.140625" style="6" customWidth="1"/>
    <col min="20" max="20" width="13.140625" style="6" customWidth="1"/>
    <col min="21" max="21" width="13.5703125" style="6" hidden="1" customWidth="1"/>
    <col min="22" max="22" width="15.42578125" style="6" customWidth="1"/>
    <col min="23" max="23" width="15.140625" style="6" customWidth="1"/>
    <col min="24" max="24" width="12.28515625" style="6" hidden="1" customWidth="1"/>
    <col min="25" max="25" width="18.42578125" style="6" hidden="1" customWidth="1"/>
    <col min="26" max="26" width="11.5703125" style="6" hidden="1" customWidth="1"/>
    <col min="27" max="27" width="12.5703125" style="6" hidden="1" customWidth="1"/>
    <col min="28" max="16384" width="9.140625" style="6" hidden="1"/>
  </cols>
  <sheetData>
    <row r="1" spans="2:31" ht="40.5" customHeight="1" thickBot="1">
      <c r="B1" s="430" t="s">
        <v>245</v>
      </c>
      <c r="C1" s="430"/>
      <c r="D1" s="430"/>
      <c r="E1" s="430"/>
      <c r="F1" s="430"/>
      <c r="G1" s="430"/>
      <c r="H1" s="430"/>
      <c r="I1" s="430"/>
      <c r="J1" s="430"/>
      <c r="K1" s="430"/>
      <c r="L1" s="430"/>
      <c r="M1" s="430"/>
      <c r="N1" s="430"/>
    </row>
    <row r="2" spans="2:31" ht="21" thickBot="1">
      <c r="B2" s="413" t="s">
        <v>212</v>
      </c>
      <c r="C2" s="414"/>
      <c r="D2" s="414"/>
      <c r="E2" s="414"/>
      <c r="F2" s="415"/>
      <c r="H2" s="275"/>
      <c r="I2" s="275"/>
      <c r="J2" s="413" t="s">
        <v>219</v>
      </c>
      <c r="K2" s="414"/>
      <c r="L2" s="414"/>
      <c r="M2" s="414"/>
      <c r="N2" s="415"/>
      <c r="O2" s="7" t="s">
        <v>246</v>
      </c>
      <c r="P2" s="28" t="s">
        <v>213</v>
      </c>
      <c r="R2" s="416" t="s">
        <v>237</v>
      </c>
      <c r="S2" s="417"/>
      <c r="T2" s="417"/>
      <c r="U2" s="417"/>
      <c r="V2" s="418"/>
      <c r="X2" s="405" t="s">
        <v>247</v>
      </c>
      <c r="Y2" s="405"/>
      <c r="Z2" s="405"/>
      <c r="AA2" s="405"/>
      <c r="AB2" s="405"/>
      <c r="AC2" s="405"/>
    </row>
    <row r="3" spans="2:31" ht="17.25" customHeight="1">
      <c r="B3" s="263" t="s">
        <v>248</v>
      </c>
      <c r="C3" s="264" t="s">
        <v>249</v>
      </c>
      <c r="D3" s="264" t="s">
        <v>250</v>
      </c>
      <c r="E3" s="264" t="s">
        <v>251</v>
      </c>
      <c r="F3" s="265" t="s">
        <v>252</v>
      </c>
      <c r="G3" s="179"/>
      <c r="H3" s="292"/>
      <c r="I3" s="179"/>
      <c r="J3" s="263" t="s">
        <v>248</v>
      </c>
      <c r="K3" s="264" t="s">
        <v>249</v>
      </c>
      <c r="L3" s="264" t="s">
        <v>250</v>
      </c>
      <c r="M3" s="264" t="s">
        <v>251</v>
      </c>
      <c r="N3" s="265" t="s">
        <v>252</v>
      </c>
      <c r="O3" s="7" t="s">
        <v>253</v>
      </c>
      <c r="P3" s="28" t="s">
        <v>216</v>
      </c>
      <c r="R3" s="279" t="s">
        <v>204</v>
      </c>
      <c r="S3" s="280" t="s">
        <v>254</v>
      </c>
      <c r="T3" s="280" t="s">
        <v>255</v>
      </c>
      <c r="U3" s="280" t="s">
        <v>256</v>
      </c>
      <c r="V3" s="281" t="s">
        <v>257</v>
      </c>
      <c r="X3" s="6" t="s">
        <v>258</v>
      </c>
      <c r="Y3" s="6">
        <v>806</v>
      </c>
      <c r="Z3" s="6" t="s">
        <v>259</v>
      </c>
      <c r="AC3" s="282" t="s">
        <v>260</v>
      </c>
    </row>
    <row r="4" spans="2:31">
      <c r="B4" s="55" t="s">
        <v>261</v>
      </c>
      <c r="C4" s="6" t="s">
        <v>213</v>
      </c>
      <c r="D4" s="98">
        <f>Z6/Y3*'Budget - Freezer Beef'!G3</f>
        <v>15.059219851116625</v>
      </c>
      <c r="E4" s="96">
        <v>100</v>
      </c>
      <c r="F4" s="97">
        <f>D4*E4/100</f>
        <v>15.059219851116625</v>
      </c>
      <c r="G4" s="6">
        <v>0</v>
      </c>
      <c r="H4" s="6">
        <f>IF($E$6&gt;0,0,100)</f>
        <v>100</v>
      </c>
      <c r="J4" s="55" t="s">
        <v>262</v>
      </c>
      <c r="K4" s="96" t="s">
        <v>213</v>
      </c>
      <c r="L4" s="98">
        <f>Z16/Y3*'Budget - Freezer Beef'!G3</f>
        <v>25.508474441687344</v>
      </c>
      <c r="M4" s="96">
        <v>100</v>
      </c>
      <c r="N4" s="97">
        <f>L4*M4/100</f>
        <v>25.508474441687344</v>
      </c>
      <c r="O4" s="7">
        <v>0</v>
      </c>
      <c r="P4" s="28">
        <v>100</v>
      </c>
      <c r="R4" s="55" t="s">
        <v>212</v>
      </c>
      <c r="S4" s="98">
        <f>SUM(D4,D8)</f>
        <v>53.885371712158808</v>
      </c>
      <c r="T4" s="98">
        <f>SUM(F4:F11)</f>
        <v>38.416377171215885</v>
      </c>
      <c r="U4" s="96">
        <v>30</v>
      </c>
      <c r="V4" s="97">
        <f>(S4-T4)*(1-U4/100)+Z13/Y3*'Budget - Freezer Beef'!G3</f>
        <v>103.6422634243176</v>
      </c>
      <c r="X4" s="179" t="s">
        <v>204</v>
      </c>
      <c r="Y4" s="179" t="s">
        <v>263</v>
      </c>
      <c r="Z4" s="179" t="s">
        <v>264</v>
      </c>
      <c r="AA4" s="179" t="s">
        <v>265</v>
      </c>
      <c r="AB4" s="179" t="s">
        <v>266</v>
      </c>
      <c r="AC4" s="179" t="s">
        <v>267</v>
      </c>
    </row>
    <row r="5" spans="2:31" ht="20.25">
      <c r="B5" s="427" t="s">
        <v>268</v>
      </c>
      <c r="C5" s="405"/>
      <c r="D5" s="405"/>
      <c r="E5" s="405"/>
      <c r="F5" s="428"/>
      <c r="J5" s="424" t="s">
        <v>228</v>
      </c>
      <c r="K5" s="425"/>
      <c r="L5" s="425"/>
      <c r="M5" s="425"/>
      <c r="N5" s="426"/>
      <c r="O5" s="7"/>
      <c r="P5" s="7"/>
      <c r="R5" s="55" t="s">
        <v>219</v>
      </c>
      <c r="S5" s="98">
        <f>SUM(L4:L4)</f>
        <v>25.508474441687344</v>
      </c>
      <c r="T5" s="98">
        <f>SUM(N4:N4)</f>
        <v>25.508474441687344</v>
      </c>
      <c r="U5" s="96">
        <v>30</v>
      </c>
      <c r="V5" s="97">
        <f>(S5-T5)*(1-U5/100)+Z18/Y3*'Budget - Freezer Beef'!G3</f>
        <v>18.439861042183622</v>
      </c>
      <c r="X5" s="283" t="s">
        <v>212</v>
      </c>
      <c r="Y5" s="271"/>
      <c r="Z5" s="271">
        <v>213.1</v>
      </c>
      <c r="AA5" s="271">
        <v>29</v>
      </c>
      <c r="AB5" s="283"/>
      <c r="AC5" s="284">
        <f>Z5/$Y$3</f>
        <v>0.26439205955334988</v>
      </c>
      <c r="AE5" s="295" t="s">
        <v>269</v>
      </c>
    </row>
    <row r="6" spans="2:31">
      <c r="B6" s="55" t="s">
        <v>270</v>
      </c>
      <c r="C6" s="6" t="s">
        <v>213</v>
      </c>
      <c r="D6" s="98">
        <f>D4-1.5</f>
        <v>13.559219851116625</v>
      </c>
      <c r="E6" s="96"/>
      <c r="F6" s="97">
        <f>D6*E6/100</f>
        <v>0</v>
      </c>
      <c r="G6" s="6">
        <v>0</v>
      </c>
      <c r="H6" s="6">
        <f>IF($E$4&gt;0,0,100)</f>
        <v>0</v>
      </c>
      <c r="J6" s="266" t="s">
        <v>248</v>
      </c>
      <c r="K6" s="267" t="s">
        <v>249</v>
      </c>
      <c r="L6" s="267" t="s">
        <v>250</v>
      </c>
      <c r="M6" s="267" t="s">
        <v>251</v>
      </c>
      <c r="N6" s="268" t="s">
        <v>252</v>
      </c>
      <c r="O6" s="7" t="s">
        <v>271</v>
      </c>
      <c r="P6" s="7" t="s">
        <v>272</v>
      </c>
      <c r="R6" s="55" t="s">
        <v>222</v>
      </c>
      <c r="S6" s="98">
        <f>D14</f>
        <v>37.699271464019851</v>
      </c>
      <c r="T6" s="98">
        <f>SUM(F14:F17)</f>
        <v>37.699271464019851</v>
      </c>
      <c r="U6" s="96">
        <v>20</v>
      </c>
      <c r="V6" s="97">
        <f>(S6-T6)*(1-U6/100)+Z29+Z23/Y3*'Budget - Freezer Beef'!G3</f>
        <v>20.239289330024814</v>
      </c>
      <c r="Y6" s="6" t="s">
        <v>273</v>
      </c>
      <c r="Z6" s="6">
        <v>14.7</v>
      </c>
      <c r="AA6" s="101">
        <f>Z6/$Y$3</f>
        <v>1.8238213399503721E-2</v>
      </c>
      <c r="AB6" s="6" t="s">
        <v>274</v>
      </c>
    </row>
    <row r="7" spans="2:31">
      <c r="B7" s="427" t="s">
        <v>275</v>
      </c>
      <c r="C7" s="405"/>
      <c r="D7" s="405"/>
      <c r="E7" s="405"/>
      <c r="F7" s="428"/>
      <c r="J7" s="308" t="s">
        <v>276</v>
      </c>
      <c r="K7" s="96" t="s">
        <v>216</v>
      </c>
      <c r="L7" s="276">
        <f>Z25/Y3*'Budget - Freezer Beef'!G3</f>
        <v>17.415424317617866</v>
      </c>
      <c r="M7" s="96">
        <v>100</v>
      </c>
      <c r="N7" s="97">
        <f>L7*M7/100</f>
        <v>17.415424317617866</v>
      </c>
      <c r="O7" s="7">
        <v>0</v>
      </c>
      <c r="P7" s="7">
        <f>IF(SUM(M9:M10)&gt;0,0,100)</f>
        <v>100</v>
      </c>
      <c r="R7" s="55" t="s">
        <v>228</v>
      </c>
      <c r="S7" s="98">
        <f>Z27/Y3*'Budget - Freezer Beef'!G3+SUM('Retail cuts selection'!L9:L12)-(SUM(L18:L19)-SUM(N18:N19))</f>
        <v>27.659791563275434</v>
      </c>
      <c r="T7" s="98">
        <f>SUM(N7:N14)</f>
        <v>41.592131017369724</v>
      </c>
      <c r="U7" s="96">
        <v>20</v>
      </c>
      <c r="V7" s="97">
        <f>(S7-T7)*(1-U7/100)+Z29/Y3*'Budget - Freezer Beef'!G3</f>
        <v>3.6060172704714653</v>
      </c>
      <c r="Y7" s="6" t="s">
        <v>277</v>
      </c>
      <c r="Z7" s="6">
        <v>37.9</v>
      </c>
      <c r="AA7" s="101">
        <f t="shared" ref="AA7:AA14" si="0">Z7/$Y$3</f>
        <v>4.7022332506203475E-2</v>
      </c>
      <c r="AB7" s="6" t="s">
        <v>278</v>
      </c>
    </row>
    <row r="8" spans="2:31">
      <c r="B8" s="55" t="s">
        <v>279</v>
      </c>
      <c r="C8" s="6" t="s">
        <v>213</v>
      </c>
      <c r="D8" s="98">
        <f>Z7/Y3*'Budget - Freezer Beef'!G3</f>
        <v>38.826151861042185</v>
      </c>
      <c r="E8" s="96"/>
      <c r="F8" s="97">
        <f>D8*E8/100</f>
        <v>0</v>
      </c>
      <c r="G8" s="6">
        <v>0</v>
      </c>
      <c r="H8" s="6">
        <f>IF(SUM(E10:E11)&gt;0,0,100)</f>
        <v>0</v>
      </c>
      <c r="J8" s="427" t="s">
        <v>268</v>
      </c>
      <c r="K8" s="405"/>
      <c r="L8" s="405"/>
      <c r="M8" s="405"/>
      <c r="N8" s="428"/>
      <c r="O8" s="7"/>
      <c r="P8" s="7"/>
      <c r="R8" s="55" t="s">
        <v>231</v>
      </c>
      <c r="S8" s="98">
        <f>SUM(D20:D25)</f>
        <v>114.83935682382133</v>
      </c>
      <c r="T8" s="98">
        <f>SUM(F20:F26)</f>
        <v>74.681437220843677</v>
      </c>
      <c r="U8" s="96">
        <v>30</v>
      </c>
      <c r="V8" s="97">
        <f>(S8-T8)*(1-U8/100)+Z39/Y3*'Budget - Freezer Beef'!G3</f>
        <v>55.565447940446646</v>
      </c>
      <c r="Y8" s="6" t="s">
        <v>280</v>
      </c>
      <c r="Z8" s="6">
        <v>12.5</v>
      </c>
      <c r="AA8" s="101">
        <f t="shared" si="0"/>
        <v>1.5508684863523574E-2</v>
      </c>
      <c r="AB8" s="6" t="s">
        <v>281</v>
      </c>
    </row>
    <row r="9" spans="2:31">
      <c r="B9" s="427" t="s">
        <v>268</v>
      </c>
      <c r="C9" s="405"/>
      <c r="D9" s="405"/>
      <c r="E9" s="405"/>
      <c r="F9" s="428"/>
      <c r="J9" s="55" t="s">
        <v>282</v>
      </c>
      <c r="K9" s="96" t="s">
        <v>216</v>
      </c>
      <c r="L9" s="276">
        <f>Z26/Y3*'Budget - Freezer Beef'!G3</f>
        <v>4.302634243176179</v>
      </c>
      <c r="M9" s="96"/>
      <c r="N9" s="97">
        <f>L9*M9/100</f>
        <v>0</v>
      </c>
      <c r="O9" s="7">
        <v>0</v>
      </c>
      <c r="P9" s="7">
        <f>IF(M7&gt;0,0,100)</f>
        <v>0</v>
      </c>
      <c r="R9" s="57" t="s">
        <v>283</v>
      </c>
      <c r="S9" s="102">
        <f>SUM(L17:L21)</f>
        <v>68.227485856079412</v>
      </c>
      <c r="T9" s="102">
        <f>SUM(N17:N21)</f>
        <v>34.625961290322579</v>
      </c>
      <c r="U9" s="99">
        <v>70</v>
      </c>
      <c r="V9" s="100">
        <f>(S9-T9)*(1-U9/100)+Z47/Y3*'Budget - Freezer Beef'!G3</f>
        <v>59.663194838709678</v>
      </c>
      <c r="Y9" s="6" t="s">
        <v>284</v>
      </c>
      <c r="Z9" s="6">
        <v>6.3</v>
      </c>
      <c r="AA9" s="101">
        <f t="shared" si="0"/>
        <v>7.8163771712158811E-3</v>
      </c>
      <c r="AB9" s="6" t="s">
        <v>285</v>
      </c>
    </row>
    <row r="10" spans="2:31" ht="17.25" thickBot="1">
      <c r="B10" s="55" t="s">
        <v>286</v>
      </c>
      <c r="C10" s="6" t="s">
        <v>216</v>
      </c>
      <c r="D10" s="98">
        <f>Z10/Y3*'Budget - Freezer Beef'!G3</f>
        <v>10.551698263027296</v>
      </c>
      <c r="E10" s="96">
        <v>100</v>
      </c>
      <c r="F10" s="97">
        <f>D10*E10/100</f>
        <v>10.551698263027298</v>
      </c>
      <c r="G10" s="6">
        <v>0</v>
      </c>
      <c r="H10" s="6">
        <f>IF($E$8&gt;0,0,100)</f>
        <v>100</v>
      </c>
      <c r="J10" s="55" t="s">
        <v>287</v>
      </c>
      <c r="K10" s="96" t="s">
        <v>216</v>
      </c>
      <c r="L10" s="276">
        <f>(Z25-Z26)/Y3*'Budget - Freezer Beef'!G3</f>
        <v>13.112790074441687</v>
      </c>
      <c r="M10" s="96"/>
      <c r="N10" s="97">
        <f>L10*M10/100</f>
        <v>0</v>
      </c>
      <c r="O10" s="7">
        <v>0</v>
      </c>
      <c r="P10" s="7">
        <f>IF(M7&gt;0,0,100)</f>
        <v>0</v>
      </c>
      <c r="R10" s="103" t="s">
        <v>288</v>
      </c>
      <c r="S10" s="285">
        <f>SUM(S4:S9)</f>
        <v>327.81975186104216</v>
      </c>
      <c r="T10" s="285">
        <f>SUM(T4:T9)</f>
        <v>252.52365260545903</v>
      </c>
      <c r="U10" s="195"/>
      <c r="V10" s="196">
        <f>SUM(V4:V9)</f>
        <v>261.15607384615379</v>
      </c>
      <c r="Y10" s="6" t="s">
        <v>289</v>
      </c>
      <c r="Z10" s="6">
        <v>10.3</v>
      </c>
      <c r="AA10" s="101">
        <f t="shared" si="0"/>
        <v>1.2779156327543425E-2</v>
      </c>
      <c r="AB10" s="6" t="s">
        <v>290</v>
      </c>
    </row>
    <row r="11" spans="2:31">
      <c r="B11" s="55" t="s">
        <v>291</v>
      </c>
      <c r="C11" s="96" t="s">
        <v>213</v>
      </c>
      <c r="D11" s="98">
        <f>Z8/Y3*'Budget - Freezer Beef'!G3</f>
        <v>12.80545905707196</v>
      </c>
      <c r="E11" s="96">
        <v>100</v>
      </c>
      <c r="F11" s="97">
        <f t="shared" ref="F11" si="1">D11*E11/100</f>
        <v>12.80545905707196</v>
      </c>
      <c r="G11" s="6">
        <v>0</v>
      </c>
      <c r="H11" s="6">
        <f>IF($E$8&gt;0,0,100)</f>
        <v>100</v>
      </c>
      <c r="J11" s="427" t="s">
        <v>275</v>
      </c>
      <c r="K11" s="405"/>
      <c r="L11" s="405"/>
      <c r="M11" s="405"/>
      <c r="N11" s="428"/>
      <c r="O11" s="7"/>
      <c r="P11" s="7"/>
      <c r="R11" s="101">
        <f>SUM(T10,V10)/'Budget - Freezer Beef'!G3</f>
        <v>0.62211725193244594</v>
      </c>
      <c r="S11" s="6" t="s">
        <v>292</v>
      </c>
      <c r="T11" s="101">
        <f>SUM(T10,V10)/AVERAGE(Inputs!J29:J29)</f>
        <v>0.36431186273164035</v>
      </c>
      <c r="V11" s="6" t="s">
        <v>293</v>
      </c>
      <c r="Y11" s="6" t="s">
        <v>294</v>
      </c>
      <c r="Z11" s="6">
        <v>2.1</v>
      </c>
      <c r="AA11" s="101">
        <f t="shared" si="0"/>
        <v>2.6054590570719605E-3</v>
      </c>
      <c r="AB11" s="6" t="s">
        <v>295</v>
      </c>
    </row>
    <row r="12" spans="2:31" ht="18" customHeight="1">
      <c r="B12" s="424" t="s">
        <v>222</v>
      </c>
      <c r="C12" s="425"/>
      <c r="D12" s="425"/>
      <c r="E12" s="425"/>
      <c r="F12" s="426"/>
      <c r="G12" s="292"/>
      <c r="H12" s="292"/>
      <c r="I12" s="275"/>
      <c r="J12" s="55" t="s">
        <v>296</v>
      </c>
      <c r="K12" s="96" t="s">
        <v>213</v>
      </c>
      <c r="L12" s="276">
        <f>Z28/Y3*'Budget - Freezer Beef'!G3</f>
        <v>9.0150431761786614</v>
      </c>
      <c r="M12" s="96"/>
      <c r="N12" s="97">
        <f>L12*M12/100</f>
        <v>0</v>
      </c>
      <c r="O12" s="7">
        <v>0</v>
      </c>
      <c r="P12" s="7">
        <v>100</v>
      </c>
      <c r="Y12" s="6" t="s">
        <v>297</v>
      </c>
      <c r="Z12" s="6">
        <v>2.8</v>
      </c>
      <c r="AA12" s="101">
        <f t="shared" si="0"/>
        <v>3.47394540942928E-3</v>
      </c>
      <c r="AB12" s="6">
        <v>130</v>
      </c>
    </row>
    <row r="13" spans="2:31">
      <c r="B13" s="266" t="s">
        <v>248</v>
      </c>
      <c r="C13" s="267" t="s">
        <v>249</v>
      </c>
      <c r="D13" s="267" t="s">
        <v>250</v>
      </c>
      <c r="E13" s="267" t="s">
        <v>251</v>
      </c>
      <c r="F13" s="268" t="s">
        <v>252</v>
      </c>
      <c r="G13" s="179"/>
      <c r="H13" s="179"/>
      <c r="I13" s="179"/>
      <c r="J13" s="427" t="s">
        <v>275</v>
      </c>
      <c r="K13" s="405"/>
      <c r="L13" s="405"/>
      <c r="M13" s="405"/>
      <c r="N13" s="428"/>
      <c r="O13" s="7"/>
      <c r="P13" s="7"/>
      <c r="Y13" s="6" t="s">
        <v>298</v>
      </c>
      <c r="Z13" s="6">
        <v>90.6</v>
      </c>
      <c r="AA13" s="101">
        <f t="shared" si="0"/>
        <v>0.11240694789081886</v>
      </c>
      <c r="AB13" s="6">
        <v>136</v>
      </c>
    </row>
    <row r="14" spans="2:31">
      <c r="B14" s="55" t="s">
        <v>299</v>
      </c>
      <c r="C14" s="6" t="s">
        <v>216</v>
      </c>
      <c r="D14" s="98">
        <f>SUM(Z21:Z22)/Y3*'Budget - Freezer Beef'!G3</f>
        <v>37.699271464019851</v>
      </c>
      <c r="E14" s="96">
        <v>100</v>
      </c>
      <c r="F14" s="97">
        <f t="shared" ref="F14" si="2">D14*E14/100</f>
        <v>37.699271464019851</v>
      </c>
      <c r="G14" s="6">
        <v>0</v>
      </c>
      <c r="H14" s="6">
        <f>IF(SUM(E16:E17)&gt;0,0,100)</f>
        <v>100</v>
      </c>
      <c r="I14" s="179"/>
      <c r="J14" s="55" t="s">
        <v>235</v>
      </c>
      <c r="K14" s="6" t="s">
        <v>300</v>
      </c>
      <c r="L14" s="276">
        <f>Z27/Y3*'Budget - Freezer Beef'!G3+(SUM(L9:L10,L12,L18,L19)-SUM(N7:N12,N18,N19))</f>
        <v>24.176706699751861</v>
      </c>
      <c r="M14" s="96">
        <v>100</v>
      </c>
      <c r="N14" s="97">
        <f>L14*M14/100</f>
        <v>24.176706699751861</v>
      </c>
      <c r="O14" s="7">
        <v>0</v>
      </c>
      <c r="P14" s="7">
        <v>100</v>
      </c>
      <c r="Y14" s="6" t="s">
        <v>301</v>
      </c>
      <c r="Z14" s="6">
        <f>Z5-SUM(Z6:Z13)</f>
        <v>35.900000000000006</v>
      </c>
      <c r="AA14" s="101">
        <f t="shared" si="0"/>
        <v>4.4540942928039708E-2</v>
      </c>
    </row>
    <row r="15" spans="2:31" ht="20.25">
      <c r="B15" s="427" t="s">
        <v>268</v>
      </c>
      <c r="C15" s="405"/>
      <c r="D15" s="405"/>
      <c r="E15" s="405"/>
      <c r="F15" s="428"/>
      <c r="J15" s="424" t="s">
        <v>283</v>
      </c>
      <c r="K15" s="425"/>
      <c r="L15" s="425"/>
      <c r="M15" s="425"/>
      <c r="N15" s="426"/>
      <c r="O15" s="7"/>
      <c r="P15" s="7"/>
      <c r="X15" s="283" t="s">
        <v>219</v>
      </c>
      <c r="Y15" s="283"/>
      <c r="Z15" s="271">
        <v>77.900000000000006</v>
      </c>
      <c r="AA15" s="283">
        <v>9</v>
      </c>
      <c r="AB15" s="283"/>
      <c r="AC15" s="284">
        <f>Z15/$Y$3</f>
        <v>9.6650124069478913E-2</v>
      </c>
    </row>
    <row r="16" spans="2:31">
      <c r="B16" s="55" t="s">
        <v>302</v>
      </c>
      <c r="C16" s="6" t="s">
        <v>216</v>
      </c>
      <c r="D16" s="98">
        <f>Z21/Y3*'Budget - Freezer Beef'!G3</f>
        <v>25.508474441687344</v>
      </c>
      <c r="E16" s="96"/>
      <c r="F16" s="97">
        <f t="shared" ref="F16:F17" si="3">D16*E16/100</f>
        <v>0</v>
      </c>
      <c r="G16" s="6">
        <v>0</v>
      </c>
      <c r="H16" s="6">
        <f>IF($E$14&gt;0,0,100)</f>
        <v>0</v>
      </c>
      <c r="J16" s="266" t="s">
        <v>248</v>
      </c>
      <c r="K16" s="267" t="s">
        <v>249</v>
      </c>
      <c r="L16" s="273" t="s">
        <v>250</v>
      </c>
      <c r="M16" s="267" t="s">
        <v>251</v>
      </c>
      <c r="N16" s="268" t="s">
        <v>252</v>
      </c>
      <c r="O16" s="7"/>
      <c r="P16" s="7"/>
      <c r="Y16" s="6" t="s">
        <v>303</v>
      </c>
      <c r="Z16" s="6">
        <v>24.9</v>
      </c>
      <c r="AA16" s="101">
        <f>Z16/$Y$3</f>
        <v>3.0893300248138956E-2</v>
      </c>
      <c r="AB16" s="6">
        <v>112</v>
      </c>
    </row>
    <row r="17" spans="2:29" ht="17.25" thickBot="1">
      <c r="B17" s="55" t="s">
        <v>304</v>
      </c>
      <c r="C17" s="96" t="s">
        <v>213</v>
      </c>
      <c r="D17" s="98">
        <f>Z22/Y3*'Budget - Freezer Beef'!G3</f>
        <v>12.190797022332507</v>
      </c>
      <c r="E17" s="96"/>
      <c r="F17" s="97">
        <f t="shared" si="3"/>
        <v>0</v>
      </c>
      <c r="G17" s="6">
        <v>0</v>
      </c>
      <c r="H17" s="6">
        <f>IF($E$14&gt;0,0,100)</f>
        <v>0</v>
      </c>
      <c r="J17" s="55" t="s">
        <v>305</v>
      </c>
      <c r="K17" s="6" t="s">
        <v>213</v>
      </c>
      <c r="L17" s="276">
        <f>Z42/Y3*'Budget - Freezer Beef'!G3</f>
        <v>28.27445359801489</v>
      </c>
      <c r="M17" s="96">
        <v>100</v>
      </c>
      <c r="N17" s="97">
        <f>L17*M17/100</f>
        <v>28.274453598014887</v>
      </c>
      <c r="O17" s="7">
        <v>0</v>
      </c>
      <c r="P17" s="7">
        <v>100</v>
      </c>
      <c r="Y17" s="6" t="s">
        <v>306</v>
      </c>
      <c r="Z17" s="6">
        <v>9.6</v>
      </c>
      <c r="AA17" s="101">
        <f>Z17/$Y$3</f>
        <v>1.1910669975186104E-2</v>
      </c>
      <c r="AB17" s="6">
        <v>8.6999999999999993</v>
      </c>
    </row>
    <row r="18" spans="2:29" ht="20.25">
      <c r="B18" s="413" t="s">
        <v>231</v>
      </c>
      <c r="C18" s="414"/>
      <c r="D18" s="414"/>
      <c r="E18" s="414"/>
      <c r="F18" s="415"/>
      <c r="G18" s="292"/>
      <c r="H18" s="292"/>
      <c r="J18" s="55" t="s">
        <v>307</v>
      </c>
      <c r="K18" s="6" t="s">
        <v>216</v>
      </c>
      <c r="L18" s="276">
        <f>Z43/Y3*'Budget - Freezer Beef'!G3</f>
        <v>4.7124089330024814</v>
      </c>
      <c r="M18" s="96"/>
      <c r="N18" s="97">
        <f t="shared" ref="N18:N26" si="4">L18*M18/100</f>
        <v>0</v>
      </c>
      <c r="O18" s="7">
        <v>0</v>
      </c>
      <c r="P18" s="7">
        <v>100</v>
      </c>
      <c r="Y18" s="6" t="s">
        <v>298</v>
      </c>
      <c r="Z18" s="6">
        <v>18</v>
      </c>
      <c r="AA18" s="101">
        <f>Z18/$Y$3</f>
        <v>2.2332506203473945E-2</v>
      </c>
      <c r="AB18" s="6">
        <v>136</v>
      </c>
    </row>
    <row r="19" spans="2:29" ht="20.25">
      <c r="B19" s="266" t="s">
        <v>248</v>
      </c>
      <c r="C19" s="267" t="s">
        <v>249</v>
      </c>
      <c r="D19" s="267" t="s">
        <v>250</v>
      </c>
      <c r="E19" s="267" t="s">
        <v>251</v>
      </c>
      <c r="F19" s="268" t="s">
        <v>252</v>
      </c>
      <c r="G19" s="179"/>
      <c r="H19" s="179"/>
      <c r="I19" s="275"/>
      <c r="J19" s="55" t="s">
        <v>308</v>
      </c>
      <c r="K19" s="6" t="s">
        <v>216</v>
      </c>
      <c r="L19" s="276">
        <f>Z44/Y3*'Budget - Freezer Beef'!G3</f>
        <v>2.2537607940446653</v>
      </c>
      <c r="M19" s="96"/>
      <c r="N19" s="97">
        <f t="shared" si="4"/>
        <v>0</v>
      </c>
      <c r="O19" s="7">
        <v>0</v>
      </c>
      <c r="P19" s="7">
        <v>100</v>
      </c>
      <c r="Y19" s="6" t="s">
        <v>301</v>
      </c>
      <c r="Z19" s="6">
        <f>Z15-SUM(Z16:Z18)</f>
        <v>25.400000000000006</v>
      </c>
      <c r="AA19" s="101">
        <f>Z19/$Y$3</f>
        <v>3.1513647642679908E-2</v>
      </c>
    </row>
    <row r="20" spans="2:29">
      <c r="B20" s="55" t="s">
        <v>309</v>
      </c>
      <c r="C20" s="96" t="s">
        <v>213</v>
      </c>
      <c r="D20" s="98">
        <f>Z34/Y3*'Budget - Freezer Beef'!G3</f>
        <v>45.280103225806457</v>
      </c>
      <c r="E20" s="96"/>
      <c r="F20" s="97">
        <f t="shared" ref="F20:F26" si="5">D20*E20/100</f>
        <v>0</v>
      </c>
      <c r="G20" s="6">
        <v>0</v>
      </c>
      <c r="H20" s="6">
        <v>100</v>
      </c>
      <c r="I20" s="179"/>
      <c r="J20" s="55" t="s">
        <v>310</v>
      </c>
      <c r="K20" s="6" t="s">
        <v>311</v>
      </c>
      <c r="L20" s="98">
        <f>(Z12+Z17)/Y3*'Budget - Freezer Beef'!G3</f>
        <v>12.703015384615384</v>
      </c>
      <c r="M20" s="96">
        <v>50</v>
      </c>
      <c r="N20" s="97">
        <f t="shared" si="4"/>
        <v>6.351507692307691</v>
      </c>
      <c r="O20" s="7">
        <v>0</v>
      </c>
      <c r="P20" s="7">
        <v>100</v>
      </c>
      <c r="X20" s="283" t="s">
        <v>222</v>
      </c>
      <c r="Y20" s="283"/>
      <c r="Z20" s="271">
        <v>124.4</v>
      </c>
      <c r="AA20" s="283">
        <v>16</v>
      </c>
      <c r="AB20" s="283"/>
      <c r="AC20" s="284">
        <f>Z20/$Y$3</f>
        <v>0.15434243176178661</v>
      </c>
    </row>
    <row r="21" spans="2:29">
      <c r="B21" s="55" t="s">
        <v>312</v>
      </c>
      <c r="C21" s="96" t="s">
        <v>213</v>
      </c>
      <c r="D21" s="98">
        <f>Z35/Y3*'Budget - Freezer Beef'!G3</f>
        <v>28.479340942928044</v>
      </c>
      <c r="E21" s="96"/>
      <c r="F21" s="97">
        <f t="shared" si="5"/>
        <v>0</v>
      </c>
      <c r="G21" s="6">
        <v>0</v>
      </c>
      <c r="H21" s="6">
        <v>100</v>
      </c>
      <c r="I21" s="179"/>
      <c r="J21" s="55" t="s">
        <v>242</v>
      </c>
      <c r="K21" s="6" t="s">
        <v>300</v>
      </c>
      <c r="L21" s="276">
        <f>Z46/Y3*'Budget - Freezer Beef'!G3</f>
        <v>20.283847146401989</v>
      </c>
      <c r="M21" s="96"/>
      <c r="N21" s="97">
        <f t="shared" si="4"/>
        <v>0</v>
      </c>
      <c r="O21" s="7">
        <v>0</v>
      </c>
      <c r="P21" s="7">
        <v>100</v>
      </c>
      <c r="Y21" s="6" t="s">
        <v>313</v>
      </c>
      <c r="Z21" s="6">
        <v>24.9</v>
      </c>
      <c r="AA21" s="101">
        <f>Z21/$Y$3</f>
        <v>3.0893300248138956E-2</v>
      </c>
      <c r="AB21" s="6">
        <v>117</v>
      </c>
    </row>
    <row r="22" spans="2:29">
      <c r="B22" s="55" t="s">
        <v>314</v>
      </c>
      <c r="C22" s="96" t="s">
        <v>213</v>
      </c>
      <c r="D22" s="98">
        <f>Z37/Y3*'Budget - Freezer Beef'!G3</f>
        <v>6.5563950372208435</v>
      </c>
      <c r="E22" s="96"/>
      <c r="F22" s="97">
        <f t="shared" si="5"/>
        <v>0</v>
      </c>
      <c r="G22" s="6">
        <v>0</v>
      </c>
      <c r="H22" s="6">
        <v>100</v>
      </c>
      <c r="J22" s="55" t="s">
        <v>239</v>
      </c>
      <c r="L22" s="276"/>
      <c r="N22" s="289">
        <v>15</v>
      </c>
      <c r="O22" s="7"/>
      <c r="P22" s="7"/>
      <c r="Y22" s="6" t="s">
        <v>315</v>
      </c>
      <c r="Z22" s="6">
        <v>11.9</v>
      </c>
      <c r="AA22" s="101">
        <f t="shared" ref="AA22:AA23" si="6">Z22/$Y$3</f>
        <v>1.4764267990074442E-2</v>
      </c>
      <c r="AB22" s="6" t="s">
        <v>316</v>
      </c>
    </row>
    <row r="23" spans="2:29">
      <c r="B23" s="55" t="s">
        <v>317</v>
      </c>
      <c r="C23" s="96" t="s">
        <v>213</v>
      </c>
      <c r="D23" s="98">
        <f>Z36/Y3*'Budget - Freezer Beef'!G3</f>
        <v>8.2979374689826297</v>
      </c>
      <c r="E23" s="96">
        <v>100</v>
      </c>
      <c r="F23" s="97">
        <f t="shared" si="5"/>
        <v>8.2979374689826297</v>
      </c>
      <c r="G23" s="6">
        <v>0</v>
      </c>
      <c r="H23" s="6">
        <v>100</v>
      </c>
      <c r="J23" s="55" t="s">
        <v>318</v>
      </c>
      <c r="K23" s="6" t="s">
        <v>319</v>
      </c>
      <c r="L23" s="276">
        <f>3.5/Y3*'Budget - Freezer Beef'!G3</f>
        <v>3.5855285359801492</v>
      </c>
      <c r="M23" s="96"/>
      <c r="N23" s="97">
        <f t="shared" si="4"/>
        <v>0</v>
      </c>
      <c r="O23" s="7">
        <v>0</v>
      </c>
      <c r="P23" s="7">
        <v>100</v>
      </c>
      <c r="Y23" s="6" t="s">
        <v>298</v>
      </c>
      <c r="Z23" s="6">
        <v>5.7</v>
      </c>
      <c r="AA23" s="101">
        <f t="shared" si="6"/>
        <v>7.07196029776675E-3</v>
      </c>
      <c r="AB23" s="6">
        <v>136</v>
      </c>
    </row>
    <row r="24" spans="2:29">
      <c r="B24" s="427" t="s">
        <v>275</v>
      </c>
      <c r="C24" s="405"/>
      <c r="D24" s="405"/>
      <c r="E24" s="405"/>
      <c r="F24" s="428"/>
      <c r="J24" s="55" t="s">
        <v>320</v>
      </c>
      <c r="K24" s="6" t="s">
        <v>319</v>
      </c>
      <c r="L24" s="276">
        <f>1/Y3*'Budget - Freezer Beef'!G3</f>
        <v>1.0244367245657569</v>
      </c>
      <c r="M24" s="96"/>
      <c r="N24" s="97">
        <f t="shared" si="4"/>
        <v>0</v>
      </c>
      <c r="O24" s="7">
        <v>0</v>
      </c>
      <c r="P24" s="7">
        <v>100</v>
      </c>
      <c r="X24" s="6" t="s">
        <v>228</v>
      </c>
    </row>
    <row r="25" spans="2:29">
      <c r="B25" s="55" t="s">
        <v>321</v>
      </c>
      <c r="C25" s="96" t="s">
        <v>213</v>
      </c>
      <c r="D25" s="98">
        <f>Z38/Y3*'Budget - Freezer Beef'!G3</f>
        <v>26.225580148883374</v>
      </c>
      <c r="E25" s="96">
        <v>100</v>
      </c>
      <c r="F25" s="97">
        <f t="shared" si="5"/>
        <v>26.225580148883374</v>
      </c>
      <c r="G25" s="6">
        <v>0</v>
      </c>
      <c r="H25" s="6">
        <v>100</v>
      </c>
      <c r="J25" s="55" t="s">
        <v>322</v>
      </c>
      <c r="K25" s="6" t="s">
        <v>319</v>
      </c>
      <c r="L25" s="276">
        <f>13/Y3*'Budget - Freezer Beef'!G3</f>
        <v>13.317677419354839</v>
      </c>
      <c r="M25" s="96"/>
      <c r="N25" s="97">
        <f t="shared" si="4"/>
        <v>0</v>
      </c>
      <c r="O25" s="7">
        <v>0</v>
      </c>
      <c r="P25" s="7">
        <v>100</v>
      </c>
      <c r="Y25" s="6" t="s">
        <v>323</v>
      </c>
      <c r="Z25" s="6">
        <v>17</v>
      </c>
      <c r="AA25" s="101">
        <f>Z25/$Y$3</f>
        <v>2.1091811414392061E-2</v>
      </c>
      <c r="AB25" s="6">
        <v>184</v>
      </c>
    </row>
    <row r="26" spans="2:29" ht="17.25" thickBot="1">
      <c r="B26" s="68" t="s">
        <v>240</v>
      </c>
      <c r="C26" s="104" t="s">
        <v>324</v>
      </c>
      <c r="D26" s="272">
        <f>SUM(D20:D23)-SUM(F20:F23)</f>
        <v>80.315839205955342</v>
      </c>
      <c r="E26" s="270">
        <v>50</v>
      </c>
      <c r="F26" s="277">
        <f t="shared" si="5"/>
        <v>40.157919602977671</v>
      </c>
      <c r="G26" s="6">
        <v>0</v>
      </c>
      <c r="H26" s="138">
        <v>100</v>
      </c>
      <c r="J26" s="68" t="s">
        <v>325</v>
      </c>
      <c r="K26" s="6" t="s">
        <v>319</v>
      </c>
      <c r="L26" s="274">
        <f>2.5/Y3*'Budget - Freezer Beef'!G3</f>
        <v>2.5610918114143923</v>
      </c>
      <c r="M26" s="96"/>
      <c r="N26" s="277">
        <f t="shared" si="4"/>
        <v>0</v>
      </c>
      <c r="O26" s="7">
        <v>0</v>
      </c>
      <c r="P26" s="7">
        <v>100</v>
      </c>
      <c r="Y26" s="6" t="s">
        <v>326</v>
      </c>
      <c r="Z26" s="6">
        <v>4.2</v>
      </c>
      <c r="AA26" s="101">
        <f t="shared" ref="AA26:AA32" si="7">Z26/$Y$3</f>
        <v>5.210918114143921E-3</v>
      </c>
      <c r="AB26" s="6" t="s">
        <v>327</v>
      </c>
    </row>
    <row r="27" spans="2:29" ht="21" thickBot="1">
      <c r="D27" s="98"/>
      <c r="G27" s="278"/>
      <c r="H27" s="278"/>
      <c r="J27" s="413" t="s">
        <v>328</v>
      </c>
      <c r="K27" s="414"/>
      <c r="L27" s="414"/>
      <c r="M27" s="414"/>
      <c r="N27" s="415"/>
      <c r="O27" s="7"/>
      <c r="P27" s="7"/>
      <c r="Y27" s="6" t="s">
        <v>329</v>
      </c>
      <c r="Z27" s="6">
        <v>8</v>
      </c>
      <c r="AA27" s="101">
        <f t="shared" si="7"/>
        <v>9.9255583126550868E-3</v>
      </c>
      <c r="AB27" s="6">
        <v>185</v>
      </c>
    </row>
    <row r="28" spans="2:29">
      <c r="D28" s="98"/>
      <c r="G28" s="278"/>
      <c r="H28" s="278"/>
      <c r="J28" s="286" t="s">
        <v>301</v>
      </c>
      <c r="K28" s="287"/>
      <c r="L28" s="296">
        <f>SUM(Z14,Z19,Z32,Z40,Z48)/Y3*'Budget - Freezer Beef'!G3</f>
        <v>236.33755235732013</v>
      </c>
      <c r="M28" s="287"/>
      <c r="N28" s="288"/>
      <c r="O28" s="7"/>
      <c r="P28" s="7"/>
      <c r="Y28" s="6" t="s">
        <v>330</v>
      </c>
      <c r="Z28" s="6">
        <v>8.8000000000000007</v>
      </c>
      <c r="AA28" s="101">
        <f t="shared" si="7"/>
        <v>1.0918114143920597E-2</v>
      </c>
      <c r="AB28" s="6">
        <v>185</v>
      </c>
    </row>
    <row r="29" spans="2:29" ht="17.25" thickBot="1">
      <c r="D29" s="98"/>
      <c r="G29" s="278"/>
      <c r="H29" s="278"/>
      <c r="J29" s="68" t="s">
        <v>331</v>
      </c>
      <c r="K29" s="104"/>
      <c r="L29" s="272">
        <f>SUM(L21-N21,L23-N23,L24-N24,L25-N25,L26-N26)</f>
        <v>40.772581637717124</v>
      </c>
      <c r="M29" s="104"/>
      <c r="N29" s="269"/>
      <c r="Y29" s="6" t="s">
        <v>298</v>
      </c>
      <c r="Z29" s="6">
        <v>14.4</v>
      </c>
      <c r="AA29" s="101">
        <f t="shared" si="7"/>
        <v>1.7866004962779156E-2</v>
      </c>
      <c r="AB29" s="6">
        <v>136</v>
      </c>
    </row>
    <row r="30" spans="2:29" ht="67.5" customHeight="1">
      <c r="B30" s="429" t="s">
        <v>332</v>
      </c>
      <c r="C30" s="429"/>
      <c r="D30" s="429"/>
      <c r="E30" s="429"/>
      <c r="F30" s="429"/>
      <c r="G30" s="429"/>
      <c r="H30" s="429"/>
      <c r="I30" s="429"/>
      <c r="J30" s="429"/>
      <c r="K30" s="429"/>
      <c r="L30" s="429"/>
      <c r="M30" s="429"/>
      <c r="N30" s="429"/>
      <c r="AA30" s="101"/>
    </row>
    <row r="31" spans="2:29">
      <c r="B31" s="294"/>
      <c r="C31" s="294"/>
      <c r="D31" s="294"/>
      <c r="E31" s="294"/>
      <c r="F31" s="294"/>
      <c r="G31" s="278"/>
      <c r="H31" s="278"/>
      <c r="L31" s="98"/>
      <c r="AA31" s="101"/>
    </row>
    <row r="32" spans="2:29" ht="17.25" hidden="1" customHeight="1">
      <c r="B32" s="293"/>
      <c r="C32" s="293"/>
      <c r="D32" s="293"/>
      <c r="E32" s="293"/>
      <c r="F32" s="293"/>
      <c r="G32" s="294"/>
      <c r="H32" s="294"/>
      <c r="I32" s="138"/>
      <c r="J32" s="294"/>
      <c r="K32" s="294"/>
      <c r="L32" s="294"/>
      <c r="M32" s="294"/>
      <c r="N32" s="294"/>
      <c r="Y32" s="6" t="s">
        <v>301</v>
      </c>
      <c r="Z32" s="6">
        <f>Z20-SUM(Z21:Z29)</f>
        <v>29.5</v>
      </c>
      <c r="AA32" s="101">
        <f t="shared" si="7"/>
        <v>3.6600496277915631E-2</v>
      </c>
    </row>
    <row r="33" spans="7:29" ht="18" hidden="1" customHeight="1">
      <c r="G33" s="294"/>
      <c r="H33" s="294"/>
      <c r="I33" s="294"/>
      <c r="J33" s="294"/>
      <c r="K33" s="294"/>
      <c r="L33" s="294"/>
      <c r="M33" s="294"/>
      <c r="N33" s="294"/>
      <c r="X33" s="283" t="s">
        <v>231</v>
      </c>
      <c r="Y33" s="283"/>
      <c r="Z33" s="271">
        <v>175.8</v>
      </c>
      <c r="AA33" s="283">
        <v>22</v>
      </c>
      <c r="AB33" s="283"/>
      <c r="AC33" s="284">
        <f>Z33/$Y$3</f>
        <v>0.21811414392059555</v>
      </c>
    </row>
    <row r="34" spans="7:29" ht="16.5" hidden="1" customHeight="1">
      <c r="G34" s="293"/>
      <c r="H34" s="293"/>
      <c r="I34" s="294"/>
      <c r="Y34" s="6" t="s">
        <v>333</v>
      </c>
      <c r="Z34" s="6">
        <v>44.2</v>
      </c>
      <c r="AA34" s="101">
        <f>Z34/$Y$3</f>
        <v>5.4838709677419356E-2</v>
      </c>
      <c r="AB34" s="6">
        <v>169</v>
      </c>
    </row>
    <row r="35" spans="7:29" ht="18" hidden="1" customHeight="1">
      <c r="I35" s="293"/>
      <c r="Y35" s="6" t="s">
        <v>334</v>
      </c>
      <c r="Z35" s="6">
        <v>27.8</v>
      </c>
      <c r="AA35" s="101">
        <f t="shared" ref="AA35:AA40" si="8">Z35/$Y$3</f>
        <v>3.4491315136476429E-2</v>
      </c>
      <c r="AB35" s="6">
        <v>170</v>
      </c>
    </row>
    <row r="36" spans="7:29" ht="15" hidden="1" customHeight="1">
      <c r="I36" s="278"/>
      <c r="Y36" s="6" t="s">
        <v>335</v>
      </c>
      <c r="Z36" s="6">
        <v>8.1</v>
      </c>
      <c r="AA36" s="101">
        <f t="shared" si="8"/>
        <v>1.0049627791563275E-2</v>
      </c>
      <c r="AB36" s="6" t="s">
        <v>336</v>
      </c>
    </row>
    <row r="37" spans="7:29" ht="15" hidden="1" customHeight="1">
      <c r="I37" s="278"/>
      <c r="Y37" s="6" t="s">
        <v>337</v>
      </c>
      <c r="Z37" s="6">
        <v>6.4</v>
      </c>
      <c r="AA37" s="101">
        <f t="shared" si="8"/>
        <v>7.9404466501240695E-3</v>
      </c>
    </row>
    <row r="38" spans="7:29" hidden="1">
      <c r="Y38" s="6" t="s">
        <v>338</v>
      </c>
      <c r="Z38" s="6">
        <v>25.6</v>
      </c>
      <c r="AA38" s="101">
        <f t="shared" si="8"/>
        <v>3.1761786600496278E-2</v>
      </c>
      <c r="AB38" s="6">
        <v>167</v>
      </c>
    </row>
    <row r="39" spans="7:29" hidden="1">
      <c r="Y39" s="6" t="s">
        <v>298</v>
      </c>
      <c r="Z39" s="6">
        <v>26.8</v>
      </c>
      <c r="AA39" s="101">
        <f t="shared" si="8"/>
        <v>3.3250620347394545E-2</v>
      </c>
      <c r="AB39" s="6">
        <v>136</v>
      </c>
    </row>
    <row r="40" spans="7:29" hidden="1">
      <c r="Y40" s="6" t="s">
        <v>301</v>
      </c>
      <c r="Z40" s="6">
        <f>Z33-SUM(Z34:Z39)</f>
        <v>36.900000000000006</v>
      </c>
      <c r="AA40" s="101">
        <f t="shared" si="8"/>
        <v>4.5781637717121598E-2</v>
      </c>
    </row>
    <row r="41" spans="7:29" hidden="1">
      <c r="X41" s="283" t="s">
        <v>283</v>
      </c>
      <c r="Y41" s="283"/>
      <c r="Z41" s="271">
        <v>214.8</v>
      </c>
      <c r="AA41" s="283">
        <f>100-SUM(AA5,AA15,AA20,AA33)</f>
        <v>24</v>
      </c>
      <c r="AB41" s="283"/>
      <c r="AC41" s="284">
        <f>Z41/$Y$3</f>
        <v>0.26650124069478909</v>
      </c>
    </row>
    <row r="42" spans="7:29" hidden="1">
      <c r="Y42" s="6" t="s">
        <v>233</v>
      </c>
      <c r="Z42" s="6">
        <v>27.6</v>
      </c>
      <c r="AA42" s="101">
        <f>Z42/$Y$3</f>
        <v>3.4243176178660052E-2</v>
      </c>
      <c r="AB42" s="6">
        <v>121</v>
      </c>
    </row>
    <row r="43" spans="7:29" hidden="1">
      <c r="Y43" s="6" t="s">
        <v>232</v>
      </c>
      <c r="Z43" s="6">
        <v>4.5999999999999996</v>
      </c>
      <c r="AA43" s="101">
        <f t="shared" ref="AA43:AA48" si="9">Z43/$Y$3</f>
        <v>5.7071960297766745E-3</v>
      </c>
      <c r="AB43" s="6">
        <v>193</v>
      </c>
    </row>
    <row r="44" spans="7:29" hidden="1">
      <c r="Y44" s="6" t="s">
        <v>339</v>
      </c>
      <c r="Z44" s="6">
        <v>2.2000000000000002</v>
      </c>
      <c r="AA44" s="101">
        <f t="shared" si="9"/>
        <v>2.7295285359801493E-3</v>
      </c>
      <c r="AB44" s="6">
        <v>140</v>
      </c>
    </row>
    <row r="45" spans="7:29" hidden="1">
      <c r="Y45" s="6" t="s">
        <v>340</v>
      </c>
      <c r="Z45" s="6">
        <v>9.1999999999999993</v>
      </c>
      <c r="AA45" s="101">
        <f t="shared" si="9"/>
        <v>1.1414392059553349E-2</v>
      </c>
      <c r="AB45" s="6">
        <v>1121</v>
      </c>
    </row>
    <row r="46" spans="7:29" hidden="1">
      <c r="Y46" s="6" t="s">
        <v>242</v>
      </c>
      <c r="Z46" s="6">
        <v>19.8</v>
      </c>
      <c r="AA46" s="101">
        <f t="shared" si="9"/>
        <v>2.4565756823821342E-2</v>
      </c>
    </row>
    <row r="47" spans="7:29" hidden="1">
      <c r="Y47" s="6" t="s">
        <v>298</v>
      </c>
      <c r="Z47" s="6">
        <v>48.4</v>
      </c>
      <c r="AA47" s="101">
        <f t="shared" si="9"/>
        <v>6.0049627791563275E-2</v>
      </c>
      <c r="AB47" s="6">
        <v>136</v>
      </c>
    </row>
    <row r="48" spans="7:29" hidden="1">
      <c r="Y48" s="6" t="s">
        <v>341</v>
      </c>
      <c r="Z48" s="6">
        <f>Z41-SUM(Z42:Z47)</f>
        <v>103</v>
      </c>
      <c r="AA48" s="101">
        <f t="shared" si="9"/>
        <v>0.12779156327543426</v>
      </c>
    </row>
    <row r="49" spans="24:29" hidden="1">
      <c r="X49" s="283" t="s">
        <v>112</v>
      </c>
      <c r="Y49" s="283"/>
      <c r="Z49" s="283">
        <f>SUM(Z5,Z15,Z20,Z33,Z41)</f>
        <v>806</v>
      </c>
      <c r="AA49" s="283">
        <f>SUM(AA41,AA33,AA20,AA15,AA5)</f>
        <v>100</v>
      </c>
      <c r="AB49" s="283"/>
      <c r="AC49" s="284">
        <f>SUM(AC41,AC33,AC20,AC15,AC5)</f>
        <v>1</v>
      </c>
    </row>
  </sheetData>
  <sheetProtection sheet="1" objects="1" scenarios="1"/>
  <protectedRanges>
    <protectedRange sqref="U4:U9" name="GB and loss"/>
    <protectedRange sqref="C4 C11 E4 E8 M4 C17 E14 E16:E17 C6 C20:C23 C25 C8 E20:E23 E25:E26 K4 E10:E11 M9:M10 N22 M14 E6 K9:K11 M12 M7 K7 M17:M21 M23:M26" name="Grey cells"/>
  </protectedRanges>
  <mergeCells count="19">
    <mergeCell ref="B1:N1"/>
    <mergeCell ref="B24:F24"/>
    <mergeCell ref="J8:N8"/>
    <mergeCell ref="J11:N11"/>
    <mergeCell ref="J13:N13"/>
    <mergeCell ref="B7:F7"/>
    <mergeCell ref="B9:F9"/>
    <mergeCell ref="B30:N30"/>
    <mergeCell ref="B12:F12"/>
    <mergeCell ref="B18:F18"/>
    <mergeCell ref="J15:N15"/>
    <mergeCell ref="J27:N27"/>
    <mergeCell ref="B15:F15"/>
    <mergeCell ref="X2:AC2"/>
    <mergeCell ref="R2:V2"/>
    <mergeCell ref="B2:F2"/>
    <mergeCell ref="J2:N2"/>
    <mergeCell ref="J5:N5"/>
    <mergeCell ref="B5:F5"/>
  </mergeCells>
  <conditionalFormatting sqref="B4:F4">
    <cfRule type="expression" dxfId="8" priority="17">
      <formula>$H4=0</formula>
    </cfRule>
  </conditionalFormatting>
  <conditionalFormatting sqref="B6:F6">
    <cfRule type="expression" dxfId="7" priority="4">
      <formula>$H6=0</formula>
    </cfRule>
  </conditionalFormatting>
  <conditionalFormatting sqref="B8:F8">
    <cfRule type="expression" dxfId="6" priority="13">
      <formula>$H8=0</formula>
    </cfRule>
  </conditionalFormatting>
  <conditionalFormatting sqref="B10:F11">
    <cfRule type="expression" dxfId="5" priority="12">
      <formula>$H10=0</formula>
    </cfRule>
  </conditionalFormatting>
  <conditionalFormatting sqref="B16:F17">
    <cfRule type="expression" dxfId="4" priority="7">
      <formula>$H16=0</formula>
    </cfRule>
  </conditionalFormatting>
  <conditionalFormatting sqref="B20:F23">
    <cfRule type="expression" dxfId="3" priority="5">
      <formula>$H20=0</formula>
    </cfRule>
  </conditionalFormatting>
  <conditionalFormatting sqref="J7:N7">
    <cfRule type="expression" dxfId="2" priority="1">
      <formula>$P7=0</formula>
    </cfRule>
  </conditionalFormatting>
  <conditionalFormatting sqref="J9:N10">
    <cfRule type="expression" dxfId="1" priority="3">
      <formula>$P9=0</formula>
    </cfRule>
  </conditionalFormatting>
  <conditionalFormatting sqref="J12:N12">
    <cfRule type="expression" dxfId="0" priority="2">
      <formula>$P12=0</formula>
    </cfRule>
  </conditionalFormatting>
  <dataValidations xWindow="1286" yWindow="410" count="5">
    <dataValidation type="whole" allowBlank="1" showInputMessage="1" showErrorMessage="1" errorTitle="Cutout not possible" error="The combination of beef cuts you have selected are not able to be delivered. Some cut choices use muscle groups that are also included in other cuts. Please change your desired cutout to allow this cut to be packaged." prompt="Enter the percent of total weight of this cut you would like returned as a whole-muscle beef as a whole number (0-100, no decimals)." sqref="E8 E14 E16:E17 E25:E26 E10:E11 E4 E6 E20:E21 E23 E22" xr:uid="{B1B43079-CA30-47E0-B879-6670F1D32EE0}">
      <formula1>G4</formula1>
      <formula2>H4</formula2>
    </dataValidation>
    <dataValidation type="whole" allowBlank="1" showInputMessage="1" showErrorMessage="1" error="The value entered exceeds the allowable range or the combination of cuts you have selected cannot be delivered. If other cuts using the same muscles have already been chosen, your selection must be changed to allow this cut." prompt="Enter  as a whole number (0-100) the percent of the cut to the left that you would like packaged. If you select any value less than 100%, the remainder will be added to the total weight for ground beef. " sqref="E8 E14 E16:E17 E25:E26 E10:E11 E4 E6 E20:E23 M7 M12 M14 M17:M21 M23:M24 M26 M25 M10 M9 M4" xr:uid="{90329AD2-E29D-4491-B2A4-208F8AB87A50}">
      <formula1>G4</formula1>
      <formula2>H4</formula2>
    </dataValidation>
    <dataValidation type="whole" allowBlank="1" showInputMessage="1" showErrorMessage="1" error="The value entered exceeds the allowable range or the combination of cuts you have selected cannot be delivered. If other cuts using the same muscles have already been chosen, your selection must be changed to allow this cut." prompt="Enter  as a whole number (0-100) the percent of the cut to the left that you would like packaged. If you select any value less than 100%, the remainder will be added to the total weight for ground beef. " sqref="M22" xr:uid="{A0297BC1-2476-4CB8-A41B-6A239490A3BE}">
      <formula1>#REF!</formula1>
      <formula2>#REF!</formula2>
    </dataValidation>
    <dataValidation type="whole" allowBlank="1" showInputMessage="1" showErrorMessage="1" errorTitle="Cutout not possible" error="The combination of beef cuts you have selected are not able to be delivered. Some cut choices use muscle groups that are also included in other cuts. Please change your desired cutout to allow this cut to be packaged." prompt="Enter the percent of total weight of this cut you would like returned as a whole-muscle beef as a whole number (0-100, no decimals)." sqref="M9:M10 M12 M14 M7 M4 M17:M26" xr:uid="{18AF9A48-EC82-4557-8CA4-317F863130FA}">
      <formula1>#REF!</formula1>
      <formula2>#REF!</formula2>
    </dataValidation>
    <dataValidation type="list" allowBlank="1" showInputMessage="1" showErrorMessage="1" prompt="Select the style in which this muscle group should be cut." sqref="C11 C17 C20:C23 C25 K4 K9:K10 K12 K7" xr:uid="{232F1D44-2835-4B92-B3BC-23354737D4EB}">
      <formula1>$P$2:$P$3</formula1>
    </dataValidation>
  </dataValidations>
  <hyperlinks>
    <hyperlink ref="AC3" r:id="rId1" xr:uid="{1FDE205E-0163-4607-952D-5E4BAF4A6197}"/>
    <hyperlink ref="AE5" r:id="rId2" xr:uid="{5464B466-B29F-4260-A160-CBEE42437884}"/>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79C8A-1796-445C-9934-20C2A29596B5}">
  <dimension ref="A1:L20"/>
  <sheetViews>
    <sheetView showGridLines="0" workbookViewId="0">
      <selection activeCell="G18" sqref="G18"/>
    </sheetView>
  </sheetViews>
  <sheetFormatPr defaultColWidth="0" defaultRowHeight="15" zeroHeight="1"/>
  <cols>
    <col min="1" max="1" width="17.85546875" customWidth="1"/>
    <col min="2" max="2" width="10.5703125" bestFit="1" customWidth="1"/>
    <col min="3" max="3" width="3.5703125" customWidth="1"/>
    <col min="4" max="4" width="20.85546875" customWidth="1"/>
    <col min="5" max="5" width="9.140625" customWidth="1"/>
    <col min="6" max="6" width="3.5703125" customWidth="1"/>
    <col min="7" max="7" width="19.140625" customWidth="1"/>
    <col min="8" max="8" width="9.140625" customWidth="1"/>
    <col min="9" max="9" width="2.7109375" customWidth="1"/>
    <col min="10" max="10" width="19.7109375" customWidth="1"/>
    <col min="11" max="12" width="9.140625" customWidth="1"/>
    <col min="13" max="16384" width="9.140625" hidden="1"/>
  </cols>
  <sheetData>
    <row r="1" spans="1:11" ht="19.5" thickBot="1">
      <c r="A1" s="431" t="s">
        <v>342</v>
      </c>
      <c r="B1" s="431"/>
      <c r="C1" s="347"/>
      <c r="D1" s="431" t="s">
        <v>343</v>
      </c>
      <c r="E1" s="431"/>
      <c r="F1" s="347"/>
      <c r="G1" s="431" t="s">
        <v>344</v>
      </c>
      <c r="H1" s="431"/>
      <c r="I1" s="347"/>
      <c r="J1" s="431" t="s">
        <v>178</v>
      </c>
      <c r="K1" s="431"/>
    </row>
    <row r="2" spans="1:11">
      <c r="A2" s="333" t="s">
        <v>345</v>
      </c>
      <c r="B2" s="334">
        <f>(B3*B5+B4*B12)/B6</f>
        <v>52</v>
      </c>
      <c r="D2" s="333" t="s">
        <v>345</v>
      </c>
      <c r="E2" s="334">
        <f>(E3*E5+E4*E12)/E6</f>
        <v>52</v>
      </c>
      <c r="G2" s="333" t="s">
        <v>345</v>
      </c>
      <c r="H2" s="334">
        <f>(H3*H5+H4*H12)/H6</f>
        <v>52</v>
      </c>
      <c r="J2" s="333" t="s">
        <v>345</v>
      </c>
      <c r="K2" s="334">
        <f>(K3*K5+K4*K16)/K6</f>
        <v>78</v>
      </c>
    </row>
    <row r="3" spans="1:11">
      <c r="A3" s="335" t="s">
        <v>346</v>
      </c>
      <c r="B3" s="336">
        <v>40</v>
      </c>
      <c r="D3" s="335" t="s">
        <v>346</v>
      </c>
      <c r="E3" s="336">
        <v>40</v>
      </c>
      <c r="G3" s="335" t="s">
        <v>346</v>
      </c>
      <c r="H3" s="336">
        <v>40</v>
      </c>
      <c r="J3" s="335" t="s">
        <v>346</v>
      </c>
      <c r="K3" s="336">
        <v>60</v>
      </c>
    </row>
    <row r="4" spans="1:11">
      <c r="A4" s="335" t="s">
        <v>347</v>
      </c>
      <c r="B4" s="336">
        <v>1</v>
      </c>
      <c r="D4" s="335" t="s">
        <v>347</v>
      </c>
      <c r="E4" s="336">
        <v>1</v>
      </c>
      <c r="G4" s="335" t="s">
        <v>347</v>
      </c>
      <c r="H4" s="336">
        <v>1</v>
      </c>
      <c r="J4" s="335" t="s">
        <v>347</v>
      </c>
      <c r="K4" s="336">
        <v>1.5</v>
      </c>
    </row>
    <row r="5" spans="1:11">
      <c r="A5" s="335" t="s">
        <v>348</v>
      </c>
      <c r="B5" s="336">
        <v>0.75</v>
      </c>
      <c r="D5" s="335" t="s">
        <v>348</v>
      </c>
      <c r="E5" s="336">
        <v>0.75</v>
      </c>
      <c r="G5" s="335" t="s">
        <v>348</v>
      </c>
      <c r="H5" s="336">
        <v>0.75</v>
      </c>
      <c r="J5" s="335" t="s">
        <v>348</v>
      </c>
      <c r="K5" s="337">
        <v>0.75</v>
      </c>
    </row>
    <row r="6" spans="1:11" ht="30">
      <c r="A6" s="338" t="s">
        <v>349</v>
      </c>
      <c r="B6" s="336">
        <v>1</v>
      </c>
      <c r="D6" s="338" t="s">
        <v>349</v>
      </c>
      <c r="E6" s="336">
        <v>1</v>
      </c>
      <c r="G6" s="338" t="s">
        <v>349</v>
      </c>
      <c r="H6" s="336">
        <v>1</v>
      </c>
      <c r="J6" s="338" t="s">
        <v>349</v>
      </c>
      <c r="K6" s="336">
        <v>1</v>
      </c>
    </row>
    <row r="7" spans="1:11" ht="30">
      <c r="A7" s="339" t="s">
        <v>350</v>
      </c>
      <c r="B7" s="340">
        <f>B8/B9</f>
        <v>83.333333333333329</v>
      </c>
      <c r="D7" s="339" t="s">
        <v>350</v>
      </c>
      <c r="E7" s="340">
        <f>E8/E9</f>
        <v>116.66666666666667</v>
      </c>
      <c r="G7" s="339" t="s">
        <v>350</v>
      </c>
      <c r="H7" s="340">
        <f>H8/H9</f>
        <v>166.66666666666666</v>
      </c>
      <c r="J7" s="341" t="s">
        <v>351</v>
      </c>
      <c r="K7" s="342">
        <f>(K8*K10+K9*K16)/K13</f>
        <v>173.33333333333334</v>
      </c>
    </row>
    <row r="8" spans="1:11">
      <c r="A8" s="335" t="s">
        <v>352</v>
      </c>
      <c r="B8" s="336">
        <v>250</v>
      </c>
      <c r="D8" s="335" t="s">
        <v>352</v>
      </c>
      <c r="E8" s="336">
        <v>350</v>
      </c>
      <c r="G8" s="335" t="s">
        <v>352</v>
      </c>
      <c r="H8" s="336">
        <v>500</v>
      </c>
      <c r="J8" s="335" t="s">
        <v>346</v>
      </c>
      <c r="K8" s="336">
        <v>500</v>
      </c>
    </row>
    <row r="9" spans="1:11" ht="30">
      <c r="A9" s="338" t="s">
        <v>353</v>
      </c>
      <c r="B9" s="336">
        <v>3</v>
      </c>
      <c r="D9" s="338" t="s">
        <v>353</v>
      </c>
      <c r="E9" s="336">
        <v>3</v>
      </c>
      <c r="G9" s="338" t="s">
        <v>353</v>
      </c>
      <c r="H9" s="336">
        <v>3</v>
      </c>
      <c r="J9" s="338" t="s">
        <v>347</v>
      </c>
      <c r="K9" s="336">
        <v>10</v>
      </c>
    </row>
    <row r="10" spans="1:11">
      <c r="A10" s="339" t="s">
        <v>354</v>
      </c>
      <c r="B10" s="340">
        <f>B11*B12/B9</f>
        <v>29.333333333333332</v>
      </c>
      <c r="D10" s="339" t="s">
        <v>354</v>
      </c>
      <c r="E10" s="340">
        <f>E11*E12/E9</f>
        <v>58.666666666666664</v>
      </c>
      <c r="G10" s="339" t="s">
        <v>354</v>
      </c>
      <c r="H10" s="340">
        <f>H11*H12/H9</f>
        <v>117.33333333333333</v>
      </c>
      <c r="J10" s="338" t="s">
        <v>348</v>
      </c>
      <c r="K10" s="337">
        <v>0.6</v>
      </c>
    </row>
    <row r="11" spans="1:11" ht="30">
      <c r="A11" s="338" t="s">
        <v>355</v>
      </c>
      <c r="B11" s="336">
        <v>4</v>
      </c>
      <c r="D11" s="338" t="s">
        <v>355</v>
      </c>
      <c r="E11" s="336">
        <v>8</v>
      </c>
      <c r="G11" s="338" t="s">
        <v>355</v>
      </c>
      <c r="H11" s="336">
        <v>16</v>
      </c>
      <c r="J11" s="339" t="s">
        <v>350</v>
      </c>
      <c r="K11" s="340">
        <f>K12/K13</f>
        <v>333.33333333333331</v>
      </c>
    </row>
    <row r="12" spans="1:11">
      <c r="A12" s="335" t="s">
        <v>356</v>
      </c>
      <c r="B12" s="336">
        <v>22</v>
      </c>
      <c r="D12" s="335" t="s">
        <v>356</v>
      </c>
      <c r="E12" s="336">
        <v>22</v>
      </c>
      <c r="G12" s="335" t="s">
        <v>356</v>
      </c>
      <c r="H12" s="336">
        <v>22</v>
      </c>
      <c r="J12" s="335" t="s">
        <v>352</v>
      </c>
      <c r="K12" s="336">
        <v>1000</v>
      </c>
    </row>
    <row r="13" spans="1:11" ht="30">
      <c r="A13" s="341" t="s">
        <v>357</v>
      </c>
      <c r="B13" s="337"/>
      <c r="D13" s="341" t="s">
        <v>357</v>
      </c>
      <c r="E13" s="337"/>
      <c r="G13" s="341" t="s">
        <v>357</v>
      </c>
      <c r="H13" s="337"/>
      <c r="J13" s="338" t="s">
        <v>353</v>
      </c>
      <c r="K13" s="336">
        <v>3</v>
      </c>
    </row>
    <row r="14" spans="1:11" ht="30.75" thickBot="1">
      <c r="A14" s="343" t="s">
        <v>358</v>
      </c>
      <c r="B14" s="344"/>
      <c r="D14" s="343" t="s">
        <v>358</v>
      </c>
      <c r="E14" s="344"/>
      <c r="G14" s="343" t="s">
        <v>358</v>
      </c>
      <c r="H14" s="344"/>
      <c r="J14" s="339" t="s">
        <v>354</v>
      </c>
      <c r="K14" s="340">
        <f>K15*K16/K13</f>
        <v>293.33333333333331</v>
      </c>
    </row>
    <row r="15" spans="1:11" ht="30.75" thickBot="1">
      <c r="A15" s="345" t="s">
        <v>359</v>
      </c>
      <c r="B15" s="346">
        <f>SUM(B2,B7,B10,B13,B14)</f>
        <v>164.66666666666666</v>
      </c>
      <c r="D15" s="345" t="s">
        <v>359</v>
      </c>
      <c r="E15" s="346">
        <f>SUM(E2,E7,E10,E13,E14)</f>
        <v>227.33333333333334</v>
      </c>
      <c r="G15" s="345" t="s">
        <v>359</v>
      </c>
      <c r="H15" s="346">
        <f>SUM(H2,H7,H10,H13,H14)</f>
        <v>336</v>
      </c>
      <c r="J15" s="338" t="s">
        <v>355</v>
      </c>
      <c r="K15" s="336">
        <v>40</v>
      </c>
    </row>
    <row r="16" spans="1:11">
      <c r="J16" s="335" t="s">
        <v>356</v>
      </c>
      <c r="K16" s="337">
        <v>22</v>
      </c>
    </row>
    <row r="17" spans="10:11" ht="30">
      <c r="J17" s="341" t="s">
        <v>357</v>
      </c>
      <c r="K17" s="337"/>
    </row>
    <row r="18" spans="10:11" ht="30.75" thickBot="1">
      <c r="J18" s="343" t="s">
        <v>358</v>
      </c>
      <c r="K18" s="344"/>
    </row>
    <row r="19" spans="10:11" ht="15.75" thickBot="1">
      <c r="J19" s="345" t="s">
        <v>359</v>
      </c>
      <c r="K19" s="346">
        <f>SUM(K2,K11,K14,K17,K18,K7)</f>
        <v>878</v>
      </c>
    </row>
    <row r="20" spans="10:11"/>
  </sheetData>
  <sheetProtection sheet="1" objects="1" scenarios="1"/>
  <protectedRanges>
    <protectedRange sqref="B3:B6 B8:B9 B11:B14 E3:E6 E8:E9 H3:H6 H8:H9 H11:H14 E11:E14 K3:K6 K8:K10 K12:K13 K15:K18" name="Grey cells"/>
  </protectedRanges>
  <mergeCells count="4">
    <mergeCell ref="A1:B1"/>
    <mergeCell ref="D1:E1"/>
    <mergeCell ref="G1:H1"/>
    <mergeCell ref="J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995914E1A9804181E196FA66AF5914" ma:contentTypeVersion="21" ma:contentTypeDescription="Create a new document." ma:contentTypeScope="" ma:versionID="d40ddeb8c9f1a288ffe334693a6f69ae">
  <xsd:schema xmlns:xsd="http://www.w3.org/2001/XMLSchema" xmlns:xs="http://www.w3.org/2001/XMLSchema" xmlns:p="http://schemas.microsoft.com/office/2006/metadata/properties" xmlns:ns2="9f608c11-4ccd-421c-a88d-29e29a7a365f" xmlns:ns3="7bd0c97a-79aa-4cc6-bd7d-1cd468b1e455" targetNamespace="http://schemas.microsoft.com/office/2006/metadata/properties" ma:root="true" ma:fieldsID="3b654d10c8172c95283ce976847cab81" ns2:_="" ns3:_="">
    <xsd:import namespace="9f608c11-4ccd-421c-a88d-29e29a7a365f"/>
    <xsd:import namespace="7bd0c97a-79aa-4cc6-bd7d-1cd468b1e4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ast_x0020_update"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08c11-4ccd-421c-a88d-29e29a7a3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ast_x0020_update" ma:index="19" nillable="true" ma:displayName="last update" ma:format="DateOnly" ma:internalName="last_x0020_update">
      <xsd:simpleType>
        <xsd:restriction base="dms:DateTime"/>
      </xsd:simpleType>
    </xsd:element>
    <xsd:element name="MediaServiceLocation" ma:index="20" nillable="true" ma:displayName="Location" ma:internalName="MediaServiceLocation" ma:readOnly="true">
      <xsd:simpleType>
        <xsd:restriction base="dms:Text"/>
      </xsd:simpleType>
    </xsd:element>
    <xsd:element name="Date" ma:index="21" nillable="true" ma:displayName="Date" ma:format="DateOnly" ma:internalName="Date">
      <xsd:simpleType>
        <xsd:restriction base="dms:DateTime"/>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d0c97a-79aa-4cc6-bd7d-1cd468b1e4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1755391-8c5a-49fe-93a6-be9ca737bd28}" ma:internalName="TaxCatchAll" ma:showField="CatchAllData" ma:web="7bd0c97a-79aa-4cc6-bd7d-1cd468b1e4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9f608c11-4ccd-421c-a88d-29e29a7a365f" xsi:nil="true"/>
    <lcf76f155ced4ddcb4097134ff3c332f xmlns="9f608c11-4ccd-421c-a88d-29e29a7a365f">
      <Terms xmlns="http://schemas.microsoft.com/office/infopath/2007/PartnerControls"/>
    </lcf76f155ced4ddcb4097134ff3c332f>
    <TaxCatchAll xmlns="7bd0c97a-79aa-4cc6-bd7d-1cd468b1e455" xsi:nil="true"/>
    <last_x0020_update xmlns="9f608c11-4ccd-421c-a88d-29e29a7a365f" xsi:nil="true"/>
  </documentManagement>
</p:properties>
</file>

<file path=customXml/itemProps1.xml><?xml version="1.0" encoding="utf-8"?>
<ds:datastoreItem xmlns:ds="http://schemas.openxmlformats.org/officeDocument/2006/customXml" ds:itemID="{25021CF5-4D74-4A10-9ADE-29ABF8BEE021}"/>
</file>

<file path=customXml/itemProps2.xml><?xml version="1.0" encoding="utf-8"?>
<ds:datastoreItem xmlns:ds="http://schemas.openxmlformats.org/officeDocument/2006/customXml" ds:itemID="{6128DAE2-371B-44B6-9B30-2073771D19FD}"/>
</file>

<file path=customXml/itemProps3.xml><?xml version="1.0" encoding="utf-8"?>
<ds:datastoreItem xmlns:ds="http://schemas.openxmlformats.org/officeDocument/2006/customXml" ds:itemID="{863DCD28-7109-42BD-9E3B-57AF43384B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Inputs</vt:lpstr>
      <vt:lpstr>Feed</vt:lpstr>
      <vt:lpstr>Budget - Commercial Sale</vt:lpstr>
      <vt:lpstr>Budget - Freezer Beef</vt:lpstr>
      <vt:lpstr>Retail cuts pricing</vt:lpstr>
      <vt:lpstr>Retail cuts selection</vt:lpstr>
      <vt:lpstr>Marketing cost calculator</vt:lpstr>
      <vt:lpstr>'Budget - Commercial Sale'!Print_Area</vt:lpstr>
      <vt:lpstr>'Budget - Freezer Beef'!Print_Area</vt:lpstr>
      <vt:lpstr>Feed!Print_Area</vt:lpstr>
      <vt:lpstr>Inputs!Print_Area</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Milhollin, Ryan K.</dc:creator>
  <cp:keywords/>
  <dc:description/>
  <cp:lastModifiedBy>Kientzy, Andrew</cp:lastModifiedBy>
  <cp:revision/>
  <dcterms:created xsi:type="dcterms:W3CDTF">2020-11-09T22:10:55Z</dcterms:created>
  <dcterms:modified xsi:type="dcterms:W3CDTF">2024-10-30T16:55:38Z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0x010100BE995914E1A9804181E196FA66AF5914</vt:lpwstr>
  </property>
</Properties>
</file>