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mailmissouri-my.sharepoint.com/personal/dskvnq_umsystem_edu/Documents/My things/2025/Mobile poultry budgets/Spreadsheets/"/>
    </mc:Choice>
  </mc:AlternateContent>
  <xr:revisionPtr revIDLastSave="13" documentId="8_{B30A7A9B-5D1C-4C8C-AF3D-E3F8D3796AC6}" xr6:coauthVersionLast="47" xr6:coauthVersionMax="47" xr10:uidLastSave="{1F59A2F4-99AD-4036-A6D9-1155DEB84CDF}"/>
  <bookViews>
    <workbookView xWindow="29490" yWindow="1800" windowWidth="21600" windowHeight="11235" xr2:uid="{D1157BEB-0DB0-490F-9A9F-80AB4ABCA712}"/>
  </bookViews>
  <sheets>
    <sheet name="Introduction" sheetId="14" r:id="rId1"/>
    <sheet name="Input sheet" sheetId="15" r:id="rId2"/>
    <sheet name="Facilities and equipment" sheetId="18" r:id="rId3"/>
    <sheet name="Mobile poultry budget" sheetId="19" r:id="rId4"/>
    <sheet name="Processing budget" sheetId="22" r:id="rId5"/>
    <sheet name="Brooder budget" sheetId="21" r:id="rId6"/>
    <sheet name="Guide tables" sheetId="23" state="hidden" r:id="rId7"/>
    <sheet name="References" sheetId="20" state="hidden" r:id="rId8"/>
  </sheets>
  <externalReferences>
    <externalReference r:id="rId9"/>
    <externalReference r:id="rId10"/>
    <externalReference r:id="rId11"/>
  </externalReferences>
  <definedNames>
    <definedName name="acres">[1]Input!$B$12</definedName>
    <definedName name="Boom_Sprayer">[1]MDB!$A$100:$A$101</definedName>
    <definedName name="Boom_Sprayer_SP">[1]MDB!$A$99</definedName>
    <definedName name="BudgetActivities">#REF!</definedName>
    <definedName name="byyield">[1]MDB!$C$160</definedName>
    <definedName name="Chisel_Plow">[1]MDB!$A$39:$A$42</definedName>
    <definedName name="Chisel_Plow_FD">[1]MDB!$A$43:$A$44</definedName>
    <definedName name="Comb_Disk_VRipper">[1]MDB!$A$66:$A$67</definedName>
    <definedName name="Comb_Fld_Cult_Incorp">[1]MDB!$A$63:$A$65</definedName>
    <definedName name="Combine_Size">[1]MDB!$B$24:$B$27</definedName>
    <definedName name="Cornhead_Size">[1]MDB!$A$133:$A$135</definedName>
    <definedName name="crop">[1]MDB!$C$164</definedName>
    <definedName name="cropnum">[1]MDB!$C$158</definedName>
    <definedName name="Crops">[1]MDB!$I$157:$I$163</definedName>
    <definedName name="Cultivator">[1]MDB!$A$91:$A$94</definedName>
    <definedName name="Cultivator_HR">[1]MDB!$A$95:$A$97</definedName>
    <definedName name="CustomActivities">'[2]Activity list'!$W$4:$AA$14</definedName>
    <definedName name="customhire2">[1]Input!$F$114:$F$117,[1]Input!$F$123:$F$126</definedName>
    <definedName name="CustomImps">[2]!Table4[Implement]</definedName>
    <definedName name="Disc_Mower">[1]MDB!$A$104:$A$107</definedName>
    <definedName name="Disk">[1]MDB!$A$68:$A$69</definedName>
    <definedName name="Disk_Mower">[1]MDB!$A$108:$A$109</definedName>
    <definedName name="drying">[1]Input!$B$106,[1]Input!$F$106</definedName>
    <definedName name="Field_Cultivator">[1]MDB!$A$49:$A$54</definedName>
    <definedName name="Grain_Auger">[1]MDB!$A$34</definedName>
    <definedName name="Graincart">[1]MDB!$A$32:$A$33</definedName>
    <definedName name="Grainhead_Size">[1]MDB!$A$125:$A$127</definedName>
    <definedName name="Harrow">[1]MDB!$A$70:$A$71</definedName>
    <definedName name="hauling">[1]Input!$B$108:$B$109,[1]Input!$F$108:$F$109</definedName>
    <definedName name="herbicide2">[1]Input!$F$43:$F$50,[1]Input!$B$51:$F$51</definedName>
    <definedName name="import">[1]Store!$E$3:$F$297</definedName>
    <definedName name="income">[1]Output!$F$12</definedName>
    <definedName name="insecticide2">[1]Input!$F$55:$F$58,[1]Input!$B$59:$F$59</definedName>
    <definedName name="Irrigation">[1]MDB!$G$157:$G$158</definedName>
    <definedName name="irrigation2">[1]MDB!$C$161</definedName>
    <definedName name="lease_arrangement">[1]MDB!$G$160:$G$162</definedName>
    <definedName name="leasenum">[1]MDB!$C$162</definedName>
    <definedName name="mdbvalues">[1]Output!$C$8:$H$12,[1]Output!$D$15:$H$49,[1]Output!$B$51:$G$62,[1]Output!$B$68:$G$104</definedName>
    <definedName name="Moldboard_Plow">[1]MDB!$A$45:$A$48</definedName>
    <definedName name="NoTill_Drill">[1]MDB!$A$88:$A$90</definedName>
    <definedName name="NoTill_Planter">[1]MDB!$A$80:$A$83</definedName>
    <definedName name="Passes">[1]Input!$F$149:$F$158,[1]Input!$F$160:$F$164,[1]Input!$F$166:$F$173,[1]Input!$F$175:$F$195</definedName>
    <definedName name="Planter">[1]MDB!$A$72:$A$75</definedName>
    <definedName name="postharvest">[1]Input!$B$104:$B$109,[1]Input!$F$105:$F$106,[1]Input!$F$108:$F$109</definedName>
    <definedName name="power">[1]Input!$D$149:$D$158,[1]Input!$D$160:$D$164,[1]Input!$D$166:$D$170,[1]Input!$D$172:$D$173,[1]Input!$D$175:$D$192,[1]Input!$D$196:$D$197</definedName>
    <definedName name="Power_Size">[1]MDB!$H$4:$H$5</definedName>
    <definedName name="Presswheel_Drill">[1]MDB!$A$84:$A$87</definedName>
    <definedName name="price_selections">[3]Prices!$A$1:$A$3</definedName>
    <definedName name="Primary_Units">[1]MDB!$L$157:$L$160</definedName>
    <definedName name="primyield">[1]MDB!$C$159</definedName>
    <definedName name="_xlnm.Print_Area" localSheetId="5">'Brooder budget'!$B$2:$H$25</definedName>
    <definedName name="_xlnm.Print_Area" localSheetId="2">'Facilities and equipment'!$B$1:$G$27,'Facilities and equipment'!$I$1:$M$23,'Facilities and equipment'!$O$1:$T$26</definedName>
    <definedName name="_xlnm.Print_Area" localSheetId="1">'Input sheet'!$B$1:$D$30,'Input sheet'!$F$2:$K$20</definedName>
    <definedName name="_xlnm.Print_Area" localSheetId="0">Introduction!$B$2:$D$17</definedName>
    <definedName name="_xlnm.Print_Area" localSheetId="3">'Mobile poultry budget'!$B$1:$G$38,'Mobile poultry budget'!$I$2:$O$11</definedName>
    <definedName name="_xlnm.Print_Area" localSheetId="4">'Processing budget'!$B$1:$H$24,'Processing budget'!$J$1:$O$11</definedName>
    <definedName name="PUAlloc">[1]Input!$B$100</definedName>
    <definedName name="PUMiles">[1]Input!$B$99</definedName>
    <definedName name="rental">[1]Input!$H$149:$H$158,[1]Input!$H$160:$H$164,[1]Input!$H$166:$H$173,[1]Input!$H$175:$H$195</definedName>
    <definedName name="Roller_Bar_Rake">[1]MDB!$A$110:$A$112</definedName>
    <definedName name="Round_Baler_Tie">[1]MDB!$A$118:$A$121</definedName>
    <definedName name="seed2">[1]Input!$B$22:$B$25,[1]Input!$B$27,[1]Input!$B$28:$F$28</definedName>
    <definedName name="SemiAlloc">[1]Input!$B$109</definedName>
    <definedName name="SemiMiles">[1]Input!$F$109</definedName>
    <definedName name="Silage_Wrapper">[1]MDB!$A$31</definedName>
    <definedName name="Soybeanhead_Size">[1]MDB!$A$128:$A$132</definedName>
    <definedName name="SplitRow_Planter">[1]MDB!$A$76:$A$79</definedName>
    <definedName name="ss">#REF!</definedName>
    <definedName name="storage">[1]Input!$B$105,[1]Input!$F$105</definedName>
    <definedName name="Swather_Mower_Conditioner">[1]MDB!$A$113:$A$115</definedName>
    <definedName name="Tandem_Disk">[1]MDB!$A$55:$A$58</definedName>
    <definedName name="TenWheelAlloc">[1]Input!$B$108</definedName>
    <definedName name="TenWheelMiles">[1]Input!$F$108</definedName>
    <definedName name="VRipper">[1]MDB!$A$59:$A$62</definedName>
    <definedName name="Wheel_Rake">[1]MDB!$A$136:$A$140</definedName>
    <definedName name="ww">[2]!Table4[Implement]</definedName>
    <definedName name="yield">[1]Input!$B$13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9" l="1"/>
  <c r="C13" i="19"/>
  <c r="D14" i="19" l="1"/>
  <c r="G22" i="19"/>
  <c r="B16" i="23"/>
  <c r="C17" i="23"/>
  <c r="B20" i="23"/>
  <c r="K9" i="23" l="1"/>
  <c r="I15" i="23"/>
  <c r="I14" i="23"/>
  <c r="I13" i="23"/>
  <c r="I12" i="23"/>
  <c r="I11" i="23"/>
  <c r="I9" i="23"/>
  <c r="I8" i="23"/>
  <c r="I7" i="23"/>
  <c r="I6" i="23"/>
  <c r="I5" i="23"/>
  <c r="I4" i="23"/>
  <c r="I3" i="23"/>
  <c r="D14" i="23"/>
  <c r="E14" i="23" s="1"/>
  <c r="C14" i="23"/>
  <c r="C11" i="23"/>
  <c r="K8" i="18" l="1"/>
  <c r="J8" i="18" l="1"/>
  <c r="M7" i="18"/>
  <c r="K7" i="18"/>
  <c r="J7" i="18"/>
  <c r="L7" i="18" s="1"/>
  <c r="M9" i="18"/>
  <c r="S13" i="18" s="1"/>
  <c r="L9" i="18"/>
  <c r="S2" i="18" s="1"/>
  <c r="K9" i="18"/>
  <c r="F13" i="18" s="1"/>
  <c r="J9" i="18"/>
  <c r="F2" i="18" s="1"/>
  <c r="M20" i="22" l="1"/>
  <c r="M5" i="22" s="1"/>
  <c r="D20" i="15"/>
  <c r="V22" i="19" s="1"/>
  <c r="D10" i="15"/>
  <c r="B12" i="19"/>
  <c r="E12" i="19"/>
  <c r="C12" i="19"/>
  <c r="B13" i="19"/>
  <c r="V30" i="19"/>
  <c r="V21" i="19"/>
  <c r="V19" i="19"/>
  <c r="T18" i="19"/>
  <c r="S18" i="19"/>
  <c r="V18" i="19"/>
  <c r="V17" i="19"/>
  <c r="P8" i="18"/>
  <c r="T6" i="18"/>
  <c r="T5" i="18"/>
  <c r="P4" i="18"/>
  <c r="T4" i="18" s="1"/>
  <c r="L15" i="18"/>
  <c r="M23" i="18" s="1"/>
  <c r="C4" i="18" s="1"/>
  <c r="M8" i="18" l="1"/>
  <c r="L8" i="18"/>
  <c r="P9" i="18"/>
  <c r="T8" i="18"/>
  <c r="T9" i="18" s="1"/>
  <c r="V29" i="19" s="1"/>
  <c r="S9" i="18"/>
  <c r="V28" i="19" s="1"/>
  <c r="U35" i="19"/>
  <c r="V35" i="19" s="1"/>
  <c r="T35" i="19"/>
  <c r="S35" i="19"/>
  <c r="S34" i="19" l="1"/>
  <c r="T34" i="19"/>
  <c r="U34" i="19"/>
  <c r="V34" i="19" s="1"/>
  <c r="U33" i="19"/>
  <c r="V33" i="19" s="1"/>
  <c r="T33" i="19"/>
  <c r="S33" i="19"/>
  <c r="E20" i="19"/>
  <c r="F20" i="19" s="1"/>
  <c r="D11" i="23" s="1"/>
  <c r="E11" i="23" s="1"/>
  <c r="O4" i="22"/>
  <c r="M19" i="22"/>
  <c r="M18" i="22"/>
  <c r="M4" i="22"/>
  <c r="H11" i="22"/>
  <c r="H10" i="22"/>
  <c r="H9" i="22"/>
  <c r="H8" i="22"/>
  <c r="H7" i="22"/>
  <c r="H6" i="22"/>
  <c r="H5" i="22"/>
  <c r="H4" i="22"/>
  <c r="H23" i="22"/>
  <c r="H22" i="22"/>
  <c r="H21" i="22"/>
  <c r="H20" i="22"/>
  <c r="H19" i="22"/>
  <c r="H18" i="22"/>
  <c r="H17" i="22"/>
  <c r="G12" i="22" l="1"/>
  <c r="M9" i="22" s="1"/>
  <c r="C12" i="22"/>
  <c r="G24" i="22"/>
  <c r="O9" i="22" s="1"/>
  <c r="C24" i="22"/>
  <c r="H12" i="22" l="1"/>
  <c r="M10" i="22" s="1"/>
  <c r="H24" i="22"/>
  <c r="O10" i="22" s="1"/>
  <c r="U21" i="19"/>
  <c r="D20" i="21"/>
  <c r="E11" i="19"/>
  <c r="E5" i="21"/>
  <c r="H7" i="21"/>
  <c r="H6" i="21"/>
  <c r="R26" i="21"/>
  <c r="Q26" i="21"/>
  <c r="N29" i="21"/>
  <c r="R27" i="21" s="1"/>
  <c r="N28" i="21"/>
  <c r="M29" i="21"/>
  <c r="M28" i="21"/>
  <c r="Q27" i="21" s="1"/>
  <c r="H16" i="21" l="1"/>
  <c r="P18" i="18" s="1"/>
  <c r="T18" i="18" s="1"/>
  <c r="G25" i="21"/>
  <c r="U32" i="19" s="1"/>
  <c r="F25" i="21"/>
  <c r="T32" i="19" s="1"/>
  <c r="E25" i="21"/>
  <c r="R28" i="21"/>
  <c r="G7" i="21" s="1"/>
  <c r="F16" i="21"/>
  <c r="C8" i="18" s="1"/>
  <c r="G8" i="18" s="1"/>
  <c r="G6" i="21"/>
  <c r="G16" i="21" s="1"/>
  <c r="C18" i="18" s="1"/>
  <c r="G18" i="18" s="1"/>
  <c r="Q28" i="21"/>
  <c r="S32" i="19" l="1"/>
  <c r="V32" i="19"/>
  <c r="T19" i="18"/>
  <c r="T20" i="18"/>
  <c r="G19" i="18"/>
  <c r="G20" i="18"/>
  <c r="G6" i="18"/>
  <c r="U31" i="19"/>
  <c r="V31" i="19" s="1"/>
  <c r="S31" i="19"/>
  <c r="U30" i="19"/>
  <c r="T30" i="19"/>
  <c r="S30" i="19"/>
  <c r="U27" i="19"/>
  <c r="V27" i="19" s="1"/>
  <c r="T27" i="19"/>
  <c r="S27" i="19"/>
  <c r="U26" i="19"/>
  <c r="V26" i="19" s="1"/>
  <c r="T26" i="19"/>
  <c r="S26" i="19"/>
  <c r="E19" i="19" s="1"/>
  <c r="U25" i="19"/>
  <c r="V25" i="19" s="1"/>
  <c r="S25" i="19"/>
  <c r="U24" i="19"/>
  <c r="V24" i="19" s="1"/>
  <c r="T24" i="19"/>
  <c r="S24" i="19"/>
  <c r="T21" i="19"/>
  <c r="S21" i="19"/>
  <c r="U19" i="19"/>
  <c r="T19" i="19"/>
  <c r="S19" i="19"/>
  <c r="F17" i="19" s="1"/>
  <c r="U18" i="19"/>
  <c r="E13" i="19" l="1"/>
  <c r="T25" i="19"/>
  <c r="D23" i="19"/>
  <c r="T31" i="19"/>
  <c r="E6" i="19"/>
  <c r="N8" i="22"/>
  <c r="O8" i="22" s="1"/>
  <c r="N7" i="22"/>
  <c r="O7" i="22" s="1"/>
  <c r="N6" i="22"/>
  <c r="O6" i="22" s="1"/>
  <c r="L7" i="22"/>
  <c r="M7" i="22" s="1"/>
  <c r="L6" i="22"/>
  <c r="M6" i="22" s="1"/>
  <c r="L8" i="22"/>
  <c r="M8" i="22" s="1"/>
  <c r="U22" i="19"/>
  <c r="T22" i="19"/>
  <c r="U23" i="19"/>
  <c r="V23" i="19" s="1"/>
  <c r="S23" i="19"/>
  <c r="S22" i="19"/>
  <c r="G20" i="19" l="1"/>
  <c r="K7" i="23"/>
  <c r="F15" i="19"/>
  <c r="G17" i="19"/>
  <c r="T23" i="19"/>
  <c r="D27" i="19" s="1"/>
  <c r="K12" i="23" s="1"/>
  <c r="M11" i="22"/>
  <c r="I10" i="23" s="1"/>
  <c r="O11" i="22"/>
  <c r="U17" i="19"/>
  <c r="T17" i="19"/>
  <c r="S17" i="19"/>
  <c r="D13" i="19" s="1"/>
  <c r="E27" i="19"/>
  <c r="E23" i="19"/>
  <c r="E21" i="19"/>
  <c r="E14" i="19"/>
  <c r="G7" i="19"/>
  <c r="S23" i="18"/>
  <c r="U28" i="19" s="1"/>
  <c r="F24" i="18"/>
  <c r="T28" i="19" s="1"/>
  <c r="F9" i="18"/>
  <c r="S28" i="19" s="1"/>
  <c r="T22" i="18"/>
  <c r="T21" i="18"/>
  <c r="T17" i="18"/>
  <c r="T16" i="18"/>
  <c r="T15" i="18"/>
  <c r="G23" i="18"/>
  <c r="G21" i="18"/>
  <c r="G17" i="18"/>
  <c r="G16" i="18"/>
  <c r="G15" i="18"/>
  <c r="G5" i="18"/>
  <c r="G4" i="18"/>
  <c r="F16" i="19" l="1"/>
  <c r="G16" i="19" s="1"/>
  <c r="K8" i="23"/>
  <c r="G15" i="19"/>
  <c r="C9" i="23"/>
  <c r="D9" i="23"/>
  <c r="E9" i="23" s="1"/>
  <c r="F18" i="19"/>
  <c r="D6" i="19"/>
  <c r="D12" i="19"/>
  <c r="F14" i="19"/>
  <c r="F27" i="19"/>
  <c r="D17" i="23" s="1"/>
  <c r="E17" i="23" s="1"/>
  <c r="F12" i="19" l="1"/>
  <c r="G12" i="19" s="1"/>
  <c r="K6" i="23"/>
  <c r="D19" i="19"/>
  <c r="D11" i="19" s="1"/>
  <c r="K4" i="23" s="1"/>
  <c r="K3" i="23"/>
  <c r="G14" i="19"/>
  <c r="C7" i="23"/>
  <c r="D7" i="23"/>
  <c r="E7" i="23" s="1"/>
  <c r="G27" i="19"/>
  <c r="C5" i="23"/>
  <c r="G18" i="19"/>
  <c r="C13" i="23"/>
  <c r="D13" i="23"/>
  <c r="E13" i="23" s="1"/>
  <c r="F19" i="19"/>
  <c r="F13" i="19"/>
  <c r="T23" i="18"/>
  <c r="U29" i="19" s="1"/>
  <c r="P23" i="18"/>
  <c r="G24" i="18"/>
  <c r="T29" i="19" s="1"/>
  <c r="C24" i="18"/>
  <c r="G9" i="18"/>
  <c r="S29" i="19" s="1"/>
  <c r="F29" i="19" s="1"/>
  <c r="C9" i="18"/>
  <c r="D5" i="23" l="1"/>
  <c r="E5" i="23" s="1"/>
  <c r="G29" i="19"/>
  <c r="D18" i="23"/>
  <c r="C18" i="23"/>
  <c r="G13" i="19"/>
  <c r="C8" i="23"/>
  <c r="D8" i="23"/>
  <c r="G19" i="19"/>
  <c r="D10" i="23"/>
  <c r="E10" i="23" s="1"/>
  <c r="C10" i="23"/>
  <c r="F11" i="19"/>
  <c r="L10" i="19" l="1"/>
  <c r="L11" i="19"/>
  <c r="M10" i="19"/>
  <c r="N5" i="19"/>
  <c r="N7" i="19"/>
  <c r="O8" i="19"/>
  <c r="O7" i="19"/>
  <c r="L5" i="19"/>
  <c r="L6" i="19"/>
  <c r="M5" i="19"/>
  <c r="M8" i="19"/>
  <c r="N8" i="19"/>
  <c r="K10" i="19"/>
  <c r="K11" i="19"/>
  <c r="O9" i="19"/>
  <c r="L7" i="19"/>
  <c r="L8" i="19"/>
  <c r="N6" i="19"/>
  <c r="O5" i="19"/>
  <c r="M11" i="19"/>
  <c r="M9" i="19"/>
  <c r="K9" i="19"/>
  <c r="O6" i="19"/>
  <c r="M7" i="19"/>
  <c r="K5" i="19"/>
  <c r="K6" i="19"/>
  <c r="N9" i="19"/>
  <c r="L9" i="19"/>
  <c r="O11" i="19"/>
  <c r="N10" i="19"/>
  <c r="K8" i="19"/>
  <c r="M6" i="19"/>
  <c r="N11" i="19"/>
  <c r="O10" i="19"/>
  <c r="K7" i="19"/>
  <c r="E18" i="23"/>
  <c r="D4" i="23"/>
  <c r="E8" i="23"/>
  <c r="G11" i="19"/>
  <c r="I56" i="19"/>
  <c r="F6" i="19"/>
  <c r="G6" i="19" l="1"/>
  <c r="D3" i="23"/>
  <c r="C6" i="23"/>
  <c r="C4" i="23"/>
  <c r="D6" i="23"/>
  <c r="E6" i="23" s="1"/>
  <c r="E4" i="23"/>
  <c r="F21" i="19"/>
  <c r="F23" i="19" s="1"/>
  <c r="F8" i="19"/>
  <c r="K14" i="23" l="1"/>
  <c r="K15" i="23"/>
  <c r="E3" i="23"/>
  <c r="D12" i="23"/>
  <c r="E12" i="23" s="1"/>
  <c r="C12" i="23"/>
  <c r="C3" i="23"/>
  <c r="G8" i="19"/>
  <c r="G21" i="19"/>
  <c r="G23" i="19"/>
  <c r="F28" i="19"/>
  <c r="D19" i="23" s="1"/>
  <c r="D20" i="23" s="1"/>
  <c r="D21" i="19"/>
  <c r="F24" i="19" l="1"/>
  <c r="G28" i="19"/>
  <c r="E19" i="23"/>
  <c r="E20" i="23" s="1"/>
  <c r="C19" i="23"/>
  <c r="C20" i="23" s="1"/>
  <c r="F30" i="19"/>
  <c r="G30" i="19" s="1"/>
  <c r="K13" i="23" l="1"/>
  <c r="G24" i="19"/>
  <c r="C15" i="23"/>
  <c r="D16" i="23"/>
  <c r="D15" i="23"/>
  <c r="E15" i="23" s="1"/>
  <c r="F34" i="19"/>
  <c r="G34" i="19" s="1"/>
  <c r="F32" i="19"/>
  <c r="D21" i="23" l="1"/>
  <c r="D26" i="23" s="1"/>
  <c r="F37" i="19"/>
  <c r="E16" i="23"/>
  <c r="D22" i="23"/>
  <c r="E22" i="23" s="1"/>
  <c r="C16" i="23"/>
  <c r="C22" i="23"/>
  <c r="F36" i="19"/>
  <c r="C21" i="23"/>
  <c r="G32" i="19"/>
  <c r="G36" i="19" s="1"/>
  <c r="F38" i="19"/>
  <c r="F35" i="19"/>
  <c r="G35" i="19" s="1"/>
  <c r="D24" i="23" l="1"/>
  <c r="E24" i="23" s="1"/>
  <c r="E21" i="23"/>
  <c r="D23" i="23"/>
  <c r="E23" i="23" s="1"/>
  <c r="D25" i="23"/>
  <c r="C24" i="23"/>
  <c r="C23"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tc={4944EF6F-E424-4C43-9010-A887169B75BE}</author>
  </authors>
  <commentList>
    <comment ref="H2" authorId="0" shapeId="0" xr:uid="{4944EF6F-E424-4C43-9010-A887169B75BE}">
      <text>
        <t>[Threaded comment]
Your version of Excel allows you to read this threaded comment; however, any edits to it will get removed if the file is opened in a newer version of Excel. Learn more: https://go.microsoft.com/fwlink/?linkid=870924
Comment:
    Labor requirement represents the total hours required to process the birds times the number of persons working in the processing line.</t>
      </text>
    </comment>
  </commentList>
</comments>
</file>

<file path=xl/sharedStrings.xml><?xml version="1.0" encoding="utf-8"?>
<sst xmlns="http://schemas.openxmlformats.org/spreadsheetml/2006/main" count="552" uniqueCount="371">
  <si>
    <t>This worksheet is for educational purposes only and the user assumes all risks associated with its use.</t>
  </si>
  <si>
    <t>Input assumptions</t>
  </si>
  <si>
    <t>Technical parameters</t>
  </si>
  <si>
    <t>Unit</t>
  </si>
  <si>
    <t>Value</t>
  </si>
  <si>
    <t>Prices</t>
  </si>
  <si>
    <t>All budgets</t>
  </si>
  <si>
    <t>$ per ton</t>
  </si>
  <si>
    <t>Death loss</t>
  </si>
  <si>
    <t>$ per pound</t>
  </si>
  <si>
    <t>Labor</t>
  </si>
  <si>
    <t>$ per hour</t>
  </si>
  <si>
    <t>Operating interest</t>
  </si>
  <si>
    <t>$ per head</t>
  </si>
  <si>
    <t>Hours</t>
  </si>
  <si>
    <t xml:space="preserve">Vet, medicine </t>
  </si>
  <si>
    <t>Identities</t>
  </si>
  <si>
    <t>Corn (pounds/bushel)</t>
  </si>
  <si>
    <t>Units</t>
  </si>
  <si>
    <t>Quantity</t>
  </si>
  <si>
    <t>Price per unit</t>
  </si>
  <si>
    <t>Income</t>
  </si>
  <si>
    <t>Total income</t>
  </si>
  <si>
    <t>Operating costs</t>
  </si>
  <si>
    <t>Veterinary and medicine</t>
  </si>
  <si>
    <t>Utilities and fuel</t>
  </si>
  <si>
    <t>Facility repair and maintenance</t>
  </si>
  <si>
    <t>Marketing and miscellaneous</t>
  </si>
  <si>
    <t>Months</t>
  </si>
  <si>
    <t>Total operating costs</t>
  </si>
  <si>
    <t>Ownership costs</t>
  </si>
  <si>
    <t>Taxes and insurance</t>
  </si>
  <si>
    <t>Total ownership costs</t>
  </si>
  <si>
    <t>Total costs</t>
  </si>
  <si>
    <t>weeks</t>
  </si>
  <si>
    <t>percent</t>
  </si>
  <si>
    <t>Other income</t>
  </si>
  <si>
    <t>Total</t>
  </si>
  <si>
    <t>% of revenue</t>
  </si>
  <si>
    <t>Production model</t>
  </si>
  <si>
    <t>Small broiler</t>
  </si>
  <si>
    <t>Turkey</t>
  </si>
  <si>
    <t>https://mobilechickenhouse.com/product/mobile-chicken-house-model-650/</t>
  </si>
  <si>
    <t>Item</t>
  </si>
  <si>
    <t>Price</t>
  </si>
  <si>
    <t>Lifespan</t>
  </si>
  <si>
    <t>Salvage value</t>
  </si>
  <si>
    <t>Annual ownership cost</t>
  </si>
  <si>
    <t>Annual repair costs</t>
  </si>
  <si>
    <t>Water trailer</t>
  </si>
  <si>
    <t>ATV*</t>
  </si>
  <si>
    <t>*50% of $6000 ATV</t>
  </si>
  <si>
    <t>100 broiler mobile house</t>
  </si>
  <si>
    <t>UTV*</t>
  </si>
  <si>
    <t>*75% of $14,500 UTV</t>
  </si>
  <si>
    <t>700 broiler mobile house</t>
  </si>
  <si>
    <t>Feed trailer</t>
  </si>
  <si>
    <t>Feed bin</t>
  </si>
  <si>
    <t>Replacement birds</t>
  </si>
  <si>
    <t>Meat bird sale price</t>
  </si>
  <si>
    <t>$ per bird</t>
  </si>
  <si>
    <t>Finish weight</t>
  </si>
  <si>
    <t>Meat chickens</t>
  </si>
  <si>
    <t>Insurance on facilities and equipment</t>
  </si>
  <si>
    <t>% of value</t>
  </si>
  <si>
    <t>Number of Birds</t>
  </si>
  <si>
    <t>Bagged feed</t>
  </si>
  <si>
    <t>$ per bag</t>
  </si>
  <si>
    <t>Pounds of feed per bag</t>
  </si>
  <si>
    <t>Days per year</t>
  </si>
  <si>
    <t>hours per week</t>
  </si>
  <si>
    <t>Labor requirement</t>
  </si>
  <si>
    <t>% of gross revenue</t>
  </si>
  <si>
    <t>Taxes</t>
  </si>
  <si>
    <t>Facilities and equipment ownership</t>
  </si>
  <si>
    <t>Land costs</t>
  </si>
  <si>
    <t>Land usage</t>
  </si>
  <si>
    <t>$ per acre</t>
  </si>
  <si>
    <t>acres</t>
  </si>
  <si>
    <t>$ per year</t>
  </si>
  <si>
    <t>Fuel and Utilities - small scale</t>
  </si>
  <si>
    <t>Fuel and Utilities - medium scale</t>
  </si>
  <si>
    <t>Poultry sales</t>
  </si>
  <si>
    <t>Fuel and electricity</t>
  </si>
  <si>
    <t>Birds</t>
  </si>
  <si>
    <t>Use season</t>
  </si>
  <si>
    <t>Turns</t>
  </si>
  <si>
    <t>days</t>
  </si>
  <si>
    <t>Cleaning and repair per turn</t>
  </si>
  <si>
    <t>Chicks</t>
  </si>
  <si>
    <t>Poults</t>
  </si>
  <si>
    <t>Feeding time per group</t>
  </si>
  <si>
    <t>Potential use season</t>
  </si>
  <si>
    <t>pounds</t>
  </si>
  <si>
    <t>Feed conversion ratio</t>
  </si>
  <si>
    <t>pounds feed to gain</t>
  </si>
  <si>
    <t>Bird purchase price</t>
  </si>
  <si>
    <t>Weeks per turn</t>
  </si>
  <si>
    <t>Poultry processing</t>
  </si>
  <si>
    <t>Veterinary</t>
  </si>
  <si>
    <t>Facility repair</t>
  </si>
  <si>
    <t>Facility and equipment ownership</t>
  </si>
  <si>
    <t>land requirement</t>
  </si>
  <si>
    <t>square feet</t>
  </si>
  <si>
    <t>Square feet per acre</t>
  </si>
  <si>
    <t>Days in tractor</t>
  </si>
  <si>
    <t>Whole carcass sale price</t>
  </si>
  <si>
    <t>Transport crates</t>
  </si>
  <si>
    <t>Trailer**</t>
  </si>
  <si>
    <t>**25% allocation of 7x14 stock trailer</t>
  </si>
  <si>
    <t>Transportation crates</t>
  </si>
  <si>
    <t>non cash expenses</t>
  </si>
  <si>
    <t>% of planned poultry sales</t>
  </si>
  <si>
    <t>% of expected price</t>
  </si>
  <si>
    <t>Source name</t>
  </si>
  <si>
    <t>Information provided</t>
  </si>
  <si>
    <t>Link</t>
  </si>
  <si>
    <t>Mobile Chicken house</t>
  </si>
  <si>
    <t>Housing information</t>
  </si>
  <si>
    <t>USDA AMS</t>
  </si>
  <si>
    <t>Primary feed ingredient pricing</t>
  </si>
  <si>
    <t>https://www.ams.usda.gov/market-news/livestock-poultry-grain</t>
  </si>
  <si>
    <t>Feed for less</t>
  </si>
  <si>
    <t>dicalcium phosphate</t>
  </si>
  <si>
    <t>https://feedsforless.com/products/dicalcium-phosphate-50-lb-bags?srsltid=AfmBOopJIQRj4Z4W0LXv8VKryqEjLV5174ITkIe5eEAZ0LxFiFlqAUa5</t>
  </si>
  <si>
    <t>Huber's animal health</t>
  </si>
  <si>
    <t>Feed lime pricing</t>
  </si>
  <si>
    <t>https://www.hubersanimalhealth.com/product/limestone-calcium-feed-grade-50-lb</t>
  </si>
  <si>
    <t>Kalmbach feeds</t>
  </si>
  <si>
    <t>https://www.kalmbachfeeds.com/products/44-poultry-supplement</t>
  </si>
  <si>
    <t>Vitamin supplement</t>
  </si>
  <si>
    <t>Bagged feeds</t>
  </si>
  <si>
    <t>Lelend mills</t>
  </si>
  <si>
    <t>https://lelandmills.com/collections/bulk-feeds</t>
  </si>
  <si>
    <t>Poultry producer</t>
  </si>
  <si>
    <t>Feed rations</t>
  </si>
  <si>
    <t>https://www.poultryproducer.com/poultry-rations-and-feeding-methods/</t>
  </si>
  <si>
    <t>Egg carton store</t>
  </si>
  <si>
    <t>Egg packaging material</t>
  </si>
  <si>
    <t>https://eggcartonstore.com/</t>
  </si>
  <si>
    <t>Land use</t>
  </si>
  <si>
    <t>https://homesteadingfamily.com/chicken-tractor-basics/</t>
  </si>
  <si>
    <t>https://www.sunnysidehatchery.com/pricing.aspx</t>
  </si>
  <si>
    <t>Penn State</t>
  </si>
  <si>
    <t>Budget examples</t>
  </si>
  <si>
    <t>https://extension.psu.edu/enterprise-budgeting-for-small-poultry-flocks</t>
  </si>
  <si>
    <t>Poultry price sensitivity - Return over total cost</t>
  </si>
  <si>
    <t>Medium broiler</t>
  </si>
  <si>
    <t>Per turn</t>
  </si>
  <si>
    <t>check formula to match above</t>
  </si>
  <si>
    <t>Brooder box</t>
  </si>
  <si>
    <t>https://extension.colostate.edu/topic-areas/agriculture/brooding-and-space-requirements-for-poultry-2-502/</t>
  </si>
  <si>
    <t>700 chick</t>
  </si>
  <si>
    <t>linear feet</t>
  </si>
  <si>
    <t>1/2" plywood</t>
  </si>
  <si>
    <t>unit</t>
  </si>
  <si>
    <t>waste %</t>
  </si>
  <si>
    <t>each</t>
  </si>
  <si>
    <t>Heat lamps</t>
  </si>
  <si>
    <t>In-line thermostat</t>
  </si>
  <si>
    <t>Hinges</t>
  </si>
  <si>
    <t>https://openknowledge.fao.org/server/api/core/bitstreams/73edfce9-c9a1-4814-b907-d86917967ed3/content</t>
  </si>
  <si>
    <t>https://cals.ncsu.edu/agricultural-and-resource-economics/wp-content/uploads/sites/46/2024/06/Organic_broilers_Small.xlsx</t>
  </si>
  <si>
    <t>Large brooder design</t>
  </si>
  <si>
    <t>https://www.uog.edu/_resources/files/extension/publications/Poultry_Production_Guide.pdf</t>
  </si>
  <si>
    <t>1 layer 4x8</t>
  </si>
  <si>
    <t>2 layer</t>
  </si>
  <si>
    <t>Bell waterers</t>
  </si>
  <si>
    <t>small building</t>
  </si>
  <si>
    <t xml:space="preserve">CLICK HERE TO RETURN TO YOUR DESIGN </t>
  </si>
  <si>
    <t>large building</t>
  </si>
  <si>
    <t>https://agriculture.mo.gov/weights/device/pdf/Sales-of-Eggs-and-Licensing-FAQ%27S.pdf</t>
  </si>
  <si>
    <t>12'x20' building</t>
  </si>
  <si>
    <t>16 x 24 building</t>
  </si>
  <si>
    <t>legs</t>
  </si>
  <si>
    <t>second tier</t>
  </si>
  <si>
    <t>small</t>
  </si>
  <si>
    <t>big</t>
  </si>
  <si>
    <t>width</t>
  </si>
  <si>
    <t>length</t>
  </si>
  <si>
    <t>sections</t>
  </si>
  <si>
    <t>per each</t>
  </si>
  <si>
    <t>studs</t>
  </si>
  <si>
    <t>decking</t>
  </si>
  <si>
    <t>4" PVC feeders</t>
  </si>
  <si>
    <t>per foot</t>
  </si>
  <si>
    <t>heat boxes</t>
  </si>
  <si>
    <t>HB frame</t>
  </si>
  <si>
    <t>HB sheeting</t>
  </si>
  <si>
    <t>Supplemental heat</t>
  </si>
  <si>
    <t>Ventilation fan</t>
  </si>
  <si>
    <t>Construction labor</t>
  </si>
  <si>
    <t>hours</t>
  </si>
  <si>
    <t>Brooder house</t>
  </si>
  <si>
    <t>100 chick</t>
  </si>
  <si>
    <t>Chick to full size</t>
  </si>
  <si>
    <t>Brooder time</t>
  </si>
  <si>
    <t>Brooding time</t>
  </si>
  <si>
    <t>Brooder Construction Costs</t>
  </si>
  <si>
    <t>Poultry wire</t>
  </si>
  <si>
    <t>2x4 lumber</t>
  </si>
  <si>
    <t>Packaged building materials</t>
  </si>
  <si>
    <t>Total per year</t>
  </si>
  <si>
    <t>Starter feed</t>
  </si>
  <si>
    <t>Ounces per pound</t>
  </si>
  <si>
    <t>Days per week</t>
  </si>
  <si>
    <t>50 lb bags</t>
  </si>
  <si>
    <t>Shavings</t>
  </si>
  <si>
    <t>Heat bulbs</t>
  </si>
  <si>
    <t>Electricity</t>
  </si>
  <si>
    <t>Miscellaneous</t>
  </si>
  <si>
    <t>Bundles</t>
  </si>
  <si>
    <t>bulbs</t>
  </si>
  <si>
    <t>$</t>
  </si>
  <si>
    <t>kWh per week</t>
  </si>
  <si>
    <t>Brooder Operating Costs, per week</t>
  </si>
  <si>
    <t>Brooder operating costs</t>
  </si>
  <si>
    <t>$/year</t>
  </si>
  <si>
    <t xml:space="preserve">Marketing expenses </t>
  </si>
  <si>
    <t>Brooder weekly operating</t>
  </si>
  <si>
    <t>Small homemade tractor construction costs</t>
  </si>
  <si>
    <t>100 broiler</t>
  </si>
  <si>
    <t>Tarpaulin sheeting</t>
  </si>
  <si>
    <t>Nest boxes</t>
  </si>
  <si>
    <t>total</t>
  </si>
  <si>
    <t>HenGear</t>
  </si>
  <si>
    <t>nesting box for small layer</t>
  </si>
  <si>
    <t>https://hengear.com/products/x-large-rollout-nest-box-reversible</t>
  </si>
  <si>
    <t>chickens are some type of cornish cross, not specific</t>
  </si>
  <si>
    <t>Inspections and licensing</t>
  </si>
  <si>
    <t>Missouri Dpt of ag</t>
  </si>
  <si>
    <t>Licensing for eggs</t>
  </si>
  <si>
    <t>The Poultry Site</t>
  </si>
  <si>
    <t>Turkey Feeding Data</t>
  </si>
  <si>
    <t>https://www.thepoultrysite.com/articles/turkey-feeding-and-nutrition</t>
  </si>
  <si>
    <t>Breeds</t>
  </si>
  <si>
    <t>Leghorn cross layers</t>
  </si>
  <si>
    <t>Cornish cross broilers</t>
  </si>
  <si>
    <t>week of empty time in brooder</t>
  </si>
  <si>
    <t>Small broiler operation investments</t>
  </si>
  <si>
    <t>Medium broiler operation investments</t>
  </si>
  <si>
    <t>Medium capacity on-farm processing unit</t>
  </si>
  <si>
    <t>Receiving table (after plucker)</t>
  </si>
  <si>
    <t>Evisceration Table</t>
  </si>
  <si>
    <t>Ice machine 199 lbs/day</t>
  </si>
  <si>
    <t>40 qt stock pot  w/ spigot for heat shrink bags</t>
  </si>
  <si>
    <t>30 lb Propane tanks</t>
  </si>
  <si>
    <t>30 CuFt freezers</t>
  </si>
  <si>
    <t>Kill cones</t>
  </si>
  <si>
    <t>Scalder</t>
  </si>
  <si>
    <t>Kill cones, Scalder, plucker, chill tank - mobile unit</t>
  </si>
  <si>
    <t>Evisceration table</t>
  </si>
  <si>
    <t>Ice machine</t>
  </si>
  <si>
    <t>40 quart stock pot w/ spigot for heat shrink bags</t>
  </si>
  <si>
    <t>30 lb propane tanks</t>
  </si>
  <si>
    <t>24 CuFt freezer</t>
  </si>
  <si>
    <t>Plucker</t>
  </si>
  <si>
    <t>Medium broiler processing investments</t>
  </si>
  <si>
    <t>Small broiler processing investments</t>
  </si>
  <si>
    <t>Small capacity on-farm processing unit</t>
  </si>
  <si>
    <t>Energy</t>
  </si>
  <si>
    <t>Labels</t>
  </si>
  <si>
    <t>Processing operating costs</t>
  </si>
  <si>
    <t>100 birds per day</t>
  </si>
  <si>
    <t>350 birds per day</t>
  </si>
  <si>
    <t>Cost</t>
  </si>
  <si>
    <t>kWh</t>
  </si>
  <si>
    <t>Each</t>
  </si>
  <si>
    <t>Annual cost</t>
  </si>
  <si>
    <t>Electricity cost</t>
  </si>
  <si>
    <t>$ per kWh</t>
  </si>
  <si>
    <t>Package size</t>
  </si>
  <si>
    <t>Unit cost</t>
  </si>
  <si>
    <t>Packaging</t>
  </si>
  <si>
    <t>Processing type</t>
  </si>
  <si>
    <t>Repair</t>
  </si>
  <si>
    <t>On-farm</t>
  </si>
  <si>
    <t>Custom</t>
  </si>
  <si>
    <t>Transportation</t>
  </si>
  <si>
    <t>$ per mile</t>
  </si>
  <si>
    <t>Miles</t>
  </si>
  <si>
    <t>Tatijana Fisher - Lincoln University</t>
  </si>
  <si>
    <t>Custom processing</t>
  </si>
  <si>
    <t>Heritage Turkeys</t>
  </si>
  <si>
    <t>Ice</t>
  </si>
  <si>
    <t>$/pound</t>
  </si>
  <si>
    <t>Dressing percentage</t>
  </si>
  <si>
    <t>% of live weight</t>
  </si>
  <si>
    <t>Finished live weight</t>
  </si>
  <si>
    <t>Bulk delivery feed</t>
  </si>
  <si>
    <t>Heritage turkey</t>
  </si>
  <si>
    <t>Broilers</t>
  </si>
  <si>
    <t>Small turkey operation investments</t>
  </si>
  <si>
    <t>Medium turkey operation investments</t>
  </si>
  <si>
    <t>Turkeys</t>
  </si>
  <si>
    <t>275 turkey mobile house</t>
  </si>
  <si>
    <t>275 turkey</t>
  </si>
  <si>
    <t>Medium turkey</t>
  </si>
  <si>
    <t>Small turkey</t>
  </si>
  <si>
    <t>Custom processing cost</t>
  </si>
  <si>
    <t xml:space="preserve">      </t>
  </si>
  <si>
    <t>Labor requirement, hours per week</t>
  </si>
  <si>
    <t>Feeding and watering</t>
  </si>
  <si>
    <t>Tractor moving</t>
  </si>
  <si>
    <t>Other production tasks</t>
  </si>
  <si>
    <t>Administrative and management</t>
  </si>
  <si>
    <t>100 bird</t>
  </si>
  <si>
    <t>700 bird</t>
  </si>
  <si>
    <t>40 turkey</t>
  </si>
  <si>
    <t>Brooder operation</t>
  </si>
  <si>
    <t>Processing operation</t>
  </si>
  <si>
    <t>check turkey vlookups for flock size and price</t>
  </si>
  <si>
    <t>chickens per turn</t>
  </si>
  <si>
    <t>man-hours per turn</t>
  </si>
  <si>
    <t>Brooder feed consumption</t>
  </si>
  <si>
    <t>ounces per day</t>
  </si>
  <si>
    <t>Pounds</t>
  </si>
  <si>
    <t>Breakeven total cost per pound</t>
  </si>
  <si>
    <t>Mobile Poultry for Meat Budget</t>
  </si>
  <si>
    <t>Income over operating costs</t>
  </si>
  <si>
    <t>Income over total costs</t>
  </si>
  <si>
    <t>Return to labor and investment</t>
  </si>
  <si>
    <t>https://spnusa.com/assets/heritageturkeysdefined.pdf</t>
  </si>
  <si>
    <t>and Heather Conrow, University of Missouri Extension</t>
  </si>
  <si>
    <t>Developed by: Drew Kientzy, Jennifer Lutes, Eric Meusch,</t>
  </si>
  <si>
    <t>Annual total, 100 broiler</t>
  </si>
  <si>
    <t>Total per turn, 100 broiler</t>
  </si>
  <si>
    <t>Annual total, 700 broiler</t>
  </si>
  <si>
    <t>Total per turn, 700 broiler</t>
  </si>
  <si>
    <t>Processed chicken sales</t>
  </si>
  <si>
    <t>Grower feed</t>
  </si>
  <si>
    <t>Total feed cost</t>
  </si>
  <si>
    <t>Purchased chicks</t>
  </si>
  <si>
    <t>Marketing</t>
  </si>
  <si>
    <t>Total cost</t>
  </si>
  <si>
    <t>Total operating cost</t>
  </si>
  <si>
    <t>Income over operating cost</t>
  </si>
  <si>
    <t>Income over total cost</t>
  </si>
  <si>
    <t>Breakeven price, $ per pound</t>
  </si>
  <si>
    <t>Table 3. Costs and returns to mobile broiler enterprise with on-farm processing</t>
  </si>
  <si>
    <t>Processing expenses</t>
  </si>
  <si>
    <t>Maintenance, fuel and utilities</t>
  </si>
  <si>
    <t>Table 4. Inputs used in mobile broiler budget</t>
  </si>
  <si>
    <t>Input</t>
  </si>
  <si>
    <t>Cost per unit</t>
  </si>
  <si>
    <t>100 broiler quantity</t>
  </si>
  <si>
    <t>700 broiler quantity</t>
  </si>
  <si>
    <t>Whole carcass sales</t>
  </si>
  <si>
    <t>Bulk feed</t>
  </si>
  <si>
    <t>On-farm processing</t>
  </si>
  <si>
    <t>Land expense</t>
  </si>
  <si>
    <t>Interest rate</t>
  </si>
  <si>
    <t>Marketing expenses</t>
  </si>
  <si>
    <t>Day old chicks</t>
  </si>
  <si>
    <t>per ton</t>
  </si>
  <si>
    <t>per mile</t>
  </si>
  <si>
    <t>per broiler</t>
  </si>
  <si>
    <t>percent APR</t>
  </si>
  <si>
    <t>percent of revenue</t>
  </si>
  <si>
    <t>Chicks/poults</t>
  </si>
  <si>
    <t>Land use charge</t>
  </si>
  <si>
    <t>Total ownership cost</t>
  </si>
  <si>
    <t>Must select "medium" when updating guide, select small and paste values only to update annual total, 100 broiler column</t>
  </si>
  <si>
    <t>Breakeven price in $ per pound, less labor and facility cost</t>
  </si>
  <si>
    <t>Breakeven cost per pound, without labor and facilities</t>
  </si>
  <si>
    <t>annual cost per bird</t>
  </si>
  <si>
    <t>Mobile Laying Hen Planning Budget (extension.missouri.edu/publications/g741)</t>
  </si>
  <si>
    <t>Mobile Poultry for Meat Planning Budget (extension.missouri.edu/publications/g742)</t>
  </si>
  <si>
    <t>New 9/2025</t>
  </si>
  <si>
    <t>Google Sheet - Mobile Poultry for Meat Budget (muext.us/MobilePoultrySheet)</t>
  </si>
  <si>
    <t>Develop a custom enterprise budget for pasture-raised poultry in mobile houses. Navigate the tabs at the bottom of the window use the tool. Enter or modify grey filled cells to customize the budget to fit your operation. If you cannot use Microsoft Excel spreadsheets on your device, use the first link below to access this budget as a Google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</si>
</sst>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
    <numFmt numFmtId="167" formatCode="_(* #,##0_);_(* \(#,##0\);_(* &quot;-&quot;??_);_(@_)"/>
    <numFmt numFmtId="168" formatCode="_(* #,##0.0_);_(* \(#,##0.0\);_(* &quot;-&quot;??_);_(@_)"/>
  </numFmts>
  <fonts count="35">
    <font>
      <sz val="11"/>
      <color theme="1"/>
      <name val="Segoe UI"/>
      <family val="2"/>
      <scheme val="minor"/>
    </font>
    <font>
      <sz val="10"/>
      <name val="TimesNewRomanPS"/>
    </font>
    <font>
      <sz val="11"/>
      <color theme="1"/>
      <name val="Segoe UI"/>
      <family val="2"/>
      <scheme val="minor"/>
    </font>
    <font>
      <b/>
      <sz val="11"/>
      <color rgb="FF3F3F3F"/>
      <name val="Segoe UI"/>
      <family val="2"/>
      <scheme val="minor"/>
    </font>
    <font>
      <u/>
      <sz val="11"/>
      <color theme="10"/>
      <name val="Segoe UI"/>
      <family val="2"/>
      <scheme val="minor"/>
    </font>
    <font>
      <sz val="8"/>
      <name val="Segoe UI"/>
      <family val="2"/>
      <scheme val="minor"/>
    </font>
    <font>
      <sz val="11"/>
      <color theme="1"/>
      <name val="Aptos"/>
      <family val="2"/>
    </font>
    <font>
      <u/>
      <sz val="11"/>
      <color theme="10"/>
      <name val="Aptos"/>
      <family val="2"/>
    </font>
    <font>
      <sz val="11"/>
      <name val="Aptos"/>
      <family val="2"/>
    </font>
    <font>
      <b/>
      <sz val="12"/>
      <color rgb="FFF1B82D"/>
      <name val="Aptos"/>
      <family val="2"/>
    </font>
    <font>
      <sz val="12"/>
      <color theme="1"/>
      <name val="Aptos"/>
      <family val="2"/>
    </font>
    <font>
      <b/>
      <sz val="12"/>
      <name val="Aptos"/>
      <family val="2"/>
    </font>
    <font>
      <b/>
      <sz val="12"/>
      <color theme="1"/>
      <name val="Aptos"/>
      <family val="2"/>
    </font>
    <font>
      <sz val="12"/>
      <name val="Aptos"/>
      <family val="2"/>
    </font>
    <font>
      <b/>
      <sz val="12"/>
      <color rgb="FF3F3F3F"/>
      <name val="Aptos"/>
      <family val="2"/>
    </font>
    <font>
      <b/>
      <sz val="11"/>
      <color rgb="FFF1B82D"/>
      <name val="Aptos"/>
      <family val="2"/>
    </font>
    <font>
      <b/>
      <sz val="11"/>
      <name val="Aptos"/>
      <family val="2"/>
    </font>
    <font>
      <sz val="11"/>
      <color indexed="8"/>
      <name val="Aptos"/>
      <family val="2"/>
    </font>
    <font>
      <u/>
      <sz val="11"/>
      <color indexed="8"/>
      <name val="Aptos"/>
      <family val="2"/>
    </font>
    <font>
      <b/>
      <sz val="11"/>
      <color indexed="8"/>
      <name val="Aptos"/>
      <family val="2"/>
    </font>
    <font>
      <b/>
      <sz val="11"/>
      <color rgb="FFFFC000"/>
      <name val="Segoe UI"/>
      <family val="2"/>
      <scheme val="minor"/>
    </font>
    <font>
      <b/>
      <sz val="14"/>
      <color rgb="FFFFC000"/>
      <name val="Aptos"/>
      <family val="2"/>
    </font>
    <font>
      <sz val="11"/>
      <color rgb="FFFFC000"/>
      <name val="Aptos"/>
      <family val="2"/>
    </font>
    <font>
      <b/>
      <sz val="11"/>
      <color theme="1"/>
      <name val="Aptos"/>
      <family val="2"/>
    </font>
    <font>
      <sz val="11"/>
      <color theme="0"/>
      <name val="Aptos"/>
      <family val="2"/>
    </font>
    <font>
      <b/>
      <sz val="14"/>
      <color rgb="FFF1B82D"/>
      <name val="Aptos Black"/>
      <family val="2"/>
    </font>
    <font>
      <b/>
      <sz val="12"/>
      <color rgb="FFFFC000"/>
      <name val="Aptos"/>
      <family val="2"/>
    </font>
    <font>
      <b/>
      <sz val="16"/>
      <color rgb="FFF1B82D"/>
      <name val="Aptos Black"/>
      <family val="2"/>
    </font>
    <font>
      <b/>
      <sz val="11"/>
      <color rgb="FFFFC000"/>
      <name val="Aptos"/>
      <family val="2"/>
    </font>
    <font>
      <b/>
      <sz val="14"/>
      <color rgb="FFFFC000"/>
      <name val="Aptos Black"/>
      <family val="2"/>
    </font>
    <font>
      <u/>
      <sz val="11"/>
      <color theme="0"/>
      <name val="Aptos"/>
      <family val="2"/>
    </font>
    <font>
      <sz val="10"/>
      <color theme="1"/>
      <name val="Segoe UI"/>
      <family val="2"/>
      <scheme val="minor"/>
    </font>
    <font>
      <b/>
      <sz val="11"/>
      <color theme="1"/>
      <name val="Segoe UI"/>
      <family val="2"/>
      <scheme val="minor"/>
    </font>
    <font>
      <sz val="11"/>
      <color rgb="FFFFC000"/>
      <name val="Segoe UI"/>
      <family val="2"/>
      <scheme val="minor"/>
    </font>
    <font>
      <u/>
      <sz val="12"/>
      <color theme="10"/>
      <name val="Segoe UI"/>
      <family val="2"/>
      <scheme val="minor"/>
    </font>
  </fonts>
  <fills count="8">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rgb="FFF2F2F2"/>
      </patternFill>
    </fill>
    <fill>
      <patternFill patternType="solid">
        <fgColor theme="1"/>
        <bgColor indexed="64"/>
      </patternFill>
    </fill>
    <fill>
      <patternFill patternType="solid">
        <fgColor theme="4" tint="0.79998168889431442"/>
        <bgColor indexed="64"/>
      </patternFill>
    </fill>
    <fill>
      <patternFill patternType="solid">
        <fgColor rgb="FFFFC00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s>
  <cellStyleXfs count="8">
    <xf numFmtId="0" fontId="0" fillId="0" borderId="0"/>
    <xf numFmtId="0" fontId="1" fillId="0" borderId="0"/>
    <xf numFmtId="43" fontId="2" fillId="0" borderId="0" applyFont="0" applyFill="0" applyBorder="0" applyAlignment="0" applyProtection="0"/>
    <xf numFmtId="0" fontId="3" fillId="4" borderId="4" applyNumberFormat="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cellStyleXfs>
  <cellXfs count="318">
    <xf numFmtId="0" fontId="0" fillId="0" borderId="0" xfId="0"/>
    <xf numFmtId="0" fontId="6" fillId="0" borderId="0" xfId="0" applyFont="1"/>
    <xf numFmtId="0" fontId="7" fillId="0" borderId="0" xfId="7" applyFont="1"/>
    <xf numFmtId="0" fontId="10" fillId="0" borderId="0" xfId="0" applyFont="1"/>
    <xf numFmtId="0" fontId="11" fillId="0" borderId="2" xfId="1" applyFont="1" applyBorder="1" applyAlignment="1">
      <alignment horizontal="left"/>
    </xf>
    <xf numFmtId="0" fontId="12" fillId="0" borderId="2" xfId="0" applyFont="1" applyBorder="1"/>
    <xf numFmtId="0" fontId="11" fillId="0" borderId="2" xfId="1" applyFont="1" applyBorder="1" applyAlignment="1">
      <alignment horizontal="center"/>
    </xf>
    <xf numFmtId="0" fontId="10" fillId="0" borderId="1" xfId="0" applyFont="1" applyBorder="1"/>
    <xf numFmtId="9" fontId="13" fillId="2" borderId="1" xfId="5" applyFont="1" applyFill="1" applyBorder="1" applyAlignment="1" applyProtection="1">
      <alignment horizontal="right"/>
      <protection locked="0"/>
    </xf>
    <xf numFmtId="9" fontId="10" fillId="2" borderId="1" xfId="5" applyFont="1" applyFill="1" applyBorder="1"/>
    <xf numFmtId="0" fontId="10" fillId="2" borderId="0" xfId="0" applyFont="1" applyFill="1"/>
    <xf numFmtId="0" fontId="10" fillId="2" borderId="1" xfId="0" applyFont="1" applyFill="1" applyBorder="1"/>
    <xf numFmtId="0" fontId="13" fillId="0" borderId="0" xfId="0" applyFont="1" applyAlignment="1">
      <alignment vertical="center" wrapText="1"/>
    </xf>
    <xf numFmtId="164" fontId="10" fillId="2" borderId="1" xfId="6" applyNumberFormat="1" applyFont="1" applyFill="1" applyBorder="1"/>
    <xf numFmtId="9" fontId="10" fillId="2" borderId="0" xfId="5" applyFont="1" applyFill="1" applyBorder="1"/>
    <xf numFmtId="164" fontId="10" fillId="2" borderId="0" xfId="6" applyNumberFormat="1" applyFont="1" applyFill="1" applyBorder="1"/>
    <xf numFmtId="0" fontId="15" fillId="0" borderId="0" xfId="4" applyFont="1" applyAlignment="1">
      <alignment horizontal="center"/>
    </xf>
    <xf numFmtId="0" fontId="8" fillId="0" borderId="0" xfId="1" applyFont="1"/>
    <xf numFmtId="2" fontId="8" fillId="0" borderId="0" xfId="1" applyNumberFormat="1" applyFont="1" applyAlignment="1">
      <alignment horizontal="right"/>
    </xf>
    <xf numFmtId="0" fontId="8" fillId="2" borderId="0" xfId="1" applyFont="1" applyFill="1"/>
    <xf numFmtId="0" fontId="8" fillId="0" borderId="6" xfId="1" applyFont="1" applyBorder="1"/>
    <xf numFmtId="2" fontId="16" fillId="0" borderId="0" xfId="1" applyNumberFormat="1" applyFont="1" applyAlignment="1">
      <alignment horizontal="right"/>
    </xf>
    <xf numFmtId="0" fontId="8" fillId="0" borderId="12" xfId="1" applyFont="1" applyBorder="1"/>
    <xf numFmtId="0" fontId="16" fillId="0" borderId="2" xfId="1" applyFont="1" applyBorder="1" applyAlignment="1">
      <alignment horizontal="right"/>
    </xf>
    <xf numFmtId="2" fontId="16" fillId="0" borderId="2" xfId="1" applyNumberFormat="1" applyFont="1" applyBorder="1" applyAlignment="1">
      <alignment horizontal="right"/>
    </xf>
    <xf numFmtId="0" fontId="16" fillId="0" borderId="7" xfId="0" applyFont="1" applyBorder="1" applyAlignment="1">
      <alignment horizontal="right"/>
    </xf>
    <xf numFmtId="0" fontId="16" fillId="0" borderId="8" xfId="1" applyFont="1" applyBorder="1" applyAlignment="1">
      <alignment horizontal="left"/>
    </xf>
    <xf numFmtId="0" fontId="16" fillId="0" borderId="0" xfId="1" applyFont="1" applyAlignment="1">
      <alignment horizontal="right"/>
    </xf>
    <xf numFmtId="0" fontId="17" fillId="0" borderId="6" xfId="0" applyFont="1" applyBorder="1"/>
    <xf numFmtId="0" fontId="8" fillId="0" borderId="8" xfId="1" applyFont="1" applyBorder="1" applyAlignment="1">
      <alignment horizontal="left" indent="1"/>
    </xf>
    <xf numFmtId="0" fontId="8" fillId="0" borderId="0" xfId="1" applyFont="1" applyAlignment="1">
      <alignment horizontal="right"/>
    </xf>
    <xf numFmtId="166" fontId="8" fillId="0" borderId="0" xfId="1" applyNumberFormat="1" applyFont="1" applyAlignment="1" applyProtection="1">
      <alignment horizontal="right"/>
      <protection locked="0"/>
    </xf>
    <xf numFmtId="164" fontId="8" fillId="0" borderId="0" xfId="1" applyNumberFormat="1" applyFont="1" applyAlignment="1" applyProtection="1">
      <alignment horizontal="right"/>
      <protection locked="0"/>
    </xf>
    <xf numFmtId="164" fontId="8" fillId="0" borderId="0" xfId="1" applyNumberFormat="1" applyFont="1" applyAlignment="1">
      <alignment horizontal="right"/>
    </xf>
    <xf numFmtId="0" fontId="18" fillId="0" borderId="6" xfId="0" applyFont="1" applyBorder="1" applyAlignment="1">
      <alignment horizontal="right"/>
    </xf>
    <xf numFmtId="2" fontId="8" fillId="0" borderId="8" xfId="1" applyNumberFormat="1" applyFont="1" applyBorder="1" applyAlignment="1">
      <alignment horizontal="left" indent="1"/>
    </xf>
    <xf numFmtId="164" fontId="8" fillId="3" borderId="1" xfId="1" applyNumberFormat="1" applyFont="1" applyFill="1" applyBorder="1" applyAlignment="1" applyProtection="1">
      <alignment horizontal="right"/>
      <protection locked="0"/>
    </xf>
    <xf numFmtId="2" fontId="16" fillId="0" borderId="8" xfId="1" applyNumberFormat="1" applyFont="1" applyBorder="1" applyAlignment="1">
      <alignment horizontal="right"/>
    </xf>
    <xf numFmtId="2" fontId="8" fillId="0" borderId="0" xfId="1" applyNumberFormat="1" applyFont="1"/>
    <xf numFmtId="164" fontId="16" fillId="0" borderId="0" xfId="1" applyNumberFormat="1" applyFont="1" applyAlignment="1">
      <alignment horizontal="right"/>
    </xf>
    <xf numFmtId="2" fontId="8" fillId="0" borderId="8" xfId="1" applyNumberFormat="1" applyFont="1" applyBorder="1" applyAlignment="1">
      <alignment horizontal="left"/>
    </xf>
    <xf numFmtId="0" fontId="17" fillId="0" borderId="6" xfId="0" applyFont="1" applyBorder="1" applyAlignment="1">
      <alignment horizontal="right"/>
    </xf>
    <xf numFmtId="2" fontId="16" fillId="0" borderId="8" xfId="1" applyNumberFormat="1" applyFont="1" applyBorder="1" applyAlignment="1">
      <alignment horizontal="left"/>
    </xf>
    <xf numFmtId="8" fontId="8" fillId="0" borderId="0" xfId="1" applyNumberFormat="1" applyFont="1" applyAlignment="1">
      <alignment horizontal="right"/>
    </xf>
    <xf numFmtId="164" fontId="8" fillId="0" borderId="0" xfId="1" applyNumberFormat="1" applyFont="1" applyProtection="1">
      <protection locked="0"/>
    </xf>
    <xf numFmtId="167" fontId="8" fillId="0" borderId="0" xfId="2" applyNumberFormat="1" applyFont="1" applyFill="1" applyBorder="1" applyAlignment="1">
      <alignment horizontal="left" indent="2"/>
    </xf>
    <xf numFmtId="166" fontId="8" fillId="0" borderId="0" xfId="1" applyNumberFormat="1" applyFont="1" applyAlignment="1">
      <alignment horizontal="right"/>
    </xf>
    <xf numFmtId="164" fontId="8" fillId="0" borderId="0" xfId="2" applyNumberFormat="1" applyFont="1" applyFill="1" applyBorder="1" applyAlignment="1" applyProtection="1">
      <alignment horizontal="right"/>
      <protection locked="0"/>
    </xf>
    <xf numFmtId="8" fontId="8" fillId="0" borderId="8" xfId="1" applyNumberFormat="1" applyFont="1" applyBorder="1" applyAlignment="1">
      <alignment horizontal="left" indent="1"/>
    </xf>
    <xf numFmtId="9" fontId="8" fillId="0" borderId="0" xfId="5" applyFont="1" applyProtection="1">
      <protection locked="0"/>
    </xf>
    <xf numFmtId="2" fontId="8" fillId="0" borderId="0" xfId="1" applyNumberFormat="1" applyFont="1" applyAlignment="1">
      <alignment horizontal="right" indent="1"/>
    </xf>
    <xf numFmtId="1" fontId="8" fillId="0" borderId="0" xfId="1" applyNumberFormat="1" applyFont="1" applyAlignment="1">
      <alignment horizontal="right" indent="1"/>
    </xf>
    <xf numFmtId="10" fontId="8" fillId="0" borderId="0" xfId="1" applyNumberFormat="1" applyFont="1" applyAlignment="1">
      <alignment horizontal="right"/>
    </xf>
    <xf numFmtId="164" fontId="8" fillId="0" borderId="0" xfId="1" applyNumberFormat="1" applyFont="1"/>
    <xf numFmtId="2" fontId="8" fillId="0" borderId="0" xfId="1" applyNumberFormat="1" applyFont="1" applyAlignment="1">
      <alignment horizontal="left"/>
    </xf>
    <xf numFmtId="2" fontId="8" fillId="0" borderId="6" xfId="1" applyNumberFormat="1" applyFont="1" applyBorder="1" applyAlignment="1">
      <alignment horizontal="left"/>
    </xf>
    <xf numFmtId="2" fontId="16" fillId="0" borderId="6" xfId="1" applyNumberFormat="1" applyFont="1" applyBorder="1" applyAlignment="1">
      <alignment horizontal="right"/>
    </xf>
    <xf numFmtId="43" fontId="8" fillId="0" borderId="0" xfId="1" applyNumberFormat="1" applyFont="1" applyProtection="1">
      <protection locked="0"/>
    </xf>
    <xf numFmtId="8" fontId="8" fillId="0" borderId="0" xfId="1" applyNumberFormat="1" applyFont="1" applyProtection="1">
      <protection locked="0"/>
    </xf>
    <xf numFmtId="2" fontId="16" fillId="0" borderId="8" xfId="1" applyNumberFormat="1" applyFont="1" applyBorder="1" applyAlignment="1">
      <alignment horizontal="right" indent="2"/>
    </xf>
    <xf numFmtId="2" fontId="8" fillId="0" borderId="13" xfId="1" applyNumberFormat="1" applyFont="1" applyBorder="1" applyAlignment="1">
      <alignment horizontal="left"/>
    </xf>
    <xf numFmtId="2" fontId="8" fillId="0" borderId="1" xfId="1" applyNumberFormat="1" applyFont="1" applyBorder="1" applyAlignment="1">
      <alignment horizontal="right"/>
    </xf>
    <xf numFmtId="2" fontId="8" fillId="0" borderId="1" xfId="1" applyNumberFormat="1" applyFont="1" applyBorder="1"/>
    <xf numFmtId="0" fontId="18" fillId="0" borderId="5" xfId="0" applyFont="1" applyBorder="1" applyAlignment="1">
      <alignment horizontal="right"/>
    </xf>
    <xf numFmtId="0" fontId="16" fillId="0" borderId="17" xfId="0" applyFont="1" applyBorder="1"/>
    <xf numFmtId="0" fontId="8" fillId="0" borderId="20" xfId="1" applyFont="1" applyBorder="1"/>
    <xf numFmtId="0" fontId="8" fillId="0" borderId="20" xfId="1" applyFont="1" applyBorder="1" applyAlignment="1">
      <alignment textRotation="90" wrapText="1"/>
    </xf>
    <xf numFmtId="9" fontId="16" fillId="0" borderId="1" xfId="5" applyFont="1" applyBorder="1" applyAlignment="1">
      <alignment horizontal="right"/>
    </xf>
    <xf numFmtId="9" fontId="16" fillId="0" borderId="1" xfId="5" applyFont="1" applyBorder="1"/>
    <xf numFmtId="9" fontId="16" fillId="0" borderId="21" xfId="5" applyFont="1" applyBorder="1"/>
    <xf numFmtId="9" fontId="16" fillId="0" borderId="18" xfId="5" applyFont="1" applyBorder="1"/>
    <xf numFmtId="164" fontId="8" fillId="0" borderId="18" xfId="1" applyNumberFormat="1" applyFont="1" applyBorder="1"/>
    <xf numFmtId="164" fontId="8" fillId="6" borderId="0" xfId="1" applyNumberFormat="1" applyFont="1" applyFill="1"/>
    <xf numFmtId="164" fontId="8" fillId="0" borderId="1" xfId="1" applyNumberFormat="1" applyFont="1" applyBorder="1"/>
    <xf numFmtId="164" fontId="8" fillId="0" borderId="21" xfId="1" applyNumberFormat="1" applyFont="1" applyBorder="1"/>
    <xf numFmtId="164" fontId="17" fillId="0" borderId="6" xfId="0" applyNumberFormat="1" applyFont="1" applyBorder="1" applyAlignment="1">
      <alignment horizontal="right"/>
    </xf>
    <xf numFmtId="164" fontId="19" fillId="0" borderId="6" xfId="0" applyNumberFormat="1" applyFont="1" applyBorder="1" applyAlignment="1">
      <alignment horizontal="right"/>
    </xf>
    <xf numFmtId="164" fontId="17" fillId="0" borderId="5" xfId="0" applyNumberFormat="1" applyFont="1" applyBorder="1" applyAlignment="1">
      <alignment horizontal="right"/>
    </xf>
    <xf numFmtId="164" fontId="8" fillId="0" borderId="1" xfId="2" applyNumberFormat="1" applyFont="1" applyFill="1" applyBorder="1" applyAlignment="1">
      <alignment horizontal="right"/>
    </xf>
    <xf numFmtId="164" fontId="8" fillId="0" borderId="1" xfId="2" applyNumberFormat="1" applyFont="1" applyFill="1" applyBorder="1" applyAlignment="1" applyProtection="1">
      <alignment horizontal="right"/>
      <protection locked="0"/>
    </xf>
    <xf numFmtId="0" fontId="10" fillId="0" borderId="0" xfId="0" applyFont="1" applyAlignment="1">
      <alignment wrapText="1"/>
    </xf>
    <xf numFmtId="0" fontId="4" fillId="0" borderId="0" xfId="7"/>
    <xf numFmtId="0" fontId="0" fillId="0" borderId="1" xfId="0" applyBorder="1"/>
    <xf numFmtId="164" fontId="10" fillId="0" borderId="1" xfId="6" applyNumberFormat="1" applyFont="1" applyFill="1" applyBorder="1"/>
    <xf numFmtId="164" fontId="17" fillId="0" borderId="8" xfId="0" applyNumberFormat="1" applyFont="1" applyBorder="1" applyAlignment="1">
      <alignment horizontal="right"/>
    </xf>
    <xf numFmtId="164" fontId="17" fillId="0" borderId="0" xfId="0" applyNumberFormat="1" applyFont="1" applyAlignment="1">
      <alignment horizontal="right"/>
    </xf>
    <xf numFmtId="9" fontId="0" fillId="2" borderId="1" xfId="5" applyFont="1" applyFill="1" applyBorder="1"/>
    <xf numFmtId="164" fontId="8" fillId="2" borderId="0" xfId="2" applyNumberFormat="1" applyFont="1" applyFill="1" applyBorder="1" applyAlignment="1" applyProtection="1">
      <alignment horizontal="right"/>
      <protection locked="0"/>
    </xf>
    <xf numFmtId="0" fontId="8" fillId="0" borderId="8" xfId="1" applyFont="1" applyBorder="1" applyAlignment="1">
      <alignment horizontal="left"/>
    </xf>
    <xf numFmtId="0" fontId="8" fillId="0" borderId="0" xfId="1" applyFont="1" applyAlignment="1">
      <alignment horizontal="left"/>
    </xf>
    <xf numFmtId="0" fontId="21" fillId="5" borderId="0" xfId="0" applyFont="1" applyFill="1"/>
    <xf numFmtId="0" fontId="10" fillId="0" borderId="23" xfId="0" applyFont="1" applyBorder="1"/>
    <xf numFmtId="0" fontId="10" fillId="2" borderId="24" xfId="0" applyFont="1" applyFill="1" applyBorder="1"/>
    <xf numFmtId="0" fontId="10" fillId="0" borderId="24" xfId="0" applyFont="1" applyBorder="1"/>
    <xf numFmtId="0" fontId="10" fillId="0" borderId="25" xfId="0" applyFont="1" applyBorder="1"/>
    <xf numFmtId="0" fontId="10" fillId="0" borderId="8" xfId="0" applyFont="1" applyBorder="1"/>
    <xf numFmtId="0" fontId="10" fillId="0" borderId="6" xfId="0" applyFont="1" applyBorder="1"/>
    <xf numFmtId="164" fontId="10" fillId="0" borderId="6" xfId="0" applyNumberFormat="1" applyFont="1" applyBorder="1"/>
    <xf numFmtId="164" fontId="10" fillId="0" borderId="0" xfId="6" applyNumberFormat="1" applyFont="1" applyFill="1" applyBorder="1"/>
    <xf numFmtId="0" fontId="10" fillId="0" borderId="13" xfId="0" applyFont="1" applyBorder="1"/>
    <xf numFmtId="164" fontId="10" fillId="0" borderId="5" xfId="0" applyNumberFormat="1" applyFont="1" applyBorder="1"/>
    <xf numFmtId="0" fontId="10" fillId="0" borderId="14" xfId="0" applyFont="1" applyBorder="1"/>
    <xf numFmtId="164" fontId="10" fillId="0" borderId="15" xfId="6" applyNumberFormat="1" applyFont="1" applyBorder="1"/>
    <xf numFmtId="0" fontId="10" fillId="0" borderId="15" xfId="0" applyFont="1" applyBorder="1"/>
    <xf numFmtId="9" fontId="10" fillId="0" borderId="15" xfId="5" applyFont="1" applyBorder="1"/>
    <xf numFmtId="164" fontId="10" fillId="0" borderId="15" xfId="5" applyNumberFormat="1" applyFont="1" applyBorder="1"/>
    <xf numFmtId="164" fontId="10" fillId="0" borderId="16" xfId="0" applyNumberFormat="1" applyFont="1" applyBorder="1"/>
    <xf numFmtId="167" fontId="10" fillId="2" borderId="0" xfId="2" applyNumberFormat="1" applyFont="1" applyFill="1" applyBorder="1"/>
    <xf numFmtId="167" fontId="10" fillId="2" borderId="1" xfId="2" applyNumberFormat="1" applyFont="1" applyFill="1" applyBorder="1"/>
    <xf numFmtId="0" fontId="6" fillId="0" borderId="1" xfId="0" applyFont="1" applyBorder="1"/>
    <xf numFmtId="0" fontId="6" fillId="0" borderId="20" xfId="0" applyFont="1" applyBorder="1"/>
    <xf numFmtId="0" fontId="6" fillId="0" borderId="21" xfId="0" applyFont="1" applyBorder="1"/>
    <xf numFmtId="40" fontId="6" fillId="0" borderId="20" xfId="0" applyNumberFormat="1" applyFont="1" applyBorder="1"/>
    <xf numFmtId="44" fontId="6" fillId="0" borderId="0" xfId="6" applyFont="1"/>
    <xf numFmtId="0" fontId="22" fillId="5" borderId="10" xfId="0" applyFont="1" applyFill="1" applyBorder="1"/>
    <xf numFmtId="0" fontId="22" fillId="5" borderId="11" xfId="0" applyFont="1" applyFill="1" applyBorder="1"/>
    <xf numFmtId="0" fontId="6" fillId="0" borderId="8" xfId="0" applyFont="1" applyBorder="1"/>
    <xf numFmtId="0" fontId="6" fillId="0" borderId="13" xfId="0" applyFont="1" applyBorder="1"/>
    <xf numFmtId="0" fontId="6" fillId="0" borderId="5" xfId="0" applyFont="1" applyBorder="1"/>
    <xf numFmtId="0" fontId="23" fillId="0" borderId="14" xfId="0" applyFont="1" applyBorder="1"/>
    <xf numFmtId="0" fontId="23" fillId="0" borderId="15" xfId="0" applyFont="1" applyBorder="1"/>
    <xf numFmtId="164" fontId="6" fillId="0" borderId="5" xfId="0" applyNumberFormat="1" applyFont="1" applyBorder="1"/>
    <xf numFmtId="164" fontId="6" fillId="0" borderId="21" xfId="0" applyNumberFormat="1" applyFont="1" applyBorder="1"/>
    <xf numFmtId="166" fontId="8" fillId="2" borderId="0" xfId="1" applyNumberFormat="1" applyFont="1" applyFill="1" applyAlignment="1">
      <alignment horizontal="right"/>
    </xf>
    <xf numFmtId="0" fontId="10" fillId="0" borderId="25" xfId="0" applyFont="1" applyBorder="1" applyAlignment="1">
      <alignment wrapText="1"/>
    </xf>
    <xf numFmtId="0" fontId="10" fillId="0" borderId="24" xfId="0" applyFont="1" applyBorder="1" applyAlignment="1">
      <alignment wrapText="1"/>
    </xf>
    <xf numFmtId="1" fontId="8" fillId="0" borderId="0" xfId="1" applyNumberFormat="1" applyFont="1" applyAlignment="1" applyProtection="1">
      <alignment horizontal="right"/>
      <protection locked="0"/>
    </xf>
    <xf numFmtId="0" fontId="10" fillId="2" borderId="6" xfId="0" applyFont="1" applyFill="1" applyBorder="1"/>
    <xf numFmtId="0" fontId="10" fillId="2" borderId="8" xfId="0" applyFont="1" applyFill="1" applyBorder="1"/>
    <xf numFmtId="0" fontId="10" fillId="2" borderId="5" xfId="0" applyFont="1" applyFill="1" applyBorder="1"/>
    <xf numFmtId="0" fontId="12" fillId="0" borderId="14" xfId="0" applyFont="1" applyBorder="1" applyAlignment="1">
      <alignment horizontal="right"/>
    </xf>
    <xf numFmtId="0" fontId="12" fillId="0" borderId="15" xfId="0" applyFont="1" applyBorder="1"/>
    <xf numFmtId="0" fontId="12" fillId="0" borderId="16" xfId="0" applyFont="1" applyBorder="1"/>
    <xf numFmtId="0" fontId="10" fillId="0" borderId="5" xfId="0" applyFont="1" applyBorder="1"/>
    <xf numFmtId="0" fontId="21" fillId="5" borderId="10" xfId="0" applyFont="1" applyFill="1" applyBorder="1"/>
    <xf numFmtId="0" fontId="21" fillId="5" borderId="11" xfId="0" applyFont="1" applyFill="1" applyBorder="1"/>
    <xf numFmtId="0" fontId="10" fillId="0" borderId="26" xfId="0" applyFont="1" applyBorder="1"/>
    <xf numFmtId="0" fontId="14" fillId="4" borderId="0" xfId="3" applyFont="1" applyBorder="1" applyAlignment="1">
      <alignment wrapText="1"/>
    </xf>
    <xf numFmtId="0" fontId="20" fillId="5" borderId="10" xfId="0" applyFont="1" applyFill="1" applyBorder="1"/>
    <xf numFmtId="0" fontId="20" fillId="5" borderId="11" xfId="0" applyFont="1" applyFill="1" applyBorder="1"/>
    <xf numFmtId="0" fontId="0" fillId="0" borderId="13" xfId="0" applyBorder="1"/>
    <xf numFmtId="0" fontId="0" fillId="0" borderId="5" xfId="0" applyBorder="1"/>
    <xf numFmtId="0" fontId="0" fillId="0" borderId="8" xfId="0" applyBorder="1" applyAlignment="1">
      <alignment wrapText="1"/>
    </xf>
    <xf numFmtId="0" fontId="0" fillId="2" borderId="6" xfId="0" applyFill="1" applyBorder="1"/>
    <xf numFmtId="0" fontId="0" fillId="0" borderId="8" xfId="0" applyBorder="1"/>
    <xf numFmtId="9" fontId="0" fillId="2" borderId="0" xfId="5" applyFont="1" applyFill="1" applyBorder="1"/>
    <xf numFmtId="0" fontId="0" fillId="0" borderId="14" xfId="0" applyBorder="1"/>
    <xf numFmtId="0" fontId="0" fillId="0" borderId="15" xfId="0" applyBorder="1"/>
    <xf numFmtId="9" fontId="0" fillId="0" borderId="15" xfId="5" applyFont="1" applyBorder="1"/>
    <xf numFmtId="44" fontId="0" fillId="0" borderId="0" xfId="6" applyFont="1" applyBorder="1"/>
    <xf numFmtId="44" fontId="0" fillId="2" borderId="6" xfId="6" applyFont="1" applyFill="1" applyBorder="1"/>
    <xf numFmtId="44" fontId="0" fillId="2" borderId="0" xfId="6" applyFont="1" applyFill="1" applyBorder="1"/>
    <xf numFmtId="44" fontId="0" fillId="2" borderId="1" xfId="6" applyFont="1" applyFill="1" applyBorder="1"/>
    <xf numFmtId="44" fontId="0" fillId="2" borderId="5" xfId="6" applyFont="1" applyFill="1" applyBorder="1"/>
    <xf numFmtId="44" fontId="0" fillId="0" borderId="15" xfId="6" applyFont="1" applyBorder="1"/>
    <xf numFmtId="44" fontId="0" fillId="0" borderId="16" xfId="6" applyFont="1" applyBorder="1"/>
    <xf numFmtId="0" fontId="24" fillId="0" borderId="0" xfId="1" applyFont="1"/>
    <xf numFmtId="164" fontId="24" fillId="0" borderId="0" xfId="1" applyNumberFormat="1" applyFont="1"/>
    <xf numFmtId="0" fontId="26" fillId="5" borderId="3" xfId="1" applyFont="1" applyFill="1" applyBorder="1"/>
    <xf numFmtId="0" fontId="26" fillId="5" borderId="19" xfId="1" applyFont="1" applyFill="1" applyBorder="1"/>
    <xf numFmtId="0" fontId="6" fillId="2" borderId="20" xfId="0" applyFont="1" applyFill="1" applyBorder="1"/>
    <xf numFmtId="0" fontId="24" fillId="0" borderId="0" xfId="0" applyFont="1"/>
    <xf numFmtId="44" fontId="24" fillId="0" borderId="0" xfId="6" applyFont="1"/>
    <xf numFmtId="164" fontId="6" fillId="0" borderId="18" xfId="6" applyNumberFormat="1" applyFont="1" applyBorder="1"/>
    <xf numFmtId="164" fontId="23" fillId="0" borderId="15" xfId="0" applyNumberFormat="1" applyFont="1" applyBorder="1"/>
    <xf numFmtId="164" fontId="6" fillId="0" borderId="6" xfId="6" applyNumberFormat="1" applyFont="1" applyBorder="1"/>
    <xf numFmtId="164" fontId="23" fillId="0" borderId="16" xfId="0" applyNumberFormat="1" applyFont="1" applyBorder="1"/>
    <xf numFmtId="0" fontId="16" fillId="0" borderId="0" xfId="4" applyFont="1" applyAlignment="1">
      <alignment horizontal="center"/>
    </xf>
    <xf numFmtId="40" fontId="8" fillId="0" borderId="0" xfId="1" applyNumberFormat="1" applyFont="1"/>
    <xf numFmtId="9" fontId="8" fillId="0" borderId="0" xfId="5" applyFont="1" applyAlignment="1">
      <alignment horizontal="right"/>
    </xf>
    <xf numFmtId="9" fontId="8" fillId="0" borderId="0" xfId="2" applyNumberFormat="1" applyFont="1"/>
    <xf numFmtId="43" fontId="8" fillId="0" borderId="0" xfId="2" applyFont="1" applyAlignment="1">
      <alignment horizontal="right"/>
    </xf>
    <xf numFmtId="43" fontId="8" fillId="0" borderId="0" xfId="1" applyNumberFormat="1" applyFont="1"/>
    <xf numFmtId="0" fontId="29" fillId="5" borderId="3" xfId="1" applyFont="1" applyFill="1" applyBorder="1"/>
    <xf numFmtId="0" fontId="29" fillId="5" borderId="0" xfId="0" applyFont="1" applyFill="1"/>
    <xf numFmtId="0" fontId="29" fillId="5" borderId="9" xfId="0" applyFont="1" applyFill="1" applyBorder="1"/>
    <xf numFmtId="0" fontId="28" fillId="5" borderId="10" xfId="0" applyFont="1" applyFill="1" applyBorder="1"/>
    <xf numFmtId="0" fontId="28" fillId="5" borderId="11" xfId="0" applyFont="1" applyFill="1" applyBorder="1"/>
    <xf numFmtId="0" fontId="6" fillId="0" borderId="8" xfId="0" applyFont="1" applyBorder="1" applyAlignment="1">
      <alignment wrapText="1"/>
    </xf>
    <xf numFmtId="164" fontId="6" fillId="0" borderId="0" xfId="0" applyNumberFormat="1" applyFont="1"/>
    <xf numFmtId="164" fontId="6" fillId="2" borderId="0" xfId="0" applyNumberFormat="1" applyFont="1" applyFill="1"/>
    <xf numFmtId="164" fontId="6" fillId="2" borderId="6" xfId="0" applyNumberFormat="1" applyFont="1" applyFill="1" applyBorder="1"/>
    <xf numFmtId="0" fontId="30" fillId="0" borderId="0" xfId="7" applyFont="1"/>
    <xf numFmtId="168" fontId="6" fillId="2" borderId="0" xfId="2" applyNumberFormat="1" applyFont="1" applyFill="1" applyBorder="1"/>
    <xf numFmtId="168" fontId="6" fillId="2" borderId="6" xfId="2" applyNumberFormat="1" applyFont="1" applyFill="1" applyBorder="1"/>
    <xf numFmtId="9" fontId="6" fillId="2" borderId="0" xfId="5" applyFont="1" applyFill="1" applyBorder="1"/>
    <xf numFmtId="9" fontId="6" fillId="2" borderId="1" xfId="5" applyFont="1" applyFill="1" applyBorder="1"/>
    <xf numFmtId="164" fontId="6" fillId="2" borderId="1" xfId="0" applyNumberFormat="1" applyFont="1" applyFill="1" applyBorder="1"/>
    <xf numFmtId="168" fontId="6" fillId="2" borderId="1" xfId="2" applyNumberFormat="1" applyFont="1" applyFill="1" applyBorder="1"/>
    <xf numFmtId="168" fontId="6" fillId="2" borderId="5" xfId="2" applyNumberFormat="1" applyFont="1" applyFill="1" applyBorder="1"/>
    <xf numFmtId="0" fontId="6" fillId="0" borderId="14" xfId="0" applyFont="1" applyBorder="1"/>
    <xf numFmtId="0" fontId="6" fillId="0" borderId="15" xfId="0" applyFont="1" applyBorder="1"/>
    <xf numFmtId="9" fontId="6" fillId="0" borderId="15" xfId="5" applyFont="1" applyBorder="1"/>
    <xf numFmtId="164" fontId="6" fillId="0" borderId="15" xfId="0" applyNumberFormat="1" applyFont="1" applyBorder="1"/>
    <xf numFmtId="164" fontId="6" fillId="0" borderId="16" xfId="0" applyNumberFormat="1" applyFont="1" applyBorder="1"/>
    <xf numFmtId="0" fontId="24" fillId="0" borderId="1" xfId="0" applyFont="1" applyBorder="1"/>
    <xf numFmtId="164" fontId="6" fillId="2" borderId="5" xfId="0" applyNumberFormat="1" applyFont="1" applyFill="1" applyBorder="1"/>
    <xf numFmtId="1" fontId="24" fillId="0" borderId="0" xfId="0" applyNumberFormat="1" applyFont="1"/>
    <xf numFmtId="0" fontId="12" fillId="0" borderId="12" xfId="0" applyFont="1" applyBorder="1"/>
    <xf numFmtId="0" fontId="12" fillId="0" borderId="2" xfId="0" applyFont="1" applyBorder="1" applyAlignment="1">
      <alignment wrapText="1"/>
    </xf>
    <xf numFmtId="0" fontId="12" fillId="0" borderId="7" xfId="0" applyFont="1" applyBorder="1" applyAlignment="1">
      <alignment wrapText="1"/>
    </xf>
    <xf numFmtId="0" fontId="23" fillId="0" borderId="13" xfId="0" applyFont="1" applyBorder="1"/>
    <xf numFmtId="0" fontId="23" fillId="0" borderId="1" xfId="0" applyFont="1" applyBorder="1"/>
    <xf numFmtId="0" fontId="23" fillId="0" borderId="22" xfId="0" applyFont="1" applyBorder="1"/>
    <xf numFmtId="0" fontId="23" fillId="0" borderId="21" xfId="0" applyFont="1" applyBorder="1"/>
    <xf numFmtId="0" fontId="23" fillId="0" borderId="5" xfId="0" applyFont="1" applyBorder="1"/>
    <xf numFmtId="0" fontId="12" fillId="7" borderId="23" xfId="0" applyFont="1" applyFill="1" applyBorder="1"/>
    <xf numFmtId="0" fontId="12" fillId="0" borderId="14" xfId="0" applyFont="1" applyBorder="1"/>
    <xf numFmtId="164" fontId="12" fillId="0" borderId="15" xfId="6" applyNumberFormat="1" applyFont="1" applyBorder="1"/>
    <xf numFmtId="9" fontId="12" fillId="0" borderId="15" xfId="5" applyFont="1" applyBorder="1"/>
    <xf numFmtId="164" fontId="12" fillId="0" borderId="15" xfId="5" applyNumberFormat="1" applyFont="1" applyBorder="1"/>
    <xf numFmtId="164" fontId="12" fillId="0" borderId="16" xfId="0" applyNumberFormat="1" applyFont="1" applyBorder="1"/>
    <xf numFmtId="0" fontId="16" fillId="0" borderId="14" xfId="1" applyFont="1" applyBorder="1"/>
    <xf numFmtId="0" fontId="16" fillId="0" borderId="15" xfId="1" applyFont="1" applyBorder="1"/>
    <xf numFmtId="2" fontId="16" fillId="0" borderId="0" xfId="1" applyNumberFormat="1" applyFont="1" applyAlignment="1">
      <alignment horizontal="left"/>
    </xf>
    <xf numFmtId="0" fontId="8" fillId="0" borderId="1" xfId="1" applyFont="1" applyBorder="1"/>
    <xf numFmtId="164" fontId="16" fillId="0" borderId="15" xfId="1" applyNumberFormat="1" applyFont="1" applyBorder="1"/>
    <xf numFmtId="164" fontId="16" fillId="0" borderId="16" xfId="1" applyNumberFormat="1" applyFont="1" applyBorder="1"/>
    <xf numFmtId="0" fontId="16" fillId="0" borderId="8" xfId="0" applyFont="1" applyBorder="1"/>
    <xf numFmtId="0" fontId="16" fillId="0" borderId="13" xfId="1" applyFont="1" applyBorder="1"/>
    <xf numFmtId="164" fontId="16" fillId="0" borderId="1" xfId="1" applyNumberFormat="1" applyFont="1" applyBorder="1"/>
    <xf numFmtId="164" fontId="16" fillId="0" borderId="5" xfId="6" applyNumberFormat="1" applyFont="1" applyBorder="1"/>
    <xf numFmtId="0" fontId="25" fillId="5" borderId="23" xfId="4" applyFont="1" applyFill="1" applyBorder="1"/>
    <xf numFmtId="0" fontId="9" fillId="5" borderId="24" xfId="4" applyFont="1" applyFill="1" applyBorder="1"/>
    <xf numFmtId="0" fontId="9" fillId="5" borderId="10" xfId="4" applyFont="1" applyFill="1" applyBorder="1"/>
    <xf numFmtId="0" fontId="4" fillId="5" borderId="10" xfId="7" applyFill="1" applyBorder="1"/>
    <xf numFmtId="0" fontId="10" fillId="5" borderId="10" xfId="0" applyFont="1" applyFill="1" applyBorder="1"/>
    <xf numFmtId="0" fontId="10" fillId="5" borderId="11" xfId="0" applyFont="1" applyFill="1" applyBorder="1"/>
    <xf numFmtId="0" fontId="11" fillId="0" borderId="12" xfId="1" applyFont="1" applyBorder="1" applyAlignment="1">
      <alignment horizontal="left"/>
    </xf>
    <xf numFmtId="0" fontId="11" fillId="0" borderId="0" xfId="1" applyFont="1" applyAlignment="1">
      <alignment horizontal="center"/>
    </xf>
    <xf numFmtId="0" fontId="12" fillId="0" borderId="7" xfId="0" applyFont="1" applyBorder="1"/>
    <xf numFmtId="2" fontId="13" fillId="0" borderId="0" xfId="1" applyNumberFormat="1" applyFont="1" applyAlignment="1">
      <alignment horizontal="left"/>
    </xf>
    <xf numFmtId="40" fontId="13" fillId="0" borderId="0" xfId="1" applyNumberFormat="1" applyFont="1" applyAlignment="1" applyProtection="1">
      <alignment horizontal="right"/>
      <protection locked="0"/>
    </xf>
    <xf numFmtId="2" fontId="13" fillId="0" borderId="8" xfId="1" applyNumberFormat="1" applyFont="1" applyBorder="1" applyAlignment="1">
      <alignment horizontal="left"/>
    </xf>
    <xf numFmtId="0" fontId="13" fillId="0" borderId="0" xfId="1" applyFont="1" applyAlignment="1">
      <alignment horizontal="left"/>
    </xf>
    <xf numFmtId="168" fontId="13" fillId="2" borderId="0" xfId="2" applyNumberFormat="1" applyFont="1" applyFill="1" applyBorder="1" applyAlignment="1" applyProtection="1">
      <alignment horizontal="right"/>
      <protection locked="0"/>
    </xf>
    <xf numFmtId="0" fontId="13" fillId="0" borderId="0" xfId="1" applyFont="1" applyAlignment="1" applyProtection="1">
      <alignment horizontal="right"/>
      <protection locked="0"/>
    </xf>
    <xf numFmtId="2" fontId="13" fillId="0" borderId="0" xfId="1" applyNumberFormat="1" applyFont="1" applyAlignment="1">
      <alignment horizontal="right"/>
    </xf>
    <xf numFmtId="0" fontId="13" fillId="0" borderId="0" xfId="1" applyFont="1"/>
    <xf numFmtId="165" fontId="13" fillId="2" borderId="0" xfId="1" applyNumberFormat="1" applyFont="1" applyFill="1" applyAlignment="1" applyProtection="1">
      <alignment horizontal="right"/>
      <protection locked="0"/>
    </xf>
    <xf numFmtId="165" fontId="13" fillId="0" borderId="0" xfId="1" applyNumberFormat="1" applyFont="1" applyAlignment="1" applyProtection="1">
      <alignment horizontal="right"/>
      <protection locked="0"/>
    </xf>
    <xf numFmtId="168" fontId="13" fillId="0" borderId="0" xfId="2" applyNumberFormat="1" applyFont="1" applyFill="1" applyBorder="1" applyAlignment="1" applyProtection="1">
      <alignment horizontal="right"/>
      <protection locked="0"/>
    </xf>
    <xf numFmtId="9" fontId="13" fillId="2" borderId="0" xfId="5" applyFont="1" applyFill="1" applyBorder="1" applyAlignment="1" applyProtection="1">
      <alignment horizontal="right"/>
      <protection locked="0"/>
    </xf>
    <xf numFmtId="0" fontId="13" fillId="0" borderId="8" xfId="1" applyFont="1" applyBorder="1" applyAlignment="1">
      <alignment horizontal="left"/>
    </xf>
    <xf numFmtId="9" fontId="13" fillId="2" borderId="0" xfId="5" applyFont="1" applyFill="1" applyBorder="1" applyAlignment="1">
      <alignment horizontal="left"/>
    </xf>
    <xf numFmtId="40" fontId="13" fillId="0" borderId="6" xfId="1" applyNumberFormat="1" applyFont="1" applyBorder="1" applyProtection="1">
      <protection locked="0"/>
    </xf>
    <xf numFmtId="168" fontId="13" fillId="2" borderId="0" xfId="2" applyNumberFormat="1" applyFont="1" applyFill="1" applyBorder="1" applyAlignment="1">
      <alignment horizontal="left"/>
    </xf>
    <xf numFmtId="8" fontId="13" fillId="0" borderId="0" xfId="1" applyNumberFormat="1" applyFont="1" applyAlignment="1">
      <alignment horizontal="left"/>
    </xf>
    <xf numFmtId="2" fontId="13" fillId="0" borderId="0" xfId="1" applyNumberFormat="1" applyFont="1"/>
    <xf numFmtId="9" fontId="13" fillId="2" borderId="0" xfId="5" applyFont="1" applyFill="1" applyBorder="1"/>
    <xf numFmtId="9" fontId="13" fillId="2" borderId="0" xfId="5" applyFont="1" applyFill="1" applyBorder="1" applyAlignment="1"/>
    <xf numFmtId="0" fontId="13" fillId="0" borderId="13" xfId="1" applyFont="1" applyBorder="1" applyAlignment="1">
      <alignment horizontal="left"/>
    </xf>
    <xf numFmtId="0" fontId="11" fillId="0" borderId="0" xfId="1" applyFont="1" applyAlignment="1">
      <alignment horizontal="left"/>
    </xf>
    <xf numFmtId="0" fontId="10" fillId="0" borderId="16" xfId="0" applyFont="1" applyBorder="1"/>
    <xf numFmtId="0" fontId="31" fillId="0" borderId="0" xfId="0" applyFont="1"/>
    <xf numFmtId="0" fontId="31" fillId="0" borderId="1" xfId="0" applyFont="1" applyBorder="1"/>
    <xf numFmtId="0" fontId="12" fillId="0" borderId="0" xfId="0" applyFont="1" applyAlignment="1">
      <alignment wrapText="1"/>
    </xf>
    <xf numFmtId="0" fontId="12" fillId="0" borderId="0" xfId="0" applyFont="1" applyAlignment="1">
      <alignment horizontal="left" wrapText="1" indent="9"/>
    </xf>
    <xf numFmtId="0" fontId="12" fillId="0" borderId="0" xfId="0" applyFont="1" applyAlignment="1">
      <alignment horizontal="left" indent="9"/>
    </xf>
    <xf numFmtId="40" fontId="13" fillId="0" borderId="6" xfId="1" applyNumberFormat="1" applyFont="1" applyBorder="1" applyAlignment="1" applyProtection="1">
      <alignment horizontal="right"/>
      <protection locked="0"/>
    </xf>
    <xf numFmtId="166" fontId="10" fillId="0" borderId="1" xfId="0" applyNumberFormat="1" applyFont="1" applyBorder="1"/>
    <xf numFmtId="166" fontId="10" fillId="0" borderId="5" xfId="0" applyNumberFormat="1" applyFont="1" applyBorder="1"/>
    <xf numFmtId="0" fontId="0" fillId="0" borderId="0" xfId="0" applyAlignment="1">
      <alignment wrapText="1"/>
    </xf>
    <xf numFmtId="164" fontId="0" fillId="0" borderId="0" xfId="0" applyNumberFormat="1"/>
    <xf numFmtId="164" fontId="0" fillId="0" borderId="1" xfId="0" applyNumberFormat="1" applyBorder="1"/>
    <xf numFmtId="0" fontId="0" fillId="0" borderId="2" xfId="0" applyBorder="1"/>
    <xf numFmtId="164" fontId="0" fillId="0" borderId="2" xfId="0" applyNumberFormat="1" applyBorder="1"/>
    <xf numFmtId="9" fontId="0" fillId="0" borderId="0" xfId="5" applyFont="1"/>
    <xf numFmtId="1" fontId="0" fillId="0" borderId="0" xfId="0" applyNumberFormat="1"/>
    <xf numFmtId="167" fontId="0" fillId="0" borderId="0" xfId="2" applyNumberFormat="1" applyFont="1"/>
    <xf numFmtId="2" fontId="0" fillId="0" borderId="0" xfId="0" applyNumberFormat="1"/>
    <xf numFmtId="166" fontId="0" fillId="0" borderId="0" xfId="0" applyNumberFormat="1"/>
    <xf numFmtId="0" fontId="32" fillId="0" borderId="1" xfId="0" applyFont="1" applyBorder="1" applyAlignment="1">
      <alignment wrapText="1"/>
    </xf>
    <xf numFmtId="9" fontId="0" fillId="0" borderId="1" xfId="5" applyFont="1" applyBorder="1"/>
    <xf numFmtId="164" fontId="13" fillId="2" borderId="0" xfId="1" applyNumberFormat="1" applyFont="1" applyFill="1" applyAlignment="1" applyProtection="1">
      <alignment horizontal="right"/>
      <protection locked="0"/>
    </xf>
    <xf numFmtId="164" fontId="13" fillId="2" borderId="0" xfId="2" applyNumberFormat="1" applyFont="1" applyFill="1" applyBorder="1" applyAlignment="1" applyProtection="1">
      <alignment horizontal="right"/>
      <protection locked="0"/>
    </xf>
    <xf numFmtId="164" fontId="10" fillId="2" borderId="0" xfId="5" applyNumberFormat="1" applyFont="1" applyFill="1" applyBorder="1"/>
    <xf numFmtId="164" fontId="13" fillId="2" borderId="6" xfId="5" applyNumberFormat="1" applyFont="1" applyFill="1" applyBorder="1" applyAlignment="1">
      <alignment horizontal="right"/>
    </xf>
    <xf numFmtId="164" fontId="10" fillId="2" borderId="0" xfId="0" applyNumberFormat="1" applyFont="1" applyFill="1"/>
    <xf numFmtId="164" fontId="13" fillId="2" borderId="6" xfId="1" applyNumberFormat="1" applyFont="1" applyFill="1" applyBorder="1" applyAlignment="1">
      <alignment horizontal="right"/>
    </xf>
    <xf numFmtId="164" fontId="13" fillId="2" borderId="0" xfId="1" applyNumberFormat="1" applyFont="1" applyFill="1" applyAlignment="1">
      <alignment horizontal="right"/>
    </xf>
    <xf numFmtId="164" fontId="13" fillId="2" borderId="6" xfId="1" applyNumberFormat="1" applyFont="1" applyFill="1" applyBorder="1" applyAlignment="1" applyProtection="1">
      <alignment horizontal="right"/>
      <protection locked="0"/>
    </xf>
    <xf numFmtId="164" fontId="13" fillId="2" borderId="0" xfId="1" applyNumberFormat="1" applyFont="1" applyFill="1" applyProtection="1">
      <protection locked="0"/>
    </xf>
    <xf numFmtId="164" fontId="13" fillId="2" borderId="6" xfId="1" applyNumberFormat="1" applyFont="1" applyFill="1" applyBorder="1" applyProtection="1">
      <protection locked="0"/>
    </xf>
    <xf numFmtId="167" fontId="13" fillId="2" borderId="0" xfId="2" applyNumberFormat="1" applyFont="1" applyFill="1" applyAlignment="1">
      <alignment horizontal="right"/>
    </xf>
    <xf numFmtId="167" fontId="13" fillId="2" borderId="15" xfId="2" applyNumberFormat="1" applyFont="1" applyFill="1" applyBorder="1" applyAlignment="1">
      <alignment horizontal="right"/>
    </xf>
    <xf numFmtId="168" fontId="13" fillId="2" borderId="0" xfId="2" applyNumberFormat="1" applyFont="1" applyFill="1" applyAlignment="1" applyProtection="1">
      <alignment horizontal="right"/>
      <protection locked="0"/>
    </xf>
    <xf numFmtId="2" fontId="13" fillId="0" borderId="15" xfId="1" applyNumberFormat="1" applyFont="1" applyBorder="1" applyAlignment="1">
      <alignment horizontal="left"/>
    </xf>
    <xf numFmtId="2" fontId="13" fillId="0" borderId="15" xfId="1" applyNumberFormat="1" applyFont="1" applyBorder="1"/>
    <xf numFmtId="9" fontId="13" fillId="2" borderId="15" xfId="5" applyFont="1" applyFill="1" applyBorder="1"/>
    <xf numFmtId="40" fontId="13" fillId="0" borderId="16" xfId="1" applyNumberFormat="1" applyFont="1" applyBorder="1" applyProtection="1">
      <protection locked="0"/>
    </xf>
    <xf numFmtId="0" fontId="0" fillId="0" borderId="3" xfId="0" applyBorder="1"/>
    <xf numFmtId="164" fontId="0" fillId="0" borderId="3" xfId="0" applyNumberFormat="1" applyBorder="1"/>
    <xf numFmtId="0" fontId="0" fillId="0" borderId="1" xfId="0" applyBorder="1" applyAlignment="1">
      <alignment wrapText="1"/>
    </xf>
    <xf numFmtId="0" fontId="10" fillId="0" borderId="0" xfId="0" applyFont="1" applyAlignment="1">
      <alignment horizontal="right"/>
    </xf>
    <xf numFmtId="0" fontId="6" fillId="0" borderId="17" xfId="0" applyFont="1" applyBorder="1"/>
    <xf numFmtId="2" fontId="13" fillId="0" borderId="15" xfId="1" applyNumberFormat="1" applyFont="1" applyBorder="1" applyAlignment="1">
      <alignment horizontal="right"/>
    </xf>
    <xf numFmtId="0" fontId="14" fillId="0" borderId="0" xfId="3" applyFont="1" applyFill="1" applyBorder="1" applyAlignment="1">
      <alignment wrapText="1"/>
    </xf>
    <xf numFmtId="0" fontId="34" fillId="0" borderId="0" xfId="7" applyFont="1"/>
    <xf numFmtId="0" fontId="27" fillId="5" borderId="0" xfId="4" applyFont="1" applyFill="1" applyAlignment="1">
      <alignment horizontal="center"/>
    </xf>
    <xf numFmtId="0" fontId="10" fillId="0" borderId="0" xfId="0" applyFont="1" applyAlignment="1">
      <alignment horizontal="right"/>
    </xf>
    <xf numFmtId="0" fontId="10" fillId="0" borderId="0" xfId="0" applyFont="1"/>
    <xf numFmtId="0" fontId="9" fillId="5" borderId="0" xfId="0" applyFont="1" applyFill="1"/>
    <xf numFmtId="0" fontId="11" fillId="0" borderId="12" xfId="1" applyFont="1" applyBorder="1" applyAlignment="1">
      <alignment horizontal="center"/>
    </xf>
    <xf numFmtId="0" fontId="11" fillId="0" borderId="2" xfId="1" applyFont="1" applyBorder="1" applyAlignment="1">
      <alignment horizontal="center"/>
    </xf>
    <xf numFmtId="0" fontId="16" fillId="0" borderId="20" xfId="1" applyFont="1" applyBorder="1" applyAlignment="1">
      <alignment horizontal="center" vertical="center" textRotation="90" wrapText="1"/>
    </xf>
    <xf numFmtId="0" fontId="16" fillId="0" borderId="22" xfId="1" applyFont="1" applyBorder="1" applyAlignment="1">
      <alignment horizontal="center" vertical="center" textRotation="90" wrapText="1"/>
    </xf>
    <xf numFmtId="2" fontId="16" fillId="0" borderId="0" xfId="1" applyNumberFormat="1" applyFont="1" applyAlignment="1">
      <alignment horizontal="center"/>
    </xf>
    <xf numFmtId="2" fontId="16" fillId="0" borderId="18" xfId="1" applyNumberFormat="1" applyFont="1" applyBorder="1" applyAlignment="1">
      <alignment horizontal="center"/>
    </xf>
    <xf numFmtId="0" fontId="27" fillId="5" borderId="9" xfId="4" applyFont="1" applyFill="1" applyBorder="1" applyAlignment="1">
      <alignment horizontal="left"/>
    </xf>
    <xf numFmtId="0" fontId="27" fillId="5" borderId="10" xfId="4" applyFont="1" applyFill="1" applyBorder="1" applyAlignment="1">
      <alignment horizontal="left"/>
    </xf>
    <xf numFmtId="0" fontId="27" fillId="5" borderId="11" xfId="4" applyFont="1" applyFill="1" applyBorder="1" applyAlignment="1">
      <alignment horizontal="left"/>
    </xf>
    <xf numFmtId="0" fontId="8" fillId="0" borderId="8" xfId="1" applyFont="1" applyBorder="1" applyAlignment="1">
      <alignment horizontal="left"/>
    </xf>
    <xf numFmtId="0" fontId="8" fillId="0" borderId="0" xfId="1" applyFont="1" applyAlignment="1">
      <alignment horizontal="left"/>
    </xf>
    <xf numFmtId="0" fontId="23" fillId="7" borderId="22" xfId="0" applyFont="1" applyFill="1" applyBorder="1" applyAlignment="1">
      <alignment horizontal="center"/>
    </xf>
    <xf numFmtId="0" fontId="23" fillId="7" borderId="21" xfId="0" applyFont="1" applyFill="1" applyBorder="1" applyAlignment="1">
      <alignment horizontal="center"/>
    </xf>
    <xf numFmtId="0" fontId="23" fillId="7" borderId="5" xfId="0" applyFont="1" applyFill="1" applyBorder="1" applyAlignment="1">
      <alignment horizontal="center"/>
    </xf>
    <xf numFmtId="0" fontId="33" fillId="5" borderId="0" xfId="0" applyFont="1" applyFill="1" applyAlignment="1">
      <alignment horizontal="center"/>
    </xf>
  </cellXfs>
  <cellStyles count="8">
    <cellStyle name="Comma" xfId="2" builtinId="3"/>
    <cellStyle name="Currency" xfId="6" builtinId="4"/>
    <cellStyle name="Hyperlink" xfId="7" builtinId="8"/>
    <cellStyle name="Normal" xfId="0" builtinId="0"/>
    <cellStyle name="Normal 2" xfId="1" xr:uid="{00000000-0005-0000-0000-000001000000}"/>
    <cellStyle name="Normal 2 2" xfId="4" xr:uid="{7BF597C9-1700-4277-8795-A34D786E5159}"/>
    <cellStyle name="Output" xfId="3" builtinId="21"/>
    <cellStyle name="Percent" xfId="5" builtinId="5"/>
  </cellStyles>
  <dxfs count="4">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4810125</xdr:colOff>
      <xdr:row>3</xdr:row>
      <xdr:rowOff>25750</xdr:rowOff>
    </xdr:from>
    <xdr:to>
      <xdr:col>4</xdr:col>
      <xdr:colOff>76200</xdr:colOff>
      <xdr:row>6</xdr:row>
      <xdr:rowOff>146625</xdr:rowOff>
    </xdr:to>
    <xdr:pic>
      <xdr:nvPicPr>
        <xdr:cNvPr id="2" name="Picture 1">
          <a:extLst>
            <a:ext uri="{FF2B5EF4-FFF2-40B4-BE49-F238E27FC236}">
              <a16:creationId xmlns:a16="http://schemas.microsoft.com/office/drawing/2014/main" id="{313BF388-C3BC-4A63-AEA8-64F1DDC736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3100" y="692500"/>
          <a:ext cx="2295525" cy="720950"/>
        </a:xfrm>
        <a:prstGeom prst="rect">
          <a:avLst/>
        </a:prstGeom>
      </xdr:spPr>
    </xdr:pic>
    <xdr:clientData/>
  </xdr:twoCellAnchor>
  <xdr:twoCellAnchor editAs="oneCell">
    <xdr:from>
      <xdr:col>2</xdr:col>
      <xdr:colOff>5181599</xdr:colOff>
      <xdr:row>6</xdr:row>
      <xdr:rowOff>116490</xdr:rowOff>
    </xdr:from>
    <xdr:to>
      <xdr:col>3</xdr:col>
      <xdr:colOff>771525</xdr:colOff>
      <xdr:row>8</xdr:row>
      <xdr:rowOff>208311</xdr:rowOff>
    </xdr:to>
    <xdr:pic>
      <xdr:nvPicPr>
        <xdr:cNvPr id="4" name="Picture 3">
          <a:extLst>
            <a:ext uri="{FF2B5EF4-FFF2-40B4-BE49-F238E27FC236}">
              <a16:creationId xmlns:a16="http://schemas.microsoft.com/office/drawing/2014/main" id="{F90BF088-6D31-E573-991C-BC7AEA740E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24574" y="1383315"/>
          <a:ext cx="1676401" cy="6537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sseyr/Box%20Sync/Budgets/Budge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masseyr_umsystem_edu/Documents/Budgets/2022%20Budgets/Hog/2022%20Industrial%20Fiber%20Hemp%20Budge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masseyr_umsystem_edu/Documents/Swine/KSU_Pork_FMG_Dec-2020_n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
      <sheetName val="Wheat(2015 SRW)"/>
      <sheetName val="Beans, DC(2015 DoubleCrop)"/>
      <sheetName val="Beans(2015 Dryland)"/>
      <sheetName val="Milo(Gr Sorghum 2015)"/>
      <sheetName val="Corn(2015 Irrigated)"/>
      <sheetName val="Corn(Corn(2015 Dryland...)"/>
      <sheetName val="Corn, Dryland 2014"/>
      <sheetName val="Corn, Irrigated 2014"/>
      <sheetName val="Soybean 2014"/>
      <sheetName val="Soybean, Double Crop 2014"/>
      <sheetName val="Wheat SRW 2014"/>
      <sheetName val="Grain Sorghum 2014"/>
      <sheetName val="Output"/>
      <sheetName val="Machinery Cost"/>
      <sheetName val="MDB"/>
      <sheetName val="Store"/>
    </sheetNames>
    <sheetDataSet>
      <sheetData sheetId="0"/>
      <sheetData sheetId="1">
        <row r="12">
          <cell r="B12">
            <v>100</v>
          </cell>
        </row>
        <row r="13">
          <cell r="B13">
            <v>55</v>
          </cell>
        </row>
        <row r="25">
          <cell r="B25">
            <v>100</v>
          </cell>
        </row>
        <row r="46">
          <cell r="F46">
            <v>19.38</v>
          </cell>
        </row>
        <row r="99">
          <cell r="B99">
            <v>15000</v>
          </cell>
        </row>
        <row r="100">
          <cell r="B100">
            <v>5</v>
          </cell>
        </row>
        <row r="109">
          <cell r="B109">
            <v>5</v>
          </cell>
          <cell r="F109">
            <v>6800</v>
          </cell>
        </row>
        <row r="114">
          <cell r="F114">
            <v>2</v>
          </cell>
        </row>
        <row r="149">
          <cell r="F149">
            <v>0</v>
          </cell>
          <cell r="H149">
            <v>0</v>
          </cell>
        </row>
        <row r="150">
          <cell r="F150">
            <v>0</v>
          </cell>
          <cell r="H150">
            <v>0</v>
          </cell>
        </row>
        <row r="151">
          <cell r="F151">
            <v>0</v>
          </cell>
          <cell r="H151">
            <v>0</v>
          </cell>
        </row>
        <row r="152">
          <cell r="F152">
            <v>0</v>
          </cell>
          <cell r="H152">
            <v>0</v>
          </cell>
        </row>
        <row r="153">
          <cell r="F153">
            <v>0</v>
          </cell>
          <cell r="H153">
            <v>0</v>
          </cell>
        </row>
        <row r="154">
          <cell r="F154">
            <v>0</v>
          </cell>
          <cell r="H154">
            <v>0</v>
          </cell>
        </row>
        <row r="155">
          <cell r="F155">
            <v>0</v>
          </cell>
          <cell r="H155">
            <v>0</v>
          </cell>
        </row>
        <row r="156">
          <cell r="F156">
            <v>0</v>
          </cell>
          <cell r="H156">
            <v>0</v>
          </cell>
        </row>
        <row r="157">
          <cell r="F157">
            <v>0</v>
          </cell>
          <cell r="H157">
            <v>0</v>
          </cell>
        </row>
        <row r="158">
          <cell r="F158">
            <v>0</v>
          </cell>
          <cell r="H158">
            <v>0</v>
          </cell>
        </row>
        <row r="160">
          <cell r="F160">
            <v>0</v>
          </cell>
          <cell r="H160">
            <v>0</v>
          </cell>
        </row>
        <row r="161">
          <cell r="F161">
            <v>0</v>
          </cell>
          <cell r="H161">
            <v>0</v>
          </cell>
        </row>
        <row r="162">
          <cell r="F162">
            <v>0</v>
          </cell>
          <cell r="H162">
            <v>0</v>
          </cell>
        </row>
        <row r="163">
          <cell r="F163">
            <v>0</v>
          </cell>
          <cell r="H163">
            <v>0</v>
          </cell>
        </row>
        <row r="164">
          <cell r="D164" t="str">
            <v>200 MFWD</v>
          </cell>
          <cell r="F164">
            <v>1</v>
          </cell>
          <cell r="H164">
            <v>0</v>
          </cell>
        </row>
        <row r="166">
          <cell r="F166">
            <v>0</v>
          </cell>
          <cell r="H166">
            <v>0</v>
          </cell>
        </row>
        <row r="167">
          <cell r="F167">
            <v>0</v>
          </cell>
          <cell r="H167">
            <v>0</v>
          </cell>
        </row>
        <row r="168">
          <cell r="F168">
            <v>0</v>
          </cell>
          <cell r="H168">
            <v>0</v>
          </cell>
        </row>
        <row r="169">
          <cell r="F169">
            <v>0</v>
          </cell>
          <cell r="H169">
            <v>0</v>
          </cell>
        </row>
        <row r="170">
          <cell r="D170" t="str">
            <v>130 MFWD</v>
          </cell>
          <cell r="F170">
            <v>1</v>
          </cell>
          <cell r="H170">
            <v>0</v>
          </cell>
        </row>
        <row r="171">
          <cell r="F171">
            <v>0</v>
          </cell>
          <cell r="H171">
            <v>0</v>
          </cell>
        </row>
        <row r="172">
          <cell r="F172">
            <v>0</v>
          </cell>
          <cell r="H172">
            <v>0</v>
          </cell>
        </row>
        <row r="173">
          <cell r="F173">
            <v>0</v>
          </cell>
          <cell r="H173">
            <v>0</v>
          </cell>
        </row>
        <row r="175">
          <cell r="F175">
            <v>0</v>
          </cell>
          <cell r="H175">
            <v>0</v>
          </cell>
        </row>
        <row r="176">
          <cell r="F176">
            <v>0</v>
          </cell>
          <cell r="H176">
            <v>0</v>
          </cell>
        </row>
        <row r="177">
          <cell r="F177">
            <v>0</v>
          </cell>
          <cell r="H177">
            <v>0</v>
          </cell>
        </row>
        <row r="178">
          <cell r="F178">
            <v>0</v>
          </cell>
          <cell r="H178">
            <v>0</v>
          </cell>
        </row>
        <row r="179">
          <cell r="F179">
            <v>0</v>
          </cell>
          <cell r="H179">
            <v>0</v>
          </cell>
        </row>
        <row r="180">
          <cell r="F180">
            <v>0</v>
          </cell>
          <cell r="H180">
            <v>0</v>
          </cell>
        </row>
        <row r="181">
          <cell r="F181">
            <v>0</v>
          </cell>
          <cell r="H181">
            <v>0</v>
          </cell>
        </row>
        <row r="182">
          <cell r="F182">
            <v>0</v>
          </cell>
          <cell r="H182">
            <v>0</v>
          </cell>
        </row>
        <row r="183">
          <cell r="F183">
            <v>0</v>
          </cell>
          <cell r="H183">
            <v>0</v>
          </cell>
        </row>
        <row r="184">
          <cell r="F184">
            <v>0</v>
          </cell>
          <cell r="H184">
            <v>0</v>
          </cell>
        </row>
        <row r="185">
          <cell r="F185">
            <v>0</v>
          </cell>
          <cell r="H185">
            <v>0</v>
          </cell>
        </row>
        <row r="186">
          <cell r="F186">
            <v>0</v>
          </cell>
          <cell r="H186">
            <v>0</v>
          </cell>
        </row>
        <row r="187">
          <cell r="F187">
            <v>0</v>
          </cell>
          <cell r="H187">
            <v>0</v>
          </cell>
        </row>
        <row r="188">
          <cell r="F188">
            <v>0</v>
          </cell>
        </row>
        <row r="189">
          <cell r="F189">
            <v>0</v>
          </cell>
        </row>
        <row r="190">
          <cell r="F190">
            <v>0</v>
          </cell>
        </row>
        <row r="191">
          <cell r="F191">
            <v>0</v>
          </cell>
        </row>
        <row r="192">
          <cell r="F192">
            <v>0</v>
          </cell>
          <cell r="H192">
            <v>0</v>
          </cell>
        </row>
        <row r="193">
          <cell r="F193">
            <v>1</v>
          </cell>
          <cell r="H193">
            <v>0</v>
          </cell>
        </row>
        <row r="194">
          <cell r="F194">
            <v>0</v>
          </cell>
          <cell r="H194">
            <v>0</v>
          </cell>
        </row>
        <row r="195">
          <cell r="F195">
            <v>0</v>
          </cell>
          <cell r="H195">
            <v>0</v>
          </cell>
        </row>
        <row r="196">
          <cell r="D196" t="str">
            <v>200 MFWD</v>
          </cell>
        </row>
        <row r="197">
          <cell r="D197" t="str">
            <v>130 MFWD</v>
          </cell>
        </row>
      </sheetData>
      <sheetData sheetId="2"/>
      <sheetData sheetId="3"/>
      <sheetData sheetId="4"/>
      <sheetData sheetId="5"/>
      <sheetData sheetId="6"/>
      <sheetData sheetId="7"/>
      <sheetData sheetId="8"/>
      <sheetData sheetId="9"/>
      <sheetData sheetId="10"/>
      <sheetData sheetId="11"/>
      <sheetData sheetId="12"/>
      <sheetData sheetId="13"/>
      <sheetData sheetId="14">
        <row r="8">
          <cell r="C8" t="str">
            <v>bushels</v>
          </cell>
          <cell r="D8">
            <v>55</v>
          </cell>
          <cell r="E8">
            <v>5.3</v>
          </cell>
          <cell r="F8">
            <v>291.5</v>
          </cell>
          <cell r="G8">
            <v>291.5</v>
          </cell>
          <cell r="H8">
            <v>0</v>
          </cell>
        </row>
        <row r="9">
          <cell r="C9" t="str">
            <v>bushels</v>
          </cell>
          <cell r="D9">
            <v>0</v>
          </cell>
          <cell r="E9">
            <v>0</v>
          </cell>
          <cell r="F9">
            <v>0</v>
          </cell>
          <cell r="G9">
            <v>0</v>
          </cell>
          <cell r="H9">
            <v>0</v>
          </cell>
        </row>
        <row r="10">
          <cell r="F10">
            <v>0</v>
          </cell>
          <cell r="G10">
            <v>0</v>
          </cell>
          <cell r="H10">
            <v>0</v>
          </cell>
        </row>
        <row r="11">
          <cell r="F11">
            <v>0</v>
          </cell>
          <cell r="G11">
            <v>0</v>
          </cell>
          <cell r="H11">
            <v>0</v>
          </cell>
        </row>
        <row r="12">
          <cell r="F12">
            <v>291.5</v>
          </cell>
          <cell r="G12">
            <v>291.5</v>
          </cell>
          <cell r="H12">
            <v>0</v>
          </cell>
        </row>
        <row r="15">
          <cell r="F15">
            <v>36</v>
          </cell>
          <cell r="G15">
            <v>36</v>
          </cell>
          <cell r="H15">
            <v>0</v>
          </cell>
        </row>
        <row r="16">
          <cell r="F16">
            <v>77.900000000000006</v>
          </cell>
          <cell r="G16">
            <v>77.900000000000006</v>
          </cell>
          <cell r="H16">
            <v>0</v>
          </cell>
        </row>
        <row r="17">
          <cell r="E17">
            <v>39.75</v>
          </cell>
        </row>
        <row r="18">
          <cell r="E18">
            <v>17.149999999999999</v>
          </cell>
        </row>
        <row r="19">
          <cell r="E19">
            <v>8</v>
          </cell>
        </row>
        <row r="20">
          <cell r="E20">
            <v>13</v>
          </cell>
        </row>
        <row r="21">
          <cell r="F21">
            <v>19.38</v>
          </cell>
          <cell r="G21">
            <v>19.38</v>
          </cell>
          <cell r="H21">
            <v>0</v>
          </cell>
        </row>
        <row r="22">
          <cell r="E22">
            <v>19.38</v>
          </cell>
        </row>
        <row r="23">
          <cell r="E23">
            <v>0</v>
          </cell>
        </row>
        <row r="24">
          <cell r="F24">
            <v>1</v>
          </cell>
          <cell r="G24">
            <v>1</v>
          </cell>
          <cell r="H24">
            <v>0</v>
          </cell>
        </row>
        <row r="25">
          <cell r="F25">
            <v>13</v>
          </cell>
          <cell r="G25">
            <v>13</v>
          </cell>
          <cell r="H25">
            <v>0</v>
          </cell>
        </row>
        <row r="26">
          <cell r="F26">
            <v>12</v>
          </cell>
          <cell r="G26">
            <v>12</v>
          </cell>
          <cell r="H26">
            <v>0</v>
          </cell>
        </row>
        <row r="27">
          <cell r="F27">
            <v>13.772941621140765</v>
          </cell>
          <cell r="G27">
            <v>13.772941621140765</v>
          </cell>
          <cell r="H27">
            <v>0</v>
          </cell>
        </row>
        <row r="28">
          <cell r="F28">
            <v>10.564209124880641</v>
          </cell>
          <cell r="G28">
            <v>10.564209124880641</v>
          </cell>
          <cell r="H28">
            <v>0</v>
          </cell>
        </row>
        <row r="29">
          <cell r="F29">
            <v>12.169842531095279</v>
          </cell>
          <cell r="G29">
            <v>12.169842531095279</v>
          </cell>
          <cell r="H29">
            <v>0</v>
          </cell>
        </row>
        <row r="30">
          <cell r="F30">
            <v>0</v>
          </cell>
          <cell r="G30">
            <v>0</v>
          </cell>
          <cell r="H30">
            <v>0</v>
          </cell>
        </row>
        <row r="31">
          <cell r="F31">
            <v>5.8736097983135007</v>
          </cell>
          <cell r="G31">
            <v>5.8736097983135007</v>
          </cell>
          <cell r="H31">
            <v>0</v>
          </cell>
        </row>
        <row r="32">
          <cell r="F32">
            <v>201.6606030754302</v>
          </cell>
          <cell r="G32">
            <v>201.6606030754302</v>
          </cell>
          <cell r="H32">
            <v>0</v>
          </cell>
        </row>
        <row r="35">
          <cell r="F35">
            <v>4.25</v>
          </cell>
          <cell r="G35">
            <v>4.25</v>
          </cell>
          <cell r="H35">
            <v>0</v>
          </cell>
        </row>
        <row r="36">
          <cell r="F36">
            <v>14.306653314023379</v>
          </cell>
          <cell r="G36">
            <v>14.306653314023379</v>
          </cell>
          <cell r="H36">
            <v>0</v>
          </cell>
        </row>
        <row r="37">
          <cell r="F37">
            <v>17.776766132218697</v>
          </cell>
          <cell r="G37">
            <v>17.776766132218697</v>
          </cell>
          <cell r="H37">
            <v>0</v>
          </cell>
        </row>
        <row r="38">
          <cell r="F38">
            <v>140</v>
          </cell>
          <cell r="G38">
            <v>0</v>
          </cell>
          <cell r="H38">
            <v>140</v>
          </cell>
        </row>
        <row r="39">
          <cell r="F39">
            <v>176.33341944624209</v>
          </cell>
          <cell r="G39">
            <v>36.333419446242075</v>
          </cell>
          <cell r="H39">
            <v>140</v>
          </cell>
        </row>
        <row r="41">
          <cell r="F41">
            <v>377.99402252167226</v>
          </cell>
          <cell r="G41">
            <v>237.99402252167226</v>
          </cell>
          <cell r="H41">
            <v>140</v>
          </cell>
        </row>
        <row r="43">
          <cell r="F43">
            <v>89.839396924569797</v>
          </cell>
          <cell r="G43">
            <v>89.839396924569797</v>
          </cell>
          <cell r="H43">
            <v>0</v>
          </cell>
        </row>
        <row r="44">
          <cell r="F44">
            <v>-86.494022521672264</v>
          </cell>
          <cell r="G44">
            <v>53.505977478327736</v>
          </cell>
          <cell r="H44">
            <v>-140</v>
          </cell>
        </row>
        <row r="46">
          <cell r="D46" t="str">
            <v>Operating costs per bushel</v>
          </cell>
          <cell r="F46">
            <v>3.6665564195532765</v>
          </cell>
          <cell r="G46">
            <v>3.6665564195532765</v>
          </cell>
          <cell r="H46" t="e">
            <v>#DIV/0!</v>
          </cell>
        </row>
        <row r="47">
          <cell r="D47" t="str">
            <v>Ownership costs per bushel</v>
          </cell>
          <cell r="F47">
            <v>3.2060621717498563</v>
          </cell>
          <cell r="G47">
            <v>0.66060762629531045</v>
          </cell>
          <cell r="H47" t="e">
            <v>#DIV/0!</v>
          </cell>
        </row>
        <row r="48">
          <cell r="D48" t="str">
            <v>Total costs per bushel</v>
          </cell>
          <cell r="F48">
            <v>6.8726185913031319</v>
          </cell>
          <cell r="G48">
            <v>4.3271640458485869</v>
          </cell>
          <cell r="H48" t="e">
            <v>#DIV/0!</v>
          </cell>
        </row>
        <row r="51">
          <cell r="B51" t="str">
            <v>Detailed Report</v>
          </cell>
          <cell r="C51" t="str">
            <v>Wheat</v>
          </cell>
          <cell r="F51" t="str">
            <v>2015 SRW</v>
          </cell>
        </row>
        <row r="53">
          <cell r="B53" t="str">
            <v>Selected input quantities</v>
          </cell>
          <cell r="C53" t="str">
            <v>per acre</v>
          </cell>
          <cell r="F53" t="str">
            <v>Selected input prices</v>
          </cell>
        </row>
        <row r="54">
          <cell r="B54" t="str">
            <v>Yield, bushels</v>
          </cell>
          <cell r="C54">
            <v>55</v>
          </cell>
          <cell r="F54" t="str">
            <v>Farm diesel, per gallon</v>
          </cell>
        </row>
        <row r="55">
          <cell r="B55" t="str">
            <v>Seeding rate, count</v>
          </cell>
          <cell r="C55">
            <v>100</v>
          </cell>
          <cell r="F55" t="str">
            <v>Operating interest, %</v>
          </cell>
        </row>
        <row r="56">
          <cell r="B56" t="str">
            <v>Nitrogen rate, lbs</v>
          </cell>
          <cell r="C56">
            <v>75</v>
          </cell>
          <cell r="F56" t="str">
            <v>Nitrogen, per lb</v>
          </cell>
        </row>
        <row r="57">
          <cell r="B57" t="str">
            <v>Phosphorus rate, lbs</v>
          </cell>
          <cell r="C57">
            <v>35</v>
          </cell>
          <cell r="F57" t="str">
            <v>Phosphorus, per lb</v>
          </cell>
        </row>
        <row r="58">
          <cell r="B58" t="str">
            <v>Potassium rate, lbs</v>
          </cell>
          <cell r="C58">
            <v>20</v>
          </cell>
          <cell r="F58" t="str">
            <v>Potassium, per lb</v>
          </cell>
        </row>
        <row r="59">
          <cell r="B59" t="str">
            <v>Lime rate, tons</v>
          </cell>
          <cell r="C59">
            <v>0.5</v>
          </cell>
          <cell r="F59" t="str">
            <v>Lime, per ton</v>
          </cell>
        </row>
        <row r="60">
          <cell r="B60" t="str">
            <v>Sum of allocated labor, hours</v>
          </cell>
          <cell r="C60">
            <v>0.8155445397093749</v>
          </cell>
          <cell r="F60" t="str">
            <v>Skilled labor, per hour</v>
          </cell>
        </row>
        <row r="61">
          <cell r="B61" t="str">
            <v>Irrigation, inches</v>
          </cell>
          <cell r="C61">
            <v>0</v>
          </cell>
          <cell r="F61" t="str">
            <v>Land value, per acre</v>
          </cell>
        </row>
        <row r="68">
          <cell r="B68" t="str">
            <v>No-till drill (20 ft); 200 MFWD</v>
          </cell>
          <cell r="C68">
            <v>0.11785714285714287</v>
          </cell>
          <cell r="D68">
            <v>1.0371428571428571</v>
          </cell>
          <cell r="E68">
            <v>8.8440812804509861</v>
          </cell>
          <cell r="F68">
            <v>12.466857734277623</v>
          </cell>
          <cell r="G68">
            <v>21.310939014728611</v>
          </cell>
        </row>
        <row r="69">
          <cell r="B69" t="str">
            <v>Boom sprayer (30 ft); 130 MFWD</v>
          </cell>
          <cell r="C69">
            <v>6.5088757396449703E-2</v>
          </cell>
          <cell r="D69">
            <v>0.37230769230769228</v>
          </cell>
          <cell r="E69">
            <v>3.3417888540143723</v>
          </cell>
          <cell r="F69">
            <v>3.1492959305098358</v>
          </cell>
          <cell r="G69">
            <v>6.4910847845242081</v>
          </cell>
        </row>
        <row r="70">
          <cell r="B70" t="str">
            <v>Combine, fixed grain head (30 ft); 275 HP Comb.</v>
          </cell>
          <cell r="C70">
            <v>7.4829931972789115E-2</v>
          </cell>
          <cell r="D70">
            <v>0.90544217687074835</v>
          </cell>
          <cell r="E70">
            <v>8.5786626603383969</v>
          </cell>
          <cell r="F70">
            <v>8.8641254045838682</v>
          </cell>
          <cell r="G70">
            <v>17.442788064922265</v>
          </cell>
        </row>
        <row r="71">
          <cell r="B71" t="str">
            <v>Grain cart (500 bushel); 200 MFWD</v>
          </cell>
          <cell r="C71">
            <v>4.6768707482993194E-2</v>
          </cell>
          <cell r="D71">
            <v>0.41156462585034009</v>
          </cell>
          <cell r="E71">
            <v>2.741955782312925</v>
          </cell>
          <cell r="F71">
            <v>2.5384838435374149</v>
          </cell>
          <cell r="G71">
            <v>5.2804396258503399</v>
          </cell>
        </row>
        <row r="72">
          <cell r="B72" t="str">
            <v>Grain auger 10 in- 5000 bu/hr (70 ft); 130 MFWD</v>
          </cell>
          <cell r="C72">
            <v>1.1000000000000001E-2</v>
          </cell>
          <cell r="D72">
            <v>6.2920000000000004E-2</v>
          </cell>
          <cell r="E72">
            <v>0.46670469999999997</v>
          </cell>
          <cell r="F72">
            <v>0.3875982</v>
          </cell>
          <cell r="G72">
            <v>0.85430289999999998</v>
          </cell>
        </row>
        <row r="73">
          <cell r="B73" t="str">
            <v>Semi, tractor and trailer</v>
          </cell>
          <cell r="C73"/>
          <cell r="D73">
            <v>0.48571428571428577</v>
          </cell>
          <cell r="E73">
            <v>3.1238000000000001</v>
          </cell>
          <cell r="F73">
            <v>2.0147333333333335</v>
          </cell>
          <cell r="G73">
            <v>5.1385333333333332</v>
          </cell>
        </row>
        <row r="74">
          <cell r="B74" t="str">
            <v>Pickup truck</v>
          </cell>
          <cell r="C74"/>
          <cell r="D74">
            <v>0.57692307692307698</v>
          </cell>
          <cell r="E74">
            <v>2.66</v>
          </cell>
          <cell r="F74">
            <v>2.6623250000000001</v>
          </cell>
          <cell r="G74">
            <v>5.3223250000000002</v>
          </cell>
        </row>
        <row r="75">
          <cell r="B75"/>
          <cell r="C75"/>
          <cell r="D75"/>
          <cell r="E75"/>
          <cell r="F75"/>
          <cell r="G75"/>
        </row>
        <row r="76">
          <cell r="B76"/>
          <cell r="C76"/>
          <cell r="D76"/>
          <cell r="E76"/>
          <cell r="F76"/>
          <cell r="G76"/>
        </row>
        <row r="77">
          <cell r="B77"/>
          <cell r="C77"/>
          <cell r="D77"/>
          <cell r="E77"/>
          <cell r="F77"/>
          <cell r="G77"/>
        </row>
        <row r="78">
          <cell r="B78"/>
          <cell r="C78"/>
          <cell r="D78"/>
          <cell r="E78"/>
          <cell r="F78"/>
          <cell r="G78"/>
        </row>
        <row r="79">
          <cell r="B79"/>
          <cell r="C79"/>
          <cell r="D79"/>
          <cell r="E79"/>
          <cell r="F79"/>
          <cell r="G79"/>
        </row>
        <row r="80">
          <cell r="B80"/>
          <cell r="C80"/>
          <cell r="D80"/>
          <cell r="E80"/>
          <cell r="F80"/>
          <cell r="G80"/>
        </row>
        <row r="81">
          <cell r="B81"/>
          <cell r="C81"/>
          <cell r="D81"/>
          <cell r="E81"/>
          <cell r="F81"/>
          <cell r="G81"/>
        </row>
        <row r="82">
          <cell r="B82"/>
          <cell r="C82"/>
          <cell r="D82"/>
          <cell r="E82"/>
          <cell r="F82"/>
          <cell r="G82"/>
        </row>
        <row r="83">
          <cell r="B83"/>
          <cell r="C83"/>
          <cell r="D83"/>
          <cell r="E83"/>
          <cell r="F83"/>
          <cell r="G83"/>
        </row>
        <row r="84">
          <cell r="B84"/>
          <cell r="C84"/>
          <cell r="D84"/>
          <cell r="E84"/>
          <cell r="F84"/>
          <cell r="G84"/>
        </row>
        <row r="85">
          <cell r="B85"/>
          <cell r="C85"/>
          <cell r="D85"/>
          <cell r="E85"/>
          <cell r="F85"/>
          <cell r="G85"/>
        </row>
        <row r="86">
          <cell r="B86"/>
          <cell r="C86"/>
          <cell r="D86"/>
          <cell r="E86"/>
          <cell r="F86"/>
          <cell r="G86"/>
        </row>
        <row r="87">
          <cell r="B87"/>
          <cell r="C87"/>
          <cell r="D87"/>
          <cell r="E87"/>
          <cell r="F87"/>
          <cell r="G87"/>
        </row>
        <row r="88">
          <cell r="B88"/>
          <cell r="C88"/>
          <cell r="D88"/>
          <cell r="E88"/>
          <cell r="F88"/>
          <cell r="G88"/>
        </row>
        <row r="89">
          <cell r="B89"/>
          <cell r="C89"/>
          <cell r="D89"/>
          <cell r="E89"/>
          <cell r="F89"/>
          <cell r="G89"/>
        </row>
        <row r="90">
          <cell r="B90"/>
          <cell r="C90"/>
          <cell r="D90"/>
          <cell r="E90"/>
          <cell r="F90"/>
          <cell r="G90"/>
        </row>
        <row r="91">
          <cell r="B91"/>
          <cell r="C91"/>
          <cell r="D91"/>
          <cell r="E91"/>
          <cell r="F91"/>
          <cell r="G91"/>
        </row>
        <row r="92">
          <cell r="B92"/>
          <cell r="C92"/>
          <cell r="D92"/>
          <cell r="E92"/>
          <cell r="F92"/>
          <cell r="G92"/>
        </row>
        <row r="93">
          <cell r="B93"/>
          <cell r="C93"/>
          <cell r="D93"/>
          <cell r="E93"/>
          <cell r="F93"/>
          <cell r="G93"/>
        </row>
        <row r="94">
          <cell r="B94"/>
          <cell r="C94"/>
          <cell r="D94"/>
          <cell r="E94"/>
          <cell r="F94"/>
          <cell r="G94"/>
        </row>
        <row r="95">
          <cell r="B95"/>
          <cell r="C95"/>
          <cell r="D95"/>
          <cell r="E95"/>
          <cell r="F95"/>
          <cell r="G95"/>
        </row>
        <row r="96">
          <cell r="B96"/>
          <cell r="C96"/>
          <cell r="D96"/>
          <cell r="E96"/>
          <cell r="F96"/>
          <cell r="G96"/>
        </row>
        <row r="97">
          <cell r="B97"/>
          <cell r="C97"/>
          <cell r="D97"/>
          <cell r="E97"/>
          <cell r="F97"/>
          <cell r="G97"/>
        </row>
        <row r="98">
          <cell r="B98"/>
          <cell r="C98"/>
          <cell r="D98"/>
          <cell r="E98"/>
          <cell r="F98"/>
          <cell r="G98"/>
        </row>
        <row r="101">
          <cell r="B101" t="str">
            <v>1 Farm business overhead includes liability insurance, utilities, accounting, etc. Machinery overhead is the sum of opportunity interest,</v>
          </cell>
        </row>
        <row r="102">
          <cell r="B102" t="str">
            <v xml:space="preserve">   property taxes, insurance, and housing. Machinery depreciation is a market value decline due to aging and usage. Thus, a portion of</v>
          </cell>
        </row>
        <row r="103">
          <cell r="B103" t="str">
            <v xml:space="preserve">   depreciation should be considered an operating costs for some decisions. Real estate charge includes land, improvements, taxes.</v>
          </cell>
        </row>
        <row r="104">
          <cell r="B104" t="str">
            <v xml:space="preserve">   Economic costs may differ from rental rates.</v>
          </cell>
        </row>
      </sheetData>
      <sheetData sheetId="15"/>
      <sheetData sheetId="16">
        <row r="4">
          <cell r="H4" t="str">
            <v>130 MFWD</v>
          </cell>
        </row>
        <row r="5">
          <cell r="H5" t="str">
            <v>200 MFWD</v>
          </cell>
        </row>
        <row r="24">
          <cell r="B24" t="str">
            <v>100 HP Comb.</v>
          </cell>
        </row>
        <row r="25">
          <cell r="B25" t="str">
            <v>220 HP Comb.</v>
          </cell>
        </row>
        <row r="26">
          <cell r="B26" t="str">
            <v>275 HP Comb.</v>
          </cell>
        </row>
        <row r="27">
          <cell r="B27" t="str">
            <v>340 HP Comb.</v>
          </cell>
        </row>
        <row r="31">
          <cell r="A31">
            <v>1</v>
          </cell>
        </row>
        <row r="32">
          <cell r="A32" t="str">
            <v>500 bushel</v>
          </cell>
        </row>
        <row r="33">
          <cell r="A33" t="str">
            <v>1000 bushel</v>
          </cell>
        </row>
        <row r="34">
          <cell r="A34" t="str">
            <v>70 ft</v>
          </cell>
        </row>
        <row r="39">
          <cell r="A39" t="str">
            <v>15 ft</v>
          </cell>
        </row>
        <row r="40">
          <cell r="A40" t="str">
            <v>23 ft</v>
          </cell>
        </row>
        <row r="41">
          <cell r="A41" t="str">
            <v>37 ft</v>
          </cell>
        </row>
        <row r="42">
          <cell r="A42" t="str">
            <v>57 ft</v>
          </cell>
        </row>
        <row r="43">
          <cell r="A43" t="str">
            <v>16.3 ft</v>
          </cell>
        </row>
        <row r="44">
          <cell r="A44" t="str">
            <v>21.3 ft</v>
          </cell>
        </row>
        <row r="45">
          <cell r="A45" t="str">
            <v>6 ft</v>
          </cell>
        </row>
        <row r="46">
          <cell r="A46" t="str">
            <v>7.5 ft</v>
          </cell>
        </row>
        <row r="47">
          <cell r="A47" t="str">
            <v>9 ft</v>
          </cell>
        </row>
        <row r="48">
          <cell r="A48" t="str">
            <v>12 ft</v>
          </cell>
        </row>
        <row r="49">
          <cell r="A49" t="str">
            <v>18 ft</v>
          </cell>
        </row>
        <row r="50">
          <cell r="A50" t="str">
            <v>23 ft</v>
          </cell>
        </row>
        <row r="51">
          <cell r="A51" t="str">
            <v>30 ft</v>
          </cell>
        </row>
        <row r="52">
          <cell r="A52" t="str">
            <v>35 ft</v>
          </cell>
        </row>
        <row r="53">
          <cell r="A53" t="str">
            <v>47 ft</v>
          </cell>
        </row>
        <row r="54">
          <cell r="A54" t="str">
            <v>60 ft</v>
          </cell>
        </row>
        <row r="55">
          <cell r="A55" t="str">
            <v>11 ft</v>
          </cell>
        </row>
        <row r="56">
          <cell r="A56" t="str">
            <v>21 ft</v>
          </cell>
        </row>
        <row r="57">
          <cell r="A57" t="str">
            <v>25 ft</v>
          </cell>
        </row>
        <row r="58">
          <cell r="A58" t="str">
            <v>30 ft</v>
          </cell>
        </row>
        <row r="59">
          <cell r="A59" t="str">
            <v>25" O.C., 10 ft</v>
          </cell>
        </row>
        <row r="60">
          <cell r="A60" t="str">
            <v>25" O.C., 18 ft</v>
          </cell>
        </row>
        <row r="61">
          <cell r="A61" t="str">
            <v>30" O.C., 17 ft</v>
          </cell>
        </row>
        <row r="62">
          <cell r="A62" t="str">
            <v>30" O.C., 22.5 ft</v>
          </cell>
        </row>
        <row r="63">
          <cell r="A63" t="str">
            <v>16 ft</v>
          </cell>
        </row>
        <row r="64">
          <cell r="A64" t="str">
            <v>25 ft</v>
          </cell>
        </row>
        <row r="65">
          <cell r="A65" t="str">
            <v>33 ft</v>
          </cell>
        </row>
        <row r="66">
          <cell r="A66" t="str">
            <v>17.5 ft</v>
          </cell>
        </row>
        <row r="67">
          <cell r="A67" t="str">
            <v>22.5 ft</v>
          </cell>
        </row>
        <row r="68">
          <cell r="A68" t="str">
            <v>22 ft</v>
          </cell>
        </row>
        <row r="69">
          <cell r="A69" t="str">
            <v>38 ft</v>
          </cell>
        </row>
        <row r="70">
          <cell r="A70" t="str">
            <v>12 ft</v>
          </cell>
        </row>
        <row r="71">
          <cell r="A71" t="str">
            <v>28 ft</v>
          </cell>
        </row>
        <row r="72">
          <cell r="A72" t="str">
            <v>6 row</v>
          </cell>
        </row>
        <row r="73">
          <cell r="A73" t="str">
            <v>8 row</v>
          </cell>
        </row>
        <row r="74">
          <cell r="A74" t="str">
            <v>12 row</v>
          </cell>
        </row>
        <row r="75">
          <cell r="A75" t="str">
            <v>16 row</v>
          </cell>
        </row>
        <row r="76">
          <cell r="A76" t="str">
            <v>(6/11 row 30/15")</v>
          </cell>
        </row>
        <row r="77">
          <cell r="A77" t="str">
            <v>(8/15 row 30/15")</v>
          </cell>
        </row>
        <row r="78">
          <cell r="A78" t="str">
            <v>(12/23 row 30/15")</v>
          </cell>
        </row>
        <row r="79">
          <cell r="A79" t="str">
            <v>(16/31 row 30/15")</v>
          </cell>
        </row>
        <row r="80">
          <cell r="A80" t="str">
            <v>6 row</v>
          </cell>
        </row>
        <row r="81">
          <cell r="A81" t="str">
            <v>8 row</v>
          </cell>
        </row>
        <row r="82">
          <cell r="A82" t="str">
            <v>12 row</v>
          </cell>
        </row>
        <row r="83">
          <cell r="A83" t="str">
            <v>16 row</v>
          </cell>
        </row>
        <row r="84">
          <cell r="A84" t="str">
            <v>16 ft</v>
          </cell>
        </row>
        <row r="85">
          <cell r="A85" t="str">
            <v>20 ft</v>
          </cell>
        </row>
        <row r="86">
          <cell r="A86" t="str">
            <v>25 ft</v>
          </cell>
        </row>
        <row r="87">
          <cell r="A87" t="str">
            <v>30 ft</v>
          </cell>
        </row>
        <row r="88">
          <cell r="A88" t="str">
            <v>15 ft</v>
          </cell>
        </row>
        <row r="89">
          <cell r="A89" t="str">
            <v>20 ft</v>
          </cell>
        </row>
        <row r="90">
          <cell r="A90" t="str">
            <v>30 ft</v>
          </cell>
        </row>
        <row r="91">
          <cell r="A91" t="str">
            <v>6 row</v>
          </cell>
        </row>
        <row r="92">
          <cell r="A92" t="str">
            <v>8 row</v>
          </cell>
        </row>
        <row r="93">
          <cell r="A93" t="str">
            <v>12 row</v>
          </cell>
        </row>
        <row r="94">
          <cell r="A94" t="str">
            <v>16 row</v>
          </cell>
        </row>
        <row r="95">
          <cell r="A95" t="str">
            <v>6 row</v>
          </cell>
        </row>
        <row r="96">
          <cell r="A96" t="str">
            <v>8 row</v>
          </cell>
        </row>
        <row r="97">
          <cell r="A97" t="str">
            <v>12 row</v>
          </cell>
        </row>
        <row r="99">
          <cell r="A99" t="str">
            <v>60 ft</v>
          </cell>
        </row>
        <row r="100">
          <cell r="A100" t="str">
            <v>30 ft</v>
          </cell>
        </row>
        <row r="101">
          <cell r="A101" t="str">
            <v>50 ft</v>
          </cell>
        </row>
        <row r="104">
          <cell r="A104" t="str">
            <v>7 ft swath</v>
          </cell>
        </row>
        <row r="105">
          <cell r="A105" t="str">
            <v>8 ft swath</v>
          </cell>
        </row>
        <row r="106">
          <cell r="A106" t="str">
            <v>9 ft swath</v>
          </cell>
        </row>
        <row r="107">
          <cell r="A107" t="str">
            <v>10 ft swath</v>
          </cell>
        </row>
        <row r="108">
          <cell r="A108" t="str">
            <v>6 ft</v>
          </cell>
        </row>
        <row r="109">
          <cell r="A109" t="str">
            <v>9 ft</v>
          </cell>
        </row>
        <row r="110">
          <cell r="A110" t="str">
            <v>8.5 ft</v>
          </cell>
        </row>
        <row r="111">
          <cell r="A111" t="str">
            <v>9.5 ft</v>
          </cell>
        </row>
        <row r="112">
          <cell r="A112" t="str">
            <v>tandem, 24 ft</v>
          </cell>
        </row>
        <row r="113">
          <cell r="A113" t="str">
            <v>7 ft swath</v>
          </cell>
        </row>
        <row r="114">
          <cell r="A114" t="str">
            <v>9 ft swath</v>
          </cell>
        </row>
        <row r="115">
          <cell r="A115" t="str">
            <v>12 ft swath</v>
          </cell>
        </row>
        <row r="118">
          <cell r="A118" t="str">
            <v>750 lb</v>
          </cell>
        </row>
        <row r="119">
          <cell r="A119" t="str">
            <v>1000 lb</v>
          </cell>
        </row>
        <row r="120">
          <cell r="A120" t="str">
            <v>1500 lb</v>
          </cell>
        </row>
        <row r="121">
          <cell r="A121" t="str">
            <v>2000 lb</v>
          </cell>
        </row>
        <row r="125">
          <cell r="A125" t="str">
            <v>15 ft</v>
          </cell>
        </row>
        <row r="126">
          <cell r="A126" t="str">
            <v>20 ft</v>
          </cell>
        </row>
        <row r="127">
          <cell r="A127" t="str">
            <v>30 ft</v>
          </cell>
        </row>
        <row r="128">
          <cell r="A128" t="str">
            <v>15 ft</v>
          </cell>
        </row>
        <row r="129">
          <cell r="A129" t="str">
            <v>18 ft</v>
          </cell>
        </row>
        <row r="130">
          <cell r="A130" t="str">
            <v>20 ft</v>
          </cell>
        </row>
        <row r="131">
          <cell r="A131" t="str">
            <v>25 ft</v>
          </cell>
        </row>
        <row r="132">
          <cell r="A132" t="str">
            <v>30 ft</v>
          </cell>
        </row>
        <row r="133">
          <cell r="A133" t="str">
            <v>6 row</v>
          </cell>
        </row>
        <row r="134">
          <cell r="A134" t="str">
            <v>8 row</v>
          </cell>
        </row>
        <row r="135">
          <cell r="A135" t="str">
            <v>12 row</v>
          </cell>
        </row>
        <row r="136">
          <cell r="A136" t="str">
            <v>8 wheel, 17.5 ft</v>
          </cell>
        </row>
        <row r="137">
          <cell r="A137" t="str">
            <v>10 wheel, 20 ft</v>
          </cell>
        </row>
        <row r="138">
          <cell r="A138" t="str">
            <v>12 wheel, 25 ft</v>
          </cell>
        </row>
        <row r="139">
          <cell r="A139" t="str">
            <v>16 wheel, 31 ft</v>
          </cell>
        </row>
        <row r="140">
          <cell r="A140" t="str">
            <v>20 wheel, 36 ft</v>
          </cell>
        </row>
        <row r="157">
          <cell r="G157" t="str">
            <v>Irrigated</v>
          </cell>
          <cell r="I157" t="str">
            <v>Corn, grain</v>
          </cell>
          <cell r="L157" t="str">
            <v>Bushel</v>
          </cell>
        </row>
        <row r="158">
          <cell r="C158">
            <v>6</v>
          </cell>
          <cell r="G158" t="str">
            <v>Dryland</v>
          </cell>
          <cell r="I158" t="str">
            <v>Corn, silage</v>
          </cell>
          <cell r="L158" t="str">
            <v>Ton</v>
          </cell>
        </row>
        <row r="159">
          <cell r="C159">
            <v>1</v>
          </cell>
          <cell r="I159" t="str">
            <v>Grain sorghum</v>
          </cell>
          <cell r="L159" t="str">
            <v>Cwt</v>
          </cell>
        </row>
        <row r="160">
          <cell r="C160">
            <v>1</v>
          </cell>
          <cell r="G160" t="str">
            <v>Owned land</v>
          </cell>
          <cell r="I160" t="str">
            <v>Soybeans</v>
          </cell>
          <cell r="L160" t="str">
            <v>Bale</v>
          </cell>
        </row>
        <row r="161">
          <cell r="C161">
            <v>2</v>
          </cell>
          <cell r="G161" t="str">
            <v>Cash rent</v>
          </cell>
          <cell r="I161" t="str">
            <v>Soybeans, double crop</v>
          </cell>
        </row>
        <row r="162">
          <cell r="C162">
            <v>1</v>
          </cell>
          <cell r="G162" t="str">
            <v>Share lease</v>
          </cell>
          <cell r="I162" t="str">
            <v>Wheat</v>
          </cell>
        </row>
        <row r="163">
          <cell r="I163" t="str">
            <v>Wheat &amp; straw</v>
          </cell>
        </row>
        <row r="164">
          <cell r="C164" t="str">
            <v>Wheat</v>
          </cell>
        </row>
      </sheetData>
      <sheetData sheetId="17">
        <row r="3">
          <cell r="E3" t="str">
            <v>cropnum-22706</v>
          </cell>
          <cell r="F3">
            <v>6</v>
          </cell>
        </row>
        <row r="4">
          <cell r="E4" t="str">
            <v>primyieldtype-22706</v>
          </cell>
          <cell r="F4">
            <v>1</v>
          </cell>
        </row>
        <row r="5">
          <cell r="E5" t="str">
            <v>byyieldtype-22706</v>
          </cell>
          <cell r="F5">
            <v>1</v>
          </cell>
        </row>
        <row r="6">
          <cell r="E6" t="str">
            <v>irrigation2-22706</v>
          </cell>
          <cell r="F6">
            <v>2</v>
          </cell>
        </row>
        <row r="7">
          <cell r="E7" t="str">
            <v>leasenum-22706</v>
          </cell>
          <cell r="F7">
            <v>1</v>
          </cell>
        </row>
        <row r="8">
          <cell r="E8" t="str">
            <v>40hp-22706</v>
          </cell>
          <cell r="F8">
            <v>0</v>
          </cell>
        </row>
        <row r="9">
          <cell r="E9" t="str">
            <v>60hp-22706</v>
          </cell>
          <cell r="F9">
            <v>0</v>
          </cell>
        </row>
        <row r="10">
          <cell r="E10" t="str">
            <v>75hp-22706</v>
          </cell>
          <cell r="F10">
            <v>0</v>
          </cell>
        </row>
        <row r="11">
          <cell r="E11" t="str">
            <v>105twd-22706</v>
          </cell>
          <cell r="F11">
            <v>0</v>
          </cell>
        </row>
        <row r="12">
          <cell r="E12" t="str">
            <v>140twd-22706</v>
          </cell>
          <cell r="F12">
            <v>0</v>
          </cell>
        </row>
        <row r="13">
          <cell r="E13" t="str">
            <v>105mfwd-22706</v>
          </cell>
          <cell r="F13">
            <v>0</v>
          </cell>
        </row>
        <row r="14">
          <cell r="E14" t="str">
            <v>130mfwd-22706</v>
          </cell>
          <cell r="F14" t="b">
            <v>1</v>
          </cell>
        </row>
        <row r="15">
          <cell r="E15" t="str">
            <v>160mfwd-22706</v>
          </cell>
          <cell r="F15">
            <v>0</v>
          </cell>
        </row>
        <row r="16">
          <cell r="E16" t="str">
            <v>200mfwd-22706</v>
          </cell>
          <cell r="F16" t="b">
            <v>1</v>
          </cell>
        </row>
        <row r="17">
          <cell r="E17" t="str">
            <v>225mfwd-22706</v>
          </cell>
          <cell r="F17">
            <v>0</v>
          </cell>
        </row>
        <row r="18">
          <cell r="E18" t="str">
            <v>2604wd-22706</v>
          </cell>
          <cell r="F18">
            <v>0</v>
          </cell>
        </row>
        <row r="19">
          <cell r="E19" t="str">
            <v>3104wd-22706</v>
          </cell>
          <cell r="F19">
            <v>0</v>
          </cell>
        </row>
        <row r="20">
          <cell r="E20" t="str">
            <v>360 4wd-22706</v>
          </cell>
          <cell r="F20">
            <v>0</v>
          </cell>
        </row>
        <row r="21">
          <cell r="E21" t="str">
            <v>4254wd-22706</v>
          </cell>
          <cell r="F21">
            <v>0</v>
          </cell>
        </row>
        <row r="22">
          <cell r="E22" t="str">
            <v>225tt-22706</v>
          </cell>
          <cell r="F22">
            <v>0</v>
          </cell>
        </row>
        <row r="23">
          <cell r="E23" t="str">
            <v>425tt-22706</v>
          </cell>
          <cell r="F23">
            <v>0</v>
          </cell>
        </row>
        <row r="24">
          <cell r="E24" t="str">
            <v>description-1-22706</v>
          </cell>
          <cell r="F24" t="str">
            <v>2014 SRW</v>
          </cell>
        </row>
        <row r="25">
          <cell r="E25" t="str">
            <v>acres-1-22706</v>
          </cell>
          <cell r="F25">
            <v>100</v>
          </cell>
        </row>
        <row r="26">
          <cell r="E26" t="str">
            <v>receipts-1-22706</v>
          </cell>
          <cell r="F26">
            <v>55</v>
          </cell>
        </row>
        <row r="27">
          <cell r="E27" t="str">
            <v>receipts-2-22706</v>
          </cell>
          <cell r="F27">
            <v>6.75</v>
          </cell>
        </row>
        <row r="28">
          <cell r="E28" t="str">
            <v>receipts-3-22706</v>
          </cell>
          <cell r="F28">
            <v>0</v>
          </cell>
        </row>
        <row r="29">
          <cell r="E29" t="str">
            <v>receipts-4-22706</v>
          </cell>
          <cell r="F29">
            <v>0</v>
          </cell>
        </row>
        <row r="30">
          <cell r="E30" t="str">
            <v>receipts-5-22706</v>
          </cell>
          <cell r="F30">
            <v>0</v>
          </cell>
        </row>
        <row r="31">
          <cell r="E31" t="str">
            <v>receipts-6-22706</v>
          </cell>
          <cell r="F31">
            <v>0</v>
          </cell>
        </row>
        <row r="32">
          <cell r="E32" t="str">
            <v>seed1-1-22706</v>
          </cell>
          <cell r="F32">
            <v>0</v>
          </cell>
        </row>
        <row r="33">
          <cell r="E33" t="str">
            <v>seed1-2-22706</v>
          </cell>
          <cell r="F33">
            <v>0</v>
          </cell>
        </row>
        <row r="34">
          <cell r="E34" t="str">
            <v>seed1-3-22706</v>
          </cell>
          <cell r="F34">
            <v>0</v>
          </cell>
        </row>
        <row r="35">
          <cell r="E35" t="str">
            <v>seed1-4-22706</v>
          </cell>
          <cell r="F35">
            <v>18</v>
          </cell>
        </row>
        <row r="36">
          <cell r="E36" t="str">
            <v>seed1-5-22706</v>
          </cell>
          <cell r="F36">
            <v>0</v>
          </cell>
        </row>
        <row r="37">
          <cell r="E37" t="str">
            <v>seed1-6-22706</v>
          </cell>
          <cell r="F37">
            <v>0</v>
          </cell>
        </row>
        <row r="38">
          <cell r="E38" t="str">
            <v>seed2-1-22706</v>
          </cell>
          <cell r="F38">
            <v>0</v>
          </cell>
        </row>
        <row r="39">
          <cell r="E39" t="str">
            <v>seed2-2-22706</v>
          </cell>
          <cell r="F39">
            <v>0</v>
          </cell>
        </row>
        <row r="40">
          <cell r="E40" t="str">
            <v>seed2-3-22706</v>
          </cell>
          <cell r="F40">
            <v>0</v>
          </cell>
        </row>
        <row r="41">
          <cell r="E41" t="str">
            <v>seed2-4-22706</v>
          </cell>
          <cell r="F41">
            <v>100</v>
          </cell>
        </row>
        <row r="42">
          <cell r="E42" t="str">
            <v>seed2-5-22706</v>
          </cell>
          <cell r="F42">
            <v>0</v>
          </cell>
        </row>
        <row r="43">
          <cell r="E43" t="str">
            <v>seed2-6-22706</v>
          </cell>
          <cell r="F43">
            <v>0</v>
          </cell>
        </row>
        <row r="44">
          <cell r="E44" t="str">
            <v>fertilizer1-1-22706</v>
          </cell>
          <cell r="F44">
            <v>0</v>
          </cell>
        </row>
        <row r="45">
          <cell r="E45" t="str">
            <v>fertilizer1-2-22706</v>
          </cell>
          <cell r="F45">
            <v>75</v>
          </cell>
        </row>
        <row r="46">
          <cell r="E46" t="str">
            <v>fertilizer1-3-22706</v>
          </cell>
          <cell r="F46">
            <v>0</v>
          </cell>
        </row>
        <row r="47">
          <cell r="E47" t="str">
            <v>fertilizer1-4-22706</v>
          </cell>
          <cell r="F47">
            <v>35</v>
          </cell>
        </row>
        <row r="48">
          <cell r="E48" t="str">
            <v>fertilizer1-5-22706</v>
          </cell>
          <cell r="F48">
            <v>20</v>
          </cell>
        </row>
        <row r="49">
          <cell r="E49" t="str">
            <v>fertilizer1-6-22706</v>
          </cell>
          <cell r="F49">
            <v>0.5</v>
          </cell>
        </row>
        <row r="50">
          <cell r="E50" t="str">
            <v>fertilizer1-7-22706</v>
          </cell>
          <cell r="F50">
            <v>10</v>
          </cell>
        </row>
        <row r="51">
          <cell r="E51" t="str">
            <v>fertilizer1-8-22706</v>
          </cell>
          <cell r="F51">
            <v>0</v>
          </cell>
        </row>
        <row r="52">
          <cell r="E52" t="str">
            <v>fertilizer2-1-22706</v>
          </cell>
          <cell r="F52">
            <v>0</v>
          </cell>
        </row>
        <row r="53">
          <cell r="E53" t="str">
            <v>fertilizer2-2-22706</v>
          </cell>
          <cell r="F53">
            <v>0.47</v>
          </cell>
        </row>
        <row r="54">
          <cell r="E54" t="str">
            <v>fertilizer2-3-22706</v>
          </cell>
          <cell r="F54">
            <v>0</v>
          </cell>
        </row>
        <row r="55">
          <cell r="E55" t="str">
            <v>fertilizer2-4-22706</v>
          </cell>
          <cell r="F55">
            <v>0.41</v>
          </cell>
        </row>
        <row r="56">
          <cell r="E56" t="str">
            <v>fertilizer2-5-22706</v>
          </cell>
          <cell r="F56">
            <v>0.44</v>
          </cell>
        </row>
        <row r="57">
          <cell r="E57" t="str">
            <v>fertilizer2-6-22706</v>
          </cell>
          <cell r="F57">
            <v>10</v>
          </cell>
        </row>
        <row r="58">
          <cell r="E58" t="str">
            <v>fertilizer2-7-22706</v>
          </cell>
          <cell r="F58">
            <v>0.55000000000000004</v>
          </cell>
        </row>
        <row r="59">
          <cell r="E59" t="str">
            <v>fertilizer2-8-22706</v>
          </cell>
          <cell r="F59">
            <v>0</v>
          </cell>
        </row>
        <row r="60">
          <cell r="E60" t="str">
            <v>herbicide1-1-22706</v>
          </cell>
          <cell r="F60">
            <v>0</v>
          </cell>
        </row>
        <row r="61">
          <cell r="E61" t="str">
            <v>herbicide1-2-22706</v>
          </cell>
          <cell r="F61">
            <v>0</v>
          </cell>
        </row>
        <row r="62">
          <cell r="E62" t="str">
            <v>herbicide1-3-22706</v>
          </cell>
          <cell r="F62">
            <v>0</v>
          </cell>
        </row>
        <row r="63">
          <cell r="E63" t="str">
            <v>herbicide1-4-22706</v>
          </cell>
          <cell r="F63">
            <v>1</v>
          </cell>
        </row>
        <row r="64">
          <cell r="E64" t="str">
            <v>herbicide1-5-22706</v>
          </cell>
          <cell r="F64">
            <v>0</v>
          </cell>
        </row>
        <row r="65">
          <cell r="E65" t="str">
            <v>herbicide1-6-22706</v>
          </cell>
          <cell r="F65">
            <v>0</v>
          </cell>
        </row>
        <row r="66">
          <cell r="E66" t="str">
            <v>herbicide1-7-22706</v>
          </cell>
          <cell r="F66">
            <v>0</v>
          </cell>
        </row>
        <row r="67">
          <cell r="E67" t="str">
            <v>herbicide1-8-22706</v>
          </cell>
          <cell r="F67">
            <v>0</v>
          </cell>
        </row>
        <row r="68">
          <cell r="E68" t="str">
            <v>herbicide2-1-22706</v>
          </cell>
          <cell r="F68">
            <v>0</v>
          </cell>
        </row>
        <row r="69">
          <cell r="E69" t="str">
            <v>herbicide2-2-22706</v>
          </cell>
          <cell r="F69">
            <v>0</v>
          </cell>
        </row>
        <row r="70">
          <cell r="E70" t="str">
            <v>herbicide2-3-22706</v>
          </cell>
          <cell r="F70">
            <v>0</v>
          </cell>
        </row>
        <row r="71">
          <cell r="E71" t="str">
            <v>herbicide2-4-22706</v>
          </cell>
          <cell r="F71">
            <v>19</v>
          </cell>
        </row>
        <row r="72">
          <cell r="E72" t="str">
            <v>herbicide2-5-22706</v>
          </cell>
          <cell r="F72">
            <v>0</v>
          </cell>
        </row>
        <row r="73">
          <cell r="E73" t="str">
            <v>herbicide2-6-22706</v>
          </cell>
          <cell r="F73">
            <v>0</v>
          </cell>
        </row>
        <row r="74">
          <cell r="E74" t="str">
            <v>herbicide2-7-22706</v>
          </cell>
          <cell r="F74">
            <v>0</v>
          </cell>
        </row>
        <row r="75">
          <cell r="E75" t="str">
            <v>herbicide2-8-22706</v>
          </cell>
          <cell r="F75">
            <v>0</v>
          </cell>
        </row>
        <row r="76">
          <cell r="E76" t="str">
            <v>herbicide2-9-22706</v>
          </cell>
          <cell r="F76">
            <v>0</v>
          </cell>
        </row>
        <row r="77">
          <cell r="E77" t="str">
            <v>insecticide1-1-22706</v>
          </cell>
          <cell r="F77">
            <v>0</v>
          </cell>
        </row>
        <row r="78">
          <cell r="E78" t="str">
            <v>insecticide1-2-22706</v>
          </cell>
          <cell r="F78">
            <v>0</v>
          </cell>
        </row>
        <row r="79">
          <cell r="E79" t="str">
            <v>insecticide1-3-22706</v>
          </cell>
          <cell r="F79">
            <v>0</v>
          </cell>
        </row>
        <row r="80">
          <cell r="E80" t="str">
            <v>insecticide1-4-22706</v>
          </cell>
          <cell r="F80">
            <v>0</v>
          </cell>
        </row>
        <row r="81">
          <cell r="E81" t="str">
            <v>insecticide2-1-22706</v>
          </cell>
          <cell r="F81">
            <v>0</v>
          </cell>
        </row>
        <row r="82">
          <cell r="E82" t="str">
            <v>insecticide2-2-22706</v>
          </cell>
          <cell r="F82">
            <v>0</v>
          </cell>
        </row>
        <row r="83">
          <cell r="E83" t="str">
            <v>insecticide2-3-22706</v>
          </cell>
          <cell r="F83">
            <v>0</v>
          </cell>
        </row>
        <row r="84">
          <cell r="E84" t="str">
            <v>insecticide2-4-22706</v>
          </cell>
          <cell r="F84">
            <v>0</v>
          </cell>
        </row>
        <row r="85">
          <cell r="E85" t="str">
            <v>insecticide2-5-22706</v>
          </cell>
          <cell r="F85">
            <v>0</v>
          </cell>
        </row>
        <row r="86">
          <cell r="E86" t="str">
            <v>labor-1-22706</v>
          </cell>
          <cell r="F86">
            <v>0.5</v>
          </cell>
        </row>
        <row r="87">
          <cell r="E87" t="str">
            <v>labor-2-22706</v>
          </cell>
          <cell r="F87">
            <v>12.5</v>
          </cell>
        </row>
        <row r="88">
          <cell r="E88" t="str">
            <v>labor-3-22706</v>
          </cell>
          <cell r="F88">
            <v>18</v>
          </cell>
        </row>
        <row r="89">
          <cell r="E89" t="str">
            <v>irrigation1-1-22706</v>
          </cell>
          <cell r="F89">
            <v>0</v>
          </cell>
        </row>
        <row r="90">
          <cell r="E90" t="str">
            <v>irrigation1-2-22706</v>
          </cell>
          <cell r="F90">
            <v>0</v>
          </cell>
        </row>
        <row r="91">
          <cell r="E91" t="str">
            <v>irrigation1-3-22706</v>
          </cell>
          <cell r="F91">
            <v>0</v>
          </cell>
        </row>
        <row r="92">
          <cell r="E92" t="str">
            <v>land-1-22706</v>
          </cell>
          <cell r="F92">
            <v>3600</v>
          </cell>
        </row>
        <row r="93">
          <cell r="E93" t="str">
            <v>land-2-22706</v>
          </cell>
          <cell r="F93">
            <v>5</v>
          </cell>
        </row>
        <row r="94">
          <cell r="E94" t="str">
            <v>land-3-22706</v>
          </cell>
          <cell r="F94">
            <v>0</v>
          </cell>
        </row>
        <row r="95">
          <cell r="E95" t="str">
            <v>land-3-9106</v>
          </cell>
          <cell r="F95">
            <v>0</v>
          </cell>
        </row>
        <row r="96">
          <cell r="E96" t="str">
            <v>land-4-22706</v>
          </cell>
          <cell r="F96">
            <v>0</v>
          </cell>
        </row>
        <row r="97">
          <cell r="E97" t="str">
            <v>otheritems1-1-22706</v>
          </cell>
          <cell r="F97">
            <v>6</v>
          </cell>
        </row>
        <row r="98">
          <cell r="E98" t="str">
            <v>otheritems1-2-22706</v>
          </cell>
          <cell r="F98">
            <v>3.6</v>
          </cell>
        </row>
        <row r="99">
          <cell r="E99" t="str">
            <v>otheritems1-3-22706</v>
          </cell>
          <cell r="F99">
            <v>3.3</v>
          </cell>
        </row>
        <row r="100">
          <cell r="E100" t="str">
            <v>otheritems1-4-22706</v>
          </cell>
          <cell r="F100">
            <v>1</v>
          </cell>
        </row>
        <row r="101">
          <cell r="E101" t="str">
            <v>otheritems1-5-22706</v>
          </cell>
          <cell r="F101">
            <v>0</v>
          </cell>
        </row>
        <row r="102">
          <cell r="E102" t="str">
            <v>otheritems1-6-22706</v>
          </cell>
          <cell r="F102">
            <v>18</v>
          </cell>
        </row>
        <row r="103">
          <cell r="E103" t="str">
            <v>otheritems1-7-22706</v>
          </cell>
          <cell r="F103">
            <v>0</v>
          </cell>
        </row>
        <row r="104">
          <cell r="E104" t="str">
            <v>postharvest-1-22706</v>
          </cell>
          <cell r="F104">
            <v>0</v>
          </cell>
        </row>
        <row r="105">
          <cell r="E105" t="str">
            <v>postharvest-2-22706</v>
          </cell>
          <cell r="F105">
            <v>0</v>
          </cell>
        </row>
        <row r="106">
          <cell r="E106" t="str">
            <v>postharvest-3-22706</v>
          </cell>
          <cell r="F106">
            <v>0</v>
          </cell>
        </row>
        <row r="107">
          <cell r="E107" t="str">
            <v>postharvest-4-22706</v>
          </cell>
          <cell r="F107">
            <v>0</v>
          </cell>
        </row>
        <row r="108">
          <cell r="E108" t="str">
            <v>postharvest-5-22706</v>
          </cell>
          <cell r="F108">
            <v>0</v>
          </cell>
        </row>
        <row r="109">
          <cell r="E109" t="str">
            <v>postharvest-6-22706</v>
          </cell>
          <cell r="F109">
            <v>5</v>
          </cell>
        </row>
        <row r="110">
          <cell r="E110" t="str">
            <v>postharvest-7-22706</v>
          </cell>
          <cell r="F110">
            <v>0</v>
          </cell>
        </row>
        <row r="111">
          <cell r="E111" t="str">
            <v>postharvest-8-22706</v>
          </cell>
          <cell r="F111">
            <v>0</v>
          </cell>
        </row>
        <row r="112">
          <cell r="E112" t="str">
            <v>postharvest-9-22706</v>
          </cell>
          <cell r="F112">
            <v>0</v>
          </cell>
        </row>
        <row r="113">
          <cell r="E113" t="str">
            <v>postharvest-10-22706</v>
          </cell>
          <cell r="F113">
            <v>6800</v>
          </cell>
        </row>
        <row r="114">
          <cell r="E114" t="str">
            <v>overhead-1-22706</v>
          </cell>
          <cell r="F114">
            <v>0</v>
          </cell>
        </row>
        <row r="115">
          <cell r="E115" t="str">
            <v>overhead-2-22706</v>
          </cell>
          <cell r="F115">
            <v>0</v>
          </cell>
        </row>
        <row r="116">
          <cell r="E116" t="str">
            <v>overhead-3-22706</v>
          </cell>
          <cell r="F116">
            <v>8500</v>
          </cell>
        </row>
        <row r="117">
          <cell r="E117" t="str">
            <v>overhead-4-22706</v>
          </cell>
          <cell r="F117">
            <v>5</v>
          </cell>
        </row>
        <row r="118">
          <cell r="E118" t="str">
            <v>overhead-5-22706</v>
          </cell>
          <cell r="F118">
            <v>15000</v>
          </cell>
        </row>
        <row r="119">
          <cell r="E119" t="str">
            <v>overhead-6-22706</v>
          </cell>
          <cell r="F119">
            <v>5</v>
          </cell>
        </row>
        <row r="120">
          <cell r="E120" t="str">
            <v>landlord_share-1-22706</v>
          </cell>
          <cell r="F120">
            <v>0</v>
          </cell>
        </row>
        <row r="121">
          <cell r="E121" t="str">
            <v>landlord_share-2-22706</v>
          </cell>
          <cell r="F121">
            <v>0</v>
          </cell>
        </row>
        <row r="122">
          <cell r="E122" t="str">
            <v>landlord_share-3-22706</v>
          </cell>
          <cell r="F122">
            <v>0</v>
          </cell>
        </row>
        <row r="123">
          <cell r="E123" t="str">
            <v>landlord_share-4-22706</v>
          </cell>
          <cell r="F123">
            <v>0</v>
          </cell>
        </row>
        <row r="124">
          <cell r="E124" t="str">
            <v>landlord_share-5-22706</v>
          </cell>
          <cell r="F124">
            <v>0</v>
          </cell>
        </row>
        <row r="125">
          <cell r="E125" t="str">
            <v>landlord_share-6-22706</v>
          </cell>
          <cell r="F125">
            <v>0</v>
          </cell>
        </row>
        <row r="126">
          <cell r="E126" t="str">
            <v>landlord_share-7-22706</v>
          </cell>
          <cell r="F126">
            <v>0</v>
          </cell>
        </row>
        <row r="127">
          <cell r="E127" t="str">
            <v>landlord_share-8-22706</v>
          </cell>
          <cell r="F127">
            <v>0</v>
          </cell>
        </row>
        <row r="128">
          <cell r="E128" t="str">
            <v>landlord_share-9-22706</v>
          </cell>
          <cell r="F128">
            <v>0</v>
          </cell>
        </row>
        <row r="129">
          <cell r="E129" t="str">
            <v>landlord_share-10-22706</v>
          </cell>
          <cell r="F129">
            <v>0</v>
          </cell>
        </row>
        <row r="130">
          <cell r="E130" t="str">
            <v>landlord_share-11-22706</v>
          </cell>
          <cell r="F130">
            <v>0</v>
          </cell>
        </row>
        <row r="131">
          <cell r="E131" t="str">
            <v>customhire1-1-22706</v>
          </cell>
          <cell r="F131">
            <v>5.5</v>
          </cell>
        </row>
        <row r="132">
          <cell r="E132" t="str">
            <v>customhire1-2-22706</v>
          </cell>
          <cell r="F132">
            <v>0</v>
          </cell>
        </row>
        <row r="133">
          <cell r="E133" t="str">
            <v>customhire1-3-22706</v>
          </cell>
          <cell r="F133">
            <v>0</v>
          </cell>
        </row>
        <row r="134">
          <cell r="E134" t="str">
            <v>customhire1-4-22706</v>
          </cell>
          <cell r="F134">
            <v>0</v>
          </cell>
        </row>
        <row r="135">
          <cell r="E135" t="str">
            <v>customhire1-5-22706</v>
          </cell>
          <cell r="F135">
            <v>0</v>
          </cell>
        </row>
        <row r="136">
          <cell r="E136" t="str">
            <v>customhire1-6-22706</v>
          </cell>
          <cell r="F136">
            <v>0</v>
          </cell>
        </row>
        <row r="137">
          <cell r="E137" t="str">
            <v>customhire1-7-22706</v>
          </cell>
          <cell r="F137">
            <v>0</v>
          </cell>
        </row>
        <row r="138">
          <cell r="E138" t="str">
            <v>customhire1-8-22706</v>
          </cell>
          <cell r="F138">
            <v>0</v>
          </cell>
        </row>
        <row r="139">
          <cell r="E139" t="str">
            <v>customhire1-9-22706</v>
          </cell>
          <cell r="F139">
            <v>0</v>
          </cell>
        </row>
        <row r="140">
          <cell r="E140" t="str">
            <v>customhire1-10-22706</v>
          </cell>
          <cell r="F140">
            <v>0</v>
          </cell>
        </row>
        <row r="141">
          <cell r="E141" t="str">
            <v>customhire1-11-22706</v>
          </cell>
          <cell r="F141">
            <v>0</v>
          </cell>
        </row>
        <row r="142">
          <cell r="E142" t="str">
            <v>customhire1-12-22706</v>
          </cell>
          <cell r="F142">
            <v>0</v>
          </cell>
        </row>
        <row r="143">
          <cell r="E143" t="str">
            <v>customhire1-13-22706</v>
          </cell>
          <cell r="F143">
            <v>0</v>
          </cell>
        </row>
        <row r="144">
          <cell r="E144" t="str">
            <v>customhire2-1-22706</v>
          </cell>
          <cell r="F144">
            <v>2</v>
          </cell>
        </row>
        <row r="145">
          <cell r="E145" t="str">
            <v>customhire2-2-22706</v>
          </cell>
          <cell r="F145">
            <v>0</v>
          </cell>
        </row>
        <row r="146">
          <cell r="E146" t="str">
            <v>customhire2-3-22706</v>
          </cell>
          <cell r="F146">
            <v>0</v>
          </cell>
        </row>
        <row r="147">
          <cell r="E147" t="str">
            <v>customhire2-4-22706</v>
          </cell>
          <cell r="F147">
            <v>0</v>
          </cell>
        </row>
        <row r="148">
          <cell r="E148" t="str">
            <v>customhire2-5-22706</v>
          </cell>
          <cell r="F148">
            <v>0</v>
          </cell>
        </row>
        <row r="149">
          <cell r="E149" t="str">
            <v>customhire2-6-22706</v>
          </cell>
          <cell r="F149">
            <v>0</v>
          </cell>
        </row>
        <row r="150">
          <cell r="E150" t="str">
            <v>customhire2-7-22706</v>
          </cell>
          <cell r="F150">
            <v>0</v>
          </cell>
        </row>
        <row r="151">
          <cell r="E151" t="str">
            <v>customhire2-8-22706</v>
          </cell>
          <cell r="F151">
            <v>0</v>
          </cell>
        </row>
        <row r="152">
          <cell r="E152" t="str">
            <v>size-1-3806</v>
          </cell>
          <cell r="F152" t="str">
            <v>15 ft</v>
          </cell>
        </row>
        <row r="153">
          <cell r="E153" t="str">
            <v>size-2-3806</v>
          </cell>
          <cell r="F153" t="str">
            <v>16.3 ft</v>
          </cell>
        </row>
        <row r="154">
          <cell r="E154" t="str">
            <v>size-3-3806</v>
          </cell>
          <cell r="F154" t="str">
            <v>6 ft</v>
          </cell>
        </row>
        <row r="155">
          <cell r="E155" t="str">
            <v>size-4-3806</v>
          </cell>
          <cell r="F155" t="str">
            <v>35 ft</v>
          </cell>
        </row>
        <row r="156">
          <cell r="E156" t="str">
            <v>size-5-3806</v>
          </cell>
          <cell r="F156" t="str">
            <v>30 ft</v>
          </cell>
        </row>
        <row r="157">
          <cell r="E157" t="str">
            <v>size-6-3806</v>
          </cell>
          <cell r="F157" t="str">
            <v>30" O.C., 17 ft</v>
          </cell>
        </row>
        <row r="158">
          <cell r="E158" t="str">
            <v>size-7-3806</v>
          </cell>
          <cell r="F158" t="str">
            <v>16 ft</v>
          </cell>
        </row>
        <row r="159">
          <cell r="E159" t="str">
            <v>size-8-3806</v>
          </cell>
          <cell r="F159" t="str">
            <v>17.5 ft</v>
          </cell>
        </row>
        <row r="160">
          <cell r="E160" t="str">
            <v>size-9-3806</v>
          </cell>
          <cell r="F160" t="str">
            <v>22 ft</v>
          </cell>
        </row>
        <row r="161">
          <cell r="E161" t="str">
            <v>size-10-3806</v>
          </cell>
          <cell r="F161" t="str">
            <v>12 ft</v>
          </cell>
        </row>
        <row r="162">
          <cell r="E162" t="str">
            <v>size-11-3806</v>
          </cell>
          <cell r="F162" t="str">
            <v>6 row</v>
          </cell>
        </row>
        <row r="163">
          <cell r="E163" t="str">
            <v>size-12-3806</v>
          </cell>
          <cell r="F163" t="str">
            <v>(16/31 row 30/15")</v>
          </cell>
        </row>
        <row r="164">
          <cell r="E164" t="str">
            <v>size-13-3806</v>
          </cell>
          <cell r="F164" t="str">
            <v>6 row</v>
          </cell>
        </row>
        <row r="165">
          <cell r="E165" t="str">
            <v>size-14-3806</v>
          </cell>
          <cell r="F165" t="str">
            <v>16 ft</v>
          </cell>
        </row>
        <row r="166">
          <cell r="E166" t="str">
            <v>size-15-3806</v>
          </cell>
          <cell r="F166" t="str">
            <v>20 ft</v>
          </cell>
        </row>
        <row r="167">
          <cell r="E167" t="str">
            <v>size-16-3806</v>
          </cell>
          <cell r="F167" t="str">
            <v>6 row</v>
          </cell>
        </row>
        <row r="168">
          <cell r="E168" t="str">
            <v>size-17-3806</v>
          </cell>
          <cell r="F168" t="str">
            <v>6 row</v>
          </cell>
        </row>
        <row r="169">
          <cell r="E169" t="str">
            <v>size-18-3806</v>
          </cell>
          <cell r="F169" t="str">
            <v>30 ft</v>
          </cell>
        </row>
        <row r="170">
          <cell r="E170" t="str">
            <v>size-27-101707</v>
          </cell>
          <cell r="F170" t="str">
            <v>7 ft swath</v>
          </cell>
        </row>
        <row r="171">
          <cell r="E171" t="str">
            <v>size-19-3806</v>
          </cell>
          <cell r="F171" t="str">
            <v>6 ft</v>
          </cell>
        </row>
        <row r="172">
          <cell r="E172" t="str">
            <v>size-28-101707</v>
          </cell>
          <cell r="F172" t="str">
            <v>7 ft swath</v>
          </cell>
        </row>
        <row r="173">
          <cell r="E173" t="str">
            <v>size-25-101707</v>
          </cell>
          <cell r="F173" t="str">
            <v>10 wheel, 20 ft</v>
          </cell>
        </row>
        <row r="174">
          <cell r="E174" t="str">
            <v>size-26-101707</v>
          </cell>
          <cell r="F174" t="str">
            <v>9.5 ft</v>
          </cell>
        </row>
        <row r="175">
          <cell r="E175" t="str">
            <v>size-20-101707</v>
          </cell>
          <cell r="F175" t="str">
            <v>1000 lb</v>
          </cell>
        </row>
        <row r="176">
          <cell r="E176" t="str">
            <v>size-21-3806</v>
          </cell>
          <cell r="F176" t="str">
            <v>30 ft</v>
          </cell>
        </row>
        <row r="177">
          <cell r="E177" t="str">
            <v>size-22-3806</v>
          </cell>
          <cell r="F177" t="str">
            <v>30 ft</v>
          </cell>
        </row>
        <row r="178">
          <cell r="E178" t="str">
            <v>size-23-3806</v>
          </cell>
          <cell r="F178" t="str">
            <v>8 row</v>
          </cell>
        </row>
        <row r="179">
          <cell r="E179" t="str">
            <v>size-24-3806</v>
          </cell>
          <cell r="F179" t="str">
            <v>500 bushel</v>
          </cell>
        </row>
        <row r="180">
          <cell r="E180" t="str">
            <v>power-1-22706</v>
          </cell>
          <cell r="F180">
            <v>0</v>
          </cell>
        </row>
        <row r="181">
          <cell r="E181" t="str">
            <v>power-2-22706</v>
          </cell>
          <cell r="F181">
            <v>0</v>
          </cell>
        </row>
        <row r="182">
          <cell r="E182" t="str">
            <v>power-3-22706</v>
          </cell>
          <cell r="F182">
            <v>0</v>
          </cell>
        </row>
        <row r="183">
          <cell r="E183" t="str">
            <v>power-4-22706</v>
          </cell>
          <cell r="F183">
            <v>0</v>
          </cell>
        </row>
        <row r="184">
          <cell r="E184" t="str">
            <v>power-5-22706</v>
          </cell>
          <cell r="F184">
            <v>0</v>
          </cell>
        </row>
        <row r="185">
          <cell r="E185" t="str">
            <v>power-6-22706</v>
          </cell>
          <cell r="F185">
            <v>0</v>
          </cell>
        </row>
        <row r="186">
          <cell r="E186" t="str">
            <v>power-7-22706</v>
          </cell>
          <cell r="F186">
            <v>0</v>
          </cell>
        </row>
        <row r="187">
          <cell r="E187" t="str">
            <v>power-8-22706</v>
          </cell>
          <cell r="F187">
            <v>0</v>
          </cell>
        </row>
        <row r="188">
          <cell r="E188" t="str">
            <v>power-9-22706</v>
          </cell>
          <cell r="F188">
            <v>0</v>
          </cell>
        </row>
        <row r="189">
          <cell r="E189" t="str">
            <v>power-10-22706</v>
          </cell>
          <cell r="F189">
            <v>0</v>
          </cell>
        </row>
        <row r="190">
          <cell r="E190" t="str">
            <v>power-11-22706</v>
          </cell>
          <cell r="F190">
            <v>0</v>
          </cell>
        </row>
        <row r="191">
          <cell r="E191" t="str">
            <v>power-12-22706</v>
          </cell>
          <cell r="F191">
            <v>0</v>
          </cell>
        </row>
        <row r="192">
          <cell r="E192" t="str">
            <v>power-13-22706</v>
          </cell>
          <cell r="F192">
            <v>0</v>
          </cell>
        </row>
        <row r="193">
          <cell r="E193" t="str">
            <v>power-14-22706</v>
          </cell>
          <cell r="F193">
            <v>0</v>
          </cell>
        </row>
        <row r="194">
          <cell r="E194" t="str">
            <v>power-15-22706</v>
          </cell>
          <cell r="F194" t="str">
            <v>200 MFWD</v>
          </cell>
        </row>
        <row r="195">
          <cell r="E195" t="str">
            <v>power-16-22706</v>
          </cell>
          <cell r="F195">
            <v>0</v>
          </cell>
        </row>
        <row r="196">
          <cell r="E196" t="str">
            <v>power-17-22706</v>
          </cell>
          <cell r="F196">
            <v>0</v>
          </cell>
        </row>
        <row r="197">
          <cell r="E197" t="str">
            <v>power-18-22706</v>
          </cell>
          <cell r="F197">
            <v>0</v>
          </cell>
        </row>
        <row r="198">
          <cell r="E198" t="str">
            <v>power-19-22706</v>
          </cell>
          <cell r="F198">
            <v>0</v>
          </cell>
        </row>
        <row r="199">
          <cell r="E199" t="str">
            <v>power-20-22706</v>
          </cell>
          <cell r="F199" t="str">
            <v>130 MFWD</v>
          </cell>
        </row>
        <row r="200">
          <cell r="E200" t="str">
            <v>power-21-22706</v>
          </cell>
          <cell r="F200">
            <v>0</v>
          </cell>
        </row>
        <row r="201">
          <cell r="E201" t="str">
            <v>power-22-22706</v>
          </cell>
          <cell r="F201">
            <v>0</v>
          </cell>
        </row>
        <row r="202">
          <cell r="E202" t="str">
            <v>power-23-22706</v>
          </cell>
          <cell r="F202">
            <v>0</v>
          </cell>
        </row>
        <row r="203">
          <cell r="E203" t="str">
            <v>power-24-22706</v>
          </cell>
          <cell r="F203">
            <v>0</v>
          </cell>
        </row>
        <row r="204">
          <cell r="E204" t="str">
            <v>power-25-22706</v>
          </cell>
          <cell r="F204">
            <v>0</v>
          </cell>
        </row>
        <row r="205">
          <cell r="E205" t="str">
            <v>power-26-22706</v>
          </cell>
          <cell r="F205">
            <v>0</v>
          </cell>
        </row>
        <row r="206">
          <cell r="E206" t="str">
            <v>power-27-22706</v>
          </cell>
          <cell r="F206">
            <v>0</v>
          </cell>
        </row>
        <row r="207">
          <cell r="E207" t="str">
            <v>power-28-22706</v>
          </cell>
          <cell r="F207">
            <v>0</v>
          </cell>
        </row>
        <row r="208">
          <cell r="E208" t="str">
            <v>power-29-22706</v>
          </cell>
          <cell r="F208">
            <v>0</v>
          </cell>
        </row>
        <row r="209">
          <cell r="E209" t="str">
            <v>power-30-22706</v>
          </cell>
          <cell r="F209">
            <v>0</v>
          </cell>
        </row>
        <row r="210">
          <cell r="E210" t="str">
            <v>power-31-22706</v>
          </cell>
          <cell r="F210">
            <v>0</v>
          </cell>
        </row>
        <row r="211">
          <cell r="E211" t="str">
            <v>power-32-22706</v>
          </cell>
          <cell r="F211">
            <v>0</v>
          </cell>
        </row>
        <row r="212">
          <cell r="E212" t="str">
            <v>power-33-22706</v>
          </cell>
          <cell r="F212">
            <v>0</v>
          </cell>
        </row>
        <row r="213">
          <cell r="E213" t="str">
            <v>power-34-22706</v>
          </cell>
          <cell r="F213">
            <v>0</v>
          </cell>
        </row>
        <row r="214">
          <cell r="E214" t="str">
            <v>power-35-22706</v>
          </cell>
          <cell r="F214">
            <v>0</v>
          </cell>
        </row>
        <row r="215">
          <cell r="E215" t="str">
            <v>power-36-22706</v>
          </cell>
          <cell r="F215">
            <v>0</v>
          </cell>
        </row>
        <row r="216">
          <cell r="E216" t="str">
            <v>power-37-22706</v>
          </cell>
          <cell r="F216" t="str">
            <v>200 MFWD</v>
          </cell>
        </row>
        <row r="217">
          <cell r="E217" t="str">
            <v>power-38-22706</v>
          </cell>
          <cell r="F217" t="str">
            <v>130 MFWD</v>
          </cell>
        </row>
        <row r="218">
          <cell r="E218" t="str">
            <v>passes-1-22706</v>
          </cell>
          <cell r="F218">
            <v>0</v>
          </cell>
        </row>
        <row r="219">
          <cell r="E219" t="str">
            <v>passes-2-22706</v>
          </cell>
          <cell r="F219">
            <v>0</v>
          </cell>
        </row>
        <row r="220">
          <cell r="E220" t="str">
            <v>passes-3-22706</v>
          </cell>
          <cell r="F220">
            <v>0</v>
          </cell>
        </row>
        <row r="221">
          <cell r="E221" t="str">
            <v>passes-4-22706</v>
          </cell>
          <cell r="F221">
            <v>0</v>
          </cell>
        </row>
        <row r="222">
          <cell r="E222" t="str">
            <v>passes-5-22706</v>
          </cell>
          <cell r="F222">
            <v>0</v>
          </cell>
        </row>
        <row r="223">
          <cell r="E223" t="str">
            <v>passes-6-22706</v>
          </cell>
          <cell r="F223">
            <v>0</v>
          </cell>
        </row>
        <row r="224">
          <cell r="E224" t="str">
            <v>passes-7-22706</v>
          </cell>
          <cell r="F224">
            <v>0</v>
          </cell>
        </row>
        <row r="225">
          <cell r="E225" t="str">
            <v>passes-8-22706</v>
          </cell>
          <cell r="F225">
            <v>0</v>
          </cell>
        </row>
        <row r="226">
          <cell r="E226" t="str">
            <v>passes-9-22706</v>
          </cell>
          <cell r="F226">
            <v>0</v>
          </cell>
        </row>
        <row r="227">
          <cell r="E227" t="str">
            <v>passes-10-22706</v>
          </cell>
          <cell r="F227">
            <v>0</v>
          </cell>
        </row>
        <row r="228">
          <cell r="E228" t="str">
            <v>passes-11-22706</v>
          </cell>
          <cell r="F228">
            <v>0</v>
          </cell>
        </row>
        <row r="229">
          <cell r="E229" t="str">
            <v>passes-12-22706</v>
          </cell>
          <cell r="F229">
            <v>0</v>
          </cell>
        </row>
        <row r="230">
          <cell r="E230" t="str">
            <v>passes-13-22706</v>
          </cell>
          <cell r="F230">
            <v>0</v>
          </cell>
        </row>
        <row r="231">
          <cell r="E231" t="str">
            <v>passes-14-22706</v>
          </cell>
          <cell r="F231">
            <v>0</v>
          </cell>
        </row>
        <row r="232">
          <cell r="E232" t="str">
            <v>passes-15-22706</v>
          </cell>
          <cell r="F232">
            <v>1</v>
          </cell>
        </row>
        <row r="233">
          <cell r="E233" t="str">
            <v>passes-16-22706</v>
          </cell>
          <cell r="F233">
            <v>0</v>
          </cell>
        </row>
        <row r="234">
          <cell r="E234" t="str">
            <v>passes-17-22706</v>
          </cell>
          <cell r="F234">
            <v>0</v>
          </cell>
        </row>
        <row r="235">
          <cell r="E235" t="str">
            <v>passes-18-22706</v>
          </cell>
          <cell r="F235">
            <v>0</v>
          </cell>
        </row>
        <row r="236">
          <cell r="E236" t="str">
            <v>passes-19-22706</v>
          </cell>
          <cell r="F236">
            <v>0</v>
          </cell>
        </row>
        <row r="237">
          <cell r="E237" t="str">
            <v>passes-20-22706</v>
          </cell>
          <cell r="F237">
            <v>1</v>
          </cell>
        </row>
        <row r="238">
          <cell r="E238" t="str">
            <v>passes-21-22706</v>
          </cell>
          <cell r="F238">
            <v>0</v>
          </cell>
        </row>
        <row r="239">
          <cell r="E239" t="str">
            <v>passes-22-22706</v>
          </cell>
          <cell r="F239">
            <v>0</v>
          </cell>
        </row>
        <row r="240">
          <cell r="E240" t="str">
            <v>passes-23-22706</v>
          </cell>
          <cell r="F240">
            <v>0</v>
          </cell>
        </row>
        <row r="241">
          <cell r="E241" t="str">
            <v>passes-24-22706</v>
          </cell>
          <cell r="F241">
            <v>0</v>
          </cell>
        </row>
        <row r="242">
          <cell r="E242" t="str">
            <v>passes-25-22706</v>
          </cell>
          <cell r="F242">
            <v>0</v>
          </cell>
        </row>
        <row r="243">
          <cell r="E243" t="str">
            <v>passes-26-22706</v>
          </cell>
          <cell r="F243">
            <v>0</v>
          </cell>
        </row>
        <row r="244">
          <cell r="E244" t="str">
            <v>passes-27-22706</v>
          </cell>
          <cell r="F244">
            <v>0</v>
          </cell>
        </row>
        <row r="245">
          <cell r="E245" t="str">
            <v>passes-28-22706</v>
          </cell>
          <cell r="F245">
            <v>0</v>
          </cell>
        </row>
        <row r="246">
          <cell r="E246" t="str">
            <v>passes-29-22706</v>
          </cell>
          <cell r="F246">
            <v>0</v>
          </cell>
        </row>
        <row r="247">
          <cell r="E247" t="str">
            <v>passes-30-22706</v>
          </cell>
          <cell r="F247">
            <v>0</v>
          </cell>
        </row>
        <row r="248">
          <cell r="E248" t="str">
            <v>passes-31-22706</v>
          </cell>
          <cell r="F248">
            <v>0</v>
          </cell>
        </row>
        <row r="249">
          <cell r="E249" t="str">
            <v>passes-32-22706</v>
          </cell>
          <cell r="F249">
            <v>0</v>
          </cell>
        </row>
        <row r="250">
          <cell r="E250" t="str">
            <v>passes-33-22706</v>
          </cell>
          <cell r="F250">
            <v>0</v>
          </cell>
        </row>
        <row r="251">
          <cell r="E251" t="str">
            <v>passes-34-22706</v>
          </cell>
          <cell r="F251">
            <v>0</v>
          </cell>
        </row>
        <row r="252">
          <cell r="E252" t="str">
            <v>passes-35-22706</v>
          </cell>
          <cell r="F252">
            <v>0</v>
          </cell>
        </row>
        <row r="253">
          <cell r="E253" t="str">
            <v>passes-36-22706</v>
          </cell>
          <cell r="F253">
            <v>0</v>
          </cell>
        </row>
        <row r="254">
          <cell r="E254" t="str">
            <v>passes-37-22706</v>
          </cell>
          <cell r="F254">
            <v>0</v>
          </cell>
        </row>
        <row r="255">
          <cell r="E255" t="str">
            <v>passes-38-22706</v>
          </cell>
          <cell r="F255">
            <v>1</v>
          </cell>
        </row>
        <row r="256">
          <cell r="E256" t="str">
            <v>passes-39-22706</v>
          </cell>
          <cell r="F256">
            <v>0</v>
          </cell>
        </row>
        <row r="257">
          <cell r="E257" t="str">
            <v>passes-40-22706</v>
          </cell>
          <cell r="F257">
            <v>0</v>
          </cell>
        </row>
        <row r="258">
          <cell r="E258" t="str">
            <v>rent-1-82906</v>
          </cell>
          <cell r="F258">
            <v>0</v>
          </cell>
        </row>
        <row r="259">
          <cell r="E259" t="str">
            <v>rent-2-82906</v>
          </cell>
          <cell r="F259">
            <v>0</v>
          </cell>
        </row>
        <row r="260">
          <cell r="E260" t="str">
            <v>rent-3-82906</v>
          </cell>
          <cell r="F260">
            <v>0</v>
          </cell>
        </row>
        <row r="261">
          <cell r="E261" t="str">
            <v>rent-4-82906</v>
          </cell>
          <cell r="F261">
            <v>0</v>
          </cell>
        </row>
        <row r="262">
          <cell r="E262" t="str">
            <v>rent-5-82906</v>
          </cell>
          <cell r="F262">
            <v>0</v>
          </cell>
        </row>
        <row r="263">
          <cell r="E263" t="str">
            <v>rent-6-82906</v>
          </cell>
          <cell r="F263">
            <v>0</v>
          </cell>
        </row>
        <row r="264">
          <cell r="E264" t="str">
            <v>rent-7-82906</v>
          </cell>
          <cell r="F264">
            <v>0</v>
          </cell>
        </row>
        <row r="265">
          <cell r="E265" t="str">
            <v>rent-8-82906</v>
          </cell>
          <cell r="F265">
            <v>0</v>
          </cell>
        </row>
        <row r="266">
          <cell r="E266" t="str">
            <v>rent-9-82906</v>
          </cell>
          <cell r="F266">
            <v>0</v>
          </cell>
        </row>
        <row r="267">
          <cell r="E267" t="str">
            <v>rent-10-82906</v>
          </cell>
          <cell r="F267">
            <v>0</v>
          </cell>
        </row>
        <row r="268">
          <cell r="E268" t="str">
            <v>rent-11-82906</v>
          </cell>
          <cell r="F268">
            <v>0</v>
          </cell>
        </row>
        <row r="269">
          <cell r="E269" t="str">
            <v>rent-12-82906</v>
          </cell>
          <cell r="F269">
            <v>0</v>
          </cell>
        </row>
        <row r="270">
          <cell r="E270" t="str">
            <v>rent-13-82906</v>
          </cell>
          <cell r="F270">
            <v>0</v>
          </cell>
        </row>
        <row r="271">
          <cell r="E271" t="str">
            <v>rent-14-82906</v>
          </cell>
          <cell r="F271">
            <v>0</v>
          </cell>
        </row>
        <row r="272">
          <cell r="E272" t="str">
            <v>rent-15-82906</v>
          </cell>
          <cell r="F272">
            <v>0</v>
          </cell>
        </row>
        <row r="273">
          <cell r="E273" t="str">
            <v>rent-16-82906</v>
          </cell>
          <cell r="F273">
            <v>0</v>
          </cell>
        </row>
        <row r="274">
          <cell r="E274" t="str">
            <v>rent-17-82906</v>
          </cell>
          <cell r="F274">
            <v>0</v>
          </cell>
        </row>
        <row r="275">
          <cell r="E275" t="str">
            <v>rent-18-82906</v>
          </cell>
          <cell r="F275">
            <v>0</v>
          </cell>
        </row>
        <row r="276">
          <cell r="E276" t="str">
            <v>rent-19-82906</v>
          </cell>
          <cell r="F276">
            <v>0</v>
          </cell>
        </row>
        <row r="277">
          <cell r="E277" t="str">
            <v>rent-20-82906</v>
          </cell>
          <cell r="F277">
            <v>0</v>
          </cell>
        </row>
        <row r="278">
          <cell r="E278" t="str">
            <v>rent-21-82906</v>
          </cell>
          <cell r="F278">
            <v>0</v>
          </cell>
        </row>
        <row r="279">
          <cell r="E279" t="str">
            <v>rent-22-82906</v>
          </cell>
          <cell r="F279">
            <v>0</v>
          </cell>
        </row>
        <row r="280">
          <cell r="E280" t="str">
            <v>rent-23-82906</v>
          </cell>
          <cell r="F280">
            <v>0</v>
          </cell>
        </row>
        <row r="281">
          <cell r="E281" t="str">
            <v>rent-24-82906</v>
          </cell>
          <cell r="F281">
            <v>0</v>
          </cell>
        </row>
        <row r="282">
          <cell r="E282" t="str">
            <v>rent-25-82906</v>
          </cell>
          <cell r="F282">
            <v>0</v>
          </cell>
        </row>
        <row r="283">
          <cell r="E283" t="str">
            <v>rent-26-82906</v>
          </cell>
          <cell r="F283">
            <v>0</v>
          </cell>
        </row>
        <row r="284">
          <cell r="E284" t="str">
            <v>rent-27-82906</v>
          </cell>
          <cell r="F284">
            <v>0</v>
          </cell>
        </row>
        <row r="285">
          <cell r="E285" t="str">
            <v>rent-28-82906</v>
          </cell>
          <cell r="F285">
            <v>0</v>
          </cell>
        </row>
        <row r="286">
          <cell r="E286" t="str">
            <v>rent-29-82906</v>
          </cell>
          <cell r="F286">
            <v>0</v>
          </cell>
        </row>
        <row r="287">
          <cell r="E287" t="str">
            <v>rent-30-82906</v>
          </cell>
          <cell r="F287">
            <v>0</v>
          </cell>
        </row>
        <row r="288">
          <cell r="E288" t="str">
            <v>rent-31-82906</v>
          </cell>
          <cell r="F288">
            <v>0</v>
          </cell>
        </row>
        <row r="289">
          <cell r="E289" t="str">
            <v>rent-32-82906</v>
          </cell>
          <cell r="F289">
            <v>0</v>
          </cell>
        </row>
        <row r="290">
          <cell r="E290" t="str">
            <v>rent-33-82906</v>
          </cell>
          <cell r="F290">
            <v>0</v>
          </cell>
        </row>
        <row r="291">
          <cell r="E291" t="str">
            <v>rent-34-82906</v>
          </cell>
          <cell r="F291">
            <v>0</v>
          </cell>
        </row>
        <row r="292">
          <cell r="E292" t="str">
            <v>rent-35-82906</v>
          </cell>
          <cell r="F292">
            <v>0</v>
          </cell>
        </row>
        <row r="293">
          <cell r="E293" t="str">
            <v>rent-36-82906</v>
          </cell>
          <cell r="F293">
            <v>0</v>
          </cell>
        </row>
        <row r="294">
          <cell r="E294" t="str">
            <v>rent-37-82906</v>
          </cell>
          <cell r="F294">
            <v>0</v>
          </cell>
        </row>
        <row r="295">
          <cell r="E295" t="str">
            <v>rent-38-82906</v>
          </cell>
          <cell r="F295">
            <v>0</v>
          </cell>
        </row>
        <row r="296">
          <cell r="E296" t="str">
            <v>rent-39-82906</v>
          </cell>
          <cell r="F296">
            <v>0</v>
          </cell>
        </row>
        <row r="297">
          <cell r="E297" t="str">
            <v>rent-40-82906</v>
          </cell>
          <cell r="F297">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Hemp for Fiber"/>
      <sheetName val="Activity list"/>
      <sheetName val="Notes"/>
      <sheetName val="2022 Industrial Fiber Hemp Budg"/>
    </sheetNames>
    <sheetDataSet>
      <sheetData sheetId="0"/>
      <sheetData sheetId="1"/>
      <sheetData sheetId="2">
        <row r="4">
          <cell r="W4" t="str">
            <v>Implement</v>
          </cell>
          <cell r="X4" t="str">
            <v>Cost/unit</v>
          </cell>
          <cell r="Y4" t="str">
            <v>Unit</v>
          </cell>
          <cell r="Z4" t="str">
            <v>Hours/acre</v>
          </cell>
          <cell r="AA4" t="str">
            <v>Something Else</v>
          </cell>
        </row>
        <row r="5">
          <cell r="W5" t="str">
            <v>Moving Large Square Bales</v>
          </cell>
          <cell r="X5">
            <v>0.24</v>
          </cell>
          <cell r="Y5" t="str">
            <v>$/bale/loaded mile</v>
          </cell>
        </row>
        <row r="6">
          <cell r="W6" t="str">
            <v>Hauling Hay</v>
          </cell>
          <cell r="X6">
            <v>55</v>
          </cell>
        </row>
        <row r="7">
          <cell r="W7" t="str">
            <v>Fertilizer application</v>
          </cell>
          <cell r="X7">
            <v>6</v>
          </cell>
          <cell r="Y7" t="str">
            <v>acre</v>
          </cell>
        </row>
        <row r="8">
          <cell r="W8" t="str">
            <v>Drying Plant</v>
          </cell>
          <cell r="X8">
            <v>1</v>
          </cell>
        </row>
        <row r="9">
          <cell r="W9" t="str">
            <v>Hauling Grain to bin</v>
          </cell>
          <cell r="X9">
            <v>0.25</v>
          </cell>
          <cell r="Y9" t="str">
            <v>cwt hauled</v>
          </cell>
        </row>
        <row r="10">
          <cell r="W10" t="str">
            <v>Grain Drying</v>
          </cell>
          <cell r="X10">
            <v>0.12</v>
          </cell>
          <cell r="Y10" t="str">
            <v>cwt dried/% moisture</v>
          </cell>
        </row>
        <row r="11">
          <cell r="W11" t="str">
            <v>Hauling grain to market</v>
          </cell>
          <cell r="X11">
            <v>0.45</v>
          </cell>
          <cell r="Y11" t="str">
            <v>cwt hauled</v>
          </cell>
        </row>
        <row r="12">
          <cell r="W12" t="str">
            <v>Hauling hemp for CBD to processor</v>
          </cell>
          <cell r="X12">
            <v>0.2</v>
          </cell>
          <cell r="Y12" t="str">
            <v>$/cwt/loaded mile</v>
          </cell>
        </row>
        <row r="13">
          <cell r="W13" t="str">
            <v>Seed cleaning</v>
          </cell>
          <cell r="X13">
            <v>0.04</v>
          </cell>
          <cell r="Y13" t="str">
            <v>pound cleaned</v>
          </cell>
        </row>
        <row r="14">
          <cell r="W14" t="str">
            <v>Large Square bales</v>
          </cell>
          <cell r="X14">
            <v>20</v>
          </cell>
          <cell r="Y14" t="str">
            <v>one ton bale</v>
          </cell>
        </row>
      </sheetData>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Prices"/>
      <sheetName val="Feed"/>
      <sheetName val="Farrow-Finish"/>
      <sheetName val="Farrow-Wean"/>
      <sheetName val="Wean-Finish"/>
      <sheetName val="Nursery"/>
      <sheetName val="Finishing"/>
      <sheetName val="Feed (2)_IDOtherIngValues"/>
    </sheetNames>
    <sheetDataSet>
      <sheetData sheetId="0"/>
      <sheetData sheetId="1">
        <row r="1">
          <cell r="A1" t="str">
            <v>Current Prices</v>
          </cell>
        </row>
        <row r="2">
          <cell r="A2" t="str">
            <v>One Year Out Prices</v>
          </cell>
        </row>
        <row r="3">
          <cell r="A3" t="str">
            <v>Five Years Out Prices</v>
          </cell>
        </row>
      </sheetData>
      <sheetData sheetId="2"/>
      <sheetData sheetId="3"/>
      <sheetData sheetId="4"/>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person displayName="Kientzy, Andrew" id="{70757007-A284-4ADC-A5F4-38894B191871}" userId="S::dskvnq@umsystem.edu::a3cafd4d-1261-4059-a3b4-924fe5b6a59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12">
      <a:majorFont>
        <a:latin typeface="Segoe UI Black"/>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2" dT="2025-07-11T17:12:13.43" personId="{70757007-A284-4ADC-A5F4-38894B191871}" id="{4944EF6F-E424-4C43-9010-A887169B75BE}">
    <text>Labor requirement represents the total hours required to process the birds times the number of persons working in the processing line.</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muext.us/MobilePoultrySheet" TargetMode="External"/><Relationship Id="rId2" Type="http://schemas.openxmlformats.org/officeDocument/2006/relationships/hyperlink" Target="extension.missouri.edu/publications/g742" TargetMode="External"/><Relationship Id="rId1" Type="http://schemas.openxmlformats.org/officeDocument/2006/relationships/hyperlink" Target="extension.missouri.edu/publications/g74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pnusa.com/assets/heritageturkeysdefined.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3" Type="http://schemas.openxmlformats.org/officeDocument/2006/relationships/hyperlink" Target="https://cals.ncsu.edu/agricultural-and-resource-economics/wp-content/uploads/sites/46/2024/06/Organic_broilers_Small.xlsx" TargetMode="External"/><Relationship Id="rId7" Type="http://schemas.openxmlformats.org/officeDocument/2006/relationships/printerSettings" Target="../printerSettings/printerSettings6.bin"/><Relationship Id="rId2" Type="http://schemas.openxmlformats.org/officeDocument/2006/relationships/hyperlink" Target="https://extension.colostate.edu/topic-areas/agriculture/brooding-and-space-requirements-for-poultry-2-502/" TargetMode="External"/><Relationship Id="rId1" Type="http://schemas.openxmlformats.org/officeDocument/2006/relationships/hyperlink" Target="https://openknowledge.fao.org/server/api/core/bitstreams/73edfce9-c9a1-4814-b907-d86917967ed3/content" TargetMode="External"/><Relationship Id="rId6" Type="http://schemas.openxmlformats.org/officeDocument/2006/relationships/hyperlink" Target="https://nam02.safelinks.protection.outlook.com/?url=https%3A%2F%2Fwww.menards.com%2Fmain%2Fa-yardbuilding-v2.html%3FdesignId%3D326357747139&amp;data=05%7C02%7Cdkientzy%40missouri.edu%7C07d56fbfed6d4526636408dd81c5f714%7Ce3fefdbef7e9401ba51a355e01b05a89%7C0%7C0%7C638809409471454570%7CUnknown%7CTWFpbGZsb3d8eyJFbXB0eU1hcGkiOnRydWUsIlYiOiIwLjAuMDAwMCIsIlAiOiJXaW4zMiIsIkFOIjoiTWFpbCIsIldUIjoyfQ%3D%3D%7C0%7C%7C%7C&amp;sdata=BRXkZYv%2FiuDzaHH1KLuI%2BekhymARNAH%2F0K4eJVZBrKU%3D&amp;reserved=0" TargetMode="External"/><Relationship Id="rId5" Type="http://schemas.openxmlformats.org/officeDocument/2006/relationships/hyperlink" Target="https://nam02.safelinks.protection.outlook.com/?url=https%3A%2F%2Fwww.menards.com%2Fmain%2Fa-yardbuilding-v2.html%3FdesignId%3D326357747139&amp;data=05%7C02%7Cdkientzy%40missouri.edu%7Ce849bbf6a34a4c49463008dd81c55c6d%7Ce3fefdbef7e9401ba51a355e01b05a89%7C0%7C0%7C638809406857091550%7CUnknown%7CTWFpbGZsb3d8eyJFbXB0eU1hcGkiOnRydWUsIlYiOiIwLjAuMDAwMCIsIlAiOiJXaW4zMiIsIkFOIjoiTWFpbCIsIldUIjoyfQ%3D%3D%7C0%7C%7C%7C&amp;sdata=TYCvsXbY7OXdkWxgDeJYzrG0gagxEFO1xRQN2ZYdezk%3D&amp;reserved=0" TargetMode="External"/><Relationship Id="rId4" Type="http://schemas.openxmlformats.org/officeDocument/2006/relationships/hyperlink" Target="https://www.uog.edu/_resources/files/extension/publications/Poultry_Production_Guide.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eggcartonstore.com/" TargetMode="External"/><Relationship Id="rId13" Type="http://schemas.openxmlformats.org/officeDocument/2006/relationships/hyperlink" Target="https://agriculture.mo.gov/weights/device/pdf/Sales-of-Eggs-and-Licensing-FAQ%27S.pdf" TargetMode="External"/><Relationship Id="rId3" Type="http://schemas.openxmlformats.org/officeDocument/2006/relationships/hyperlink" Target="https://feedsforless.com/products/dicalcium-phosphate-50-lb-bags?srsltid=AfmBOopJIQRj4Z4W0LXv8VKryqEjLV5174ITkIe5eEAZ0LxFiFlqAUa5" TargetMode="External"/><Relationship Id="rId7" Type="http://schemas.openxmlformats.org/officeDocument/2006/relationships/hyperlink" Target="https://www.poultryproducer.com/poultry-rations-and-feeding-methods/" TargetMode="External"/><Relationship Id="rId12" Type="http://schemas.openxmlformats.org/officeDocument/2006/relationships/hyperlink" Target="https://hengear.com/products/x-large-rollout-nest-box-reversible" TargetMode="External"/><Relationship Id="rId2" Type="http://schemas.openxmlformats.org/officeDocument/2006/relationships/hyperlink" Target="https://www.ams.usda.gov/market-news/livestock-poultry-grain" TargetMode="External"/><Relationship Id="rId1" Type="http://schemas.openxmlformats.org/officeDocument/2006/relationships/hyperlink" Target="https://mobilechickenhouse.com/product/mobile-chicken-house-model-650/" TargetMode="External"/><Relationship Id="rId6" Type="http://schemas.openxmlformats.org/officeDocument/2006/relationships/hyperlink" Target="https://lelandmills.com/collections/bulk-feeds" TargetMode="External"/><Relationship Id="rId11" Type="http://schemas.openxmlformats.org/officeDocument/2006/relationships/hyperlink" Target="https://extension.psu.edu/enterprise-budgeting-for-small-poultry-flocks" TargetMode="External"/><Relationship Id="rId5" Type="http://schemas.openxmlformats.org/officeDocument/2006/relationships/hyperlink" Target="https://www.kalmbachfeeds.com/products/44-poultry-supplement" TargetMode="External"/><Relationship Id="rId10" Type="http://schemas.openxmlformats.org/officeDocument/2006/relationships/hyperlink" Target="https://www.sunnysidehatchery.com/pricing.aspx" TargetMode="External"/><Relationship Id="rId4" Type="http://schemas.openxmlformats.org/officeDocument/2006/relationships/hyperlink" Target="https://www.hubersanimalhealth.com/product/limestone-calcium-feed-grade-50-lb" TargetMode="External"/><Relationship Id="rId9" Type="http://schemas.openxmlformats.org/officeDocument/2006/relationships/hyperlink" Target="https://homesteadingfamily.com/chicken-tractor-basics/" TargetMode="External"/><Relationship Id="rId14" Type="http://schemas.openxmlformats.org/officeDocument/2006/relationships/hyperlink" Target="https://www.thepoultrysite.com/articles/turkey-feeding-and-nutri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FC17B-333D-4CD9-8375-7DA2416CFB76}">
  <dimension ref="A1:E18"/>
  <sheetViews>
    <sheetView showGridLines="0" tabSelected="1" workbookViewId="0"/>
  </sheetViews>
  <sheetFormatPr defaultColWidth="0" defaultRowHeight="15.75" zeroHeight="1"/>
  <cols>
    <col min="1" max="1" width="3.375" style="3" customWidth="1"/>
    <col min="2" max="2" width="9" style="3" customWidth="1"/>
    <col min="3" max="3" width="79.875" style="3" customWidth="1"/>
    <col min="4" max="4" width="12.375" style="3" customWidth="1"/>
    <col min="5" max="5" width="3.125" style="3" customWidth="1"/>
    <col min="6" max="16384" width="9" style="3" hidden="1"/>
  </cols>
  <sheetData>
    <row r="1" spans="2:4"/>
    <row r="2" spans="2:4" ht="21">
      <c r="B2" s="299" t="s">
        <v>318</v>
      </c>
      <c r="C2" s="299"/>
      <c r="D2" s="299"/>
    </row>
    <row r="3" spans="2:4">
      <c r="B3" s="300" t="s">
        <v>368</v>
      </c>
      <c r="C3" s="300"/>
      <c r="D3" s="300"/>
    </row>
    <row r="4" spans="2:4">
      <c r="B4" s="301"/>
      <c r="C4" s="301"/>
      <c r="D4" s="301"/>
    </row>
    <row r="5" spans="2:4" ht="15.75" customHeight="1">
      <c r="C5" s="256" t="s">
        <v>324</v>
      </c>
    </row>
    <row r="6" spans="2:4">
      <c r="C6" s="257" t="s">
        <v>323</v>
      </c>
    </row>
    <row r="7" spans="2:4">
      <c r="C7" s="258" t="s">
        <v>281</v>
      </c>
    </row>
    <row r="8" spans="2:4" ht="28.5" customHeight="1"/>
    <row r="9" spans="2:4" ht="78.75">
      <c r="C9" s="80" t="s">
        <v>370</v>
      </c>
      <c r="D9" s="80"/>
    </row>
    <row r="10" spans="2:4">
      <c r="C10" s="80"/>
      <c r="D10" s="80"/>
    </row>
    <row r="11" spans="2:4" ht="16.5">
      <c r="C11" s="81" t="s">
        <v>369</v>
      </c>
      <c r="D11" s="80"/>
    </row>
    <row r="12" spans="2:4" ht="17.25">
      <c r="C12" s="298" t="s">
        <v>367</v>
      </c>
      <c r="D12" s="80"/>
    </row>
    <row r="13" spans="2:4" ht="17.25">
      <c r="C13" s="298" t="s">
        <v>366</v>
      </c>
      <c r="D13" s="80"/>
    </row>
    <row r="14" spans="2:4"/>
    <row r="15" spans="2:4" ht="31.5">
      <c r="C15" s="137" t="s">
        <v>0</v>
      </c>
    </row>
    <row r="16" spans="2:4">
      <c r="C16" s="297"/>
    </row>
    <row r="17" spans="2:4">
      <c r="B17" s="302"/>
      <c r="C17" s="302"/>
      <c r="D17" s="302"/>
    </row>
    <row r="18" spans="2:4"/>
  </sheetData>
  <sheetProtection sheet="1" objects="1" scenarios="1"/>
  <mergeCells count="4">
    <mergeCell ref="B2:D2"/>
    <mergeCell ref="B3:D3"/>
    <mergeCell ref="B4:D4"/>
    <mergeCell ref="B17:D17"/>
  </mergeCells>
  <hyperlinks>
    <hyperlink ref="C13" r:id="rId1" xr:uid="{5086F798-1F70-4A73-A7F6-E8D04EC4F792}"/>
    <hyperlink ref="C12" r:id="rId2" xr:uid="{4C45DBB3-1311-43DB-ACE0-B5BCEBB1CE4B}"/>
    <hyperlink ref="C11" r:id="rId3" xr:uid="{625E2DAB-407B-4C5A-BB23-468A983A24CA}"/>
  </hyperlinks>
  <pageMargins left="0.7" right="0.7" top="0.75" bottom="0.75" header="0.3" footer="0.3"/>
  <pageSetup orientation="landscape" horizontalDpi="4294967295" verticalDpi="4294967295"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3DC77-234D-4B02-8F54-142F60E069FE}">
  <sheetPr>
    <pageSetUpPr fitToPage="1"/>
  </sheetPr>
  <dimension ref="B1:M36"/>
  <sheetViews>
    <sheetView showGridLines="0" workbookViewId="0"/>
  </sheetViews>
  <sheetFormatPr defaultColWidth="0" defaultRowHeight="15.75" zeroHeight="1"/>
  <cols>
    <col min="1" max="1" width="3.125" style="3" customWidth="1"/>
    <col min="2" max="2" width="24.875" style="3" customWidth="1"/>
    <col min="3" max="3" width="17.625" style="3" bestFit="1" customWidth="1"/>
    <col min="4" max="4" width="8.5" style="3" customWidth="1"/>
    <col min="5" max="5" width="3.875" style="3" customWidth="1"/>
    <col min="6" max="6" width="33.25" style="3" customWidth="1"/>
    <col min="7" max="7" width="17.75" style="3" customWidth="1"/>
    <col min="8" max="8" width="11.25" style="3" bestFit="1" customWidth="1"/>
    <col min="9" max="9" width="10" style="3" customWidth="1"/>
    <col min="10" max="10" width="15.375" style="3" bestFit="1" customWidth="1"/>
    <col min="11" max="11" width="3.125" style="3" customWidth="1"/>
    <col min="12" max="12" width="3.125" style="3" hidden="1" customWidth="1"/>
    <col min="13" max="16384" width="0" style="3" hidden="1"/>
  </cols>
  <sheetData>
    <row r="1" spans="2:13" ht="18.75">
      <c r="B1" s="222" t="s">
        <v>1</v>
      </c>
      <c r="C1" s="223"/>
      <c r="D1" s="223"/>
      <c r="E1" s="224"/>
      <c r="F1" s="225"/>
      <c r="G1" s="226"/>
      <c r="H1" s="226"/>
      <c r="I1" s="226"/>
      <c r="J1" s="227"/>
    </row>
    <row r="2" spans="2:13">
      <c r="B2" s="228" t="s">
        <v>2</v>
      </c>
      <c r="C2" s="5" t="s">
        <v>3</v>
      </c>
      <c r="D2" s="6" t="s">
        <v>4</v>
      </c>
      <c r="E2" s="229"/>
      <c r="F2" s="5" t="s">
        <v>5</v>
      </c>
      <c r="G2" s="5"/>
      <c r="H2" s="5" t="s">
        <v>6</v>
      </c>
      <c r="I2" s="5" t="s">
        <v>291</v>
      </c>
      <c r="J2" s="230" t="s">
        <v>290</v>
      </c>
    </row>
    <row r="3" spans="2:13" ht="16.5">
      <c r="B3" s="303" t="s">
        <v>62</v>
      </c>
      <c r="C3" s="304"/>
      <c r="D3" s="304"/>
      <c r="F3" s="231" t="s">
        <v>289</v>
      </c>
      <c r="G3" s="232" t="s">
        <v>7</v>
      </c>
      <c r="I3" s="276">
        <v>350</v>
      </c>
      <c r="J3" s="277">
        <v>375</v>
      </c>
      <c r="M3" s="81"/>
    </row>
    <row r="4" spans="2:13">
      <c r="B4" s="233" t="s">
        <v>92</v>
      </c>
      <c r="C4" s="234" t="s">
        <v>34</v>
      </c>
      <c r="D4" s="235">
        <v>36</v>
      </c>
      <c r="E4" s="236"/>
      <c r="F4" s="231" t="s">
        <v>66</v>
      </c>
      <c r="G4" s="237" t="s">
        <v>67</v>
      </c>
      <c r="I4" s="278">
        <v>17</v>
      </c>
      <c r="J4" s="279">
        <v>21</v>
      </c>
    </row>
    <row r="5" spans="2:13">
      <c r="B5" s="233" t="s">
        <v>195</v>
      </c>
      <c r="C5" s="234" t="s">
        <v>34</v>
      </c>
      <c r="D5" s="235">
        <v>8</v>
      </c>
      <c r="E5" s="236"/>
      <c r="F5" s="231" t="s">
        <v>203</v>
      </c>
      <c r="G5" s="237" t="s">
        <v>67</v>
      </c>
      <c r="I5" s="280">
        <v>15</v>
      </c>
      <c r="J5" s="279">
        <v>15</v>
      </c>
    </row>
    <row r="6" spans="2:13">
      <c r="B6" s="233" t="s">
        <v>196</v>
      </c>
      <c r="C6" s="234" t="s">
        <v>34</v>
      </c>
      <c r="D6" s="235">
        <v>4</v>
      </c>
      <c r="E6" s="236"/>
      <c r="F6" s="238" t="s">
        <v>10</v>
      </c>
      <c r="G6" s="237" t="s">
        <v>11</v>
      </c>
      <c r="H6" s="274">
        <v>19.5</v>
      </c>
      <c r="I6" s="232"/>
      <c r="J6" s="96"/>
    </row>
    <row r="7" spans="2:13">
      <c r="B7" s="233" t="s">
        <v>314</v>
      </c>
      <c r="C7" s="234" t="s">
        <v>315</v>
      </c>
      <c r="D7" s="235">
        <v>1.1299999999999999</v>
      </c>
      <c r="E7" s="236"/>
      <c r="F7" s="231" t="s">
        <v>12</v>
      </c>
      <c r="G7" s="237" t="s">
        <v>35</v>
      </c>
      <c r="H7" s="239">
        <v>0.08</v>
      </c>
      <c r="I7" s="240"/>
      <c r="J7" s="96"/>
    </row>
    <row r="8" spans="2:13">
      <c r="B8" s="233" t="s">
        <v>94</v>
      </c>
      <c r="C8" s="234" t="s">
        <v>95</v>
      </c>
      <c r="D8" s="235">
        <v>2</v>
      </c>
      <c r="E8" s="236"/>
      <c r="F8" s="231" t="s">
        <v>278</v>
      </c>
      <c r="G8" s="237" t="s">
        <v>279</v>
      </c>
      <c r="H8" s="275">
        <v>0.9</v>
      </c>
      <c r="I8" s="240"/>
      <c r="J8" s="96"/>
    </row>
    <row r="9" spans="2:13">
      <c r="B9" s="233" t="s">
        <v>88</v>
      </c>
      <c r="C9" s="234" t="s">
        <v>87</v>
      </c>
      <c r="D9" s="235">
        <v>7</v>
      </c>
      <c r="F9" s="238" t="s">
        <v>269</v>
      </c>
      <c r="G9" s="237" t="s">
        <v>270</v>
      </c>
      <c r="H9" s="275">
        <v>0.15</v>
      </c>
      <c r="I9" s="240"/>
      <c r="J9" s="96"/>
    </row>
    <row r="10" spans="2:13">
      <c r="B10" s="233" t="s">
        <v>86</v>
      </c>
      <c r="C10" s="234"/>
      <c r="D10" s="241">
        <f>ROUNDDOWN(D4/(D5-D6+D9/D26),0)</f>
        <v>7</v>
      </c>
      <c r="F10" s="231" t="s">
        <v>76</v>
      </c>
      <c r="G10" s="237" t="s">
        <v>77</v>
      </c>
      <c r="H10" s="275">
        <v>50</v>
      </c>
      <c r="I10" s="240"/>
      <c r="J10" s="259"/>
    </row>
    <row r="11" spans="2:13">
      <c r="B11" s="233" t="s">
        <v>61</v>
      </c>
      <c r="C11" s="234" t="s">
        <v>93</v>
      </c>
      <c r="D11" s="235">
        <v>6.5</v>
      </c>
      <c r="E11" s="236"/>
      <c r="F11" s="234" t="s">
        <v>359</v>
      </c>
      <c r="G11" s="237" t="s">
        <v>13</v>
      </c>
      <c r="I11" s="274">
        <v>3.1</v>
      </c>
      <c r="J11" s="281">
        <v>16</v>
      </c>
    </row>
    <row r="12" spans="2:13">
      <c r="B12" s="233" t="s">
        <v>286</v>
      </c>
      <c r="C12" s="234" t="s">
        <v>287</v>
      </c>
      <c r="D12" s="242">
        <v>0.7</v>
      </c>
      <c r="E12" s="236"/>
      <c r="F12" s="234" t="s">
        <v>59</v>
      </c>
      <c r="G12" s="237" t="s">
        <v>9</v>
      </c>
      <c r="I12" s="274">
        <v>4</v>
      </c>
      <c r="J12" s="281">
        <v>11.5</v>
      </c>
    </row>
    <row r="13" spans="2:13">
      <c r="B13" s="243" t="s">
        <v>8</v>
      </c>
      <c r="C13" s="3" t="s">
        <v>35</v>
      </c>
      <c r="D13" s="244">
        <v>0.05</v>
      </c>
      <c r="F13" s="234" t="s">
        <v>282</v>
      </c>
      <c r="G13" s="237" t="s">
        <v>60</v>
      </c>
      <c r="I13" s="274">
        <v>4</v>
      </c>
      <c r="J13" s="281">
        <v>12.5</v>
      </c>
    </row>
    <row r="14" spans="2:13">
      <c r="B14" s="303" t="s">
        <v>283</v>
      </c>
      <c r="C14" s="304"/>
      <c r="D14" s="304"/>
      <c r="F14" s="238" t="s">
        <v>15</v>
      </c>
      <c r="G14" s="237" t="s">
        <v>365</v>
      </c>
      <c r="I14" s="274">
        <v>0</v>
      </c>
      <c r="J14" s="281">
        <v>0</v>
      </c>
    </row>
    <row r="15" spans="2:13">
      <c r="B15" s="233" t="s">
        <v>85</v>
      </c>
      <c r="C15" s="234" t="s">
        <v>34</v>
      </c>
      <c r="D15" s="235">
        <v>36</v>
      </c>
      <c r="F15" s="238" t="s">
        <v>80</v>
      </c>
      <c r="G15" s="237" t="s">
        <v>79</v>
      </c>
      <c r="I15" s="274">
        <v>500</v>
      </c>
      <c r="J15" s="281">
        <v>500</v>
      </c>
    </row>
    <row r="16" spans="2:13">
      <c r="B16" s="233" t="s">
        <v>91</v>
      </c>
      <c r="C16" s="234" t="s">
        <v>34</v>
      </c>
      <c r="D16" s="235">
        <v>24</v>
      </c>
      <c r="F16" s="238" t="s">
        <v>81</v>
      </c>
      <c r="G16" s="237" t="s">
        <v>79</v>
      </c>
      <c r="I16" s="282">
        <v>1500</v>
      </c>
      <c r="J16" s="283">
        <v>1500</v>
      </c>
    </row>
    <row r="17" spans="2:11">
      <c r="B17" s="233" t="s">
        <v>197</v>
      </c>
      <c r="C17" s="234" t="s">
        <v>34</v>
      </c>
      <c r="D17" s="235">
        <v>4</v>
      </c>
      <c r="G17" s="294"/>
      <c r="H17" s="237"/>
      <c r="I17" s="237"/>
      <c r="J17" s="245"/>
    </row>
    <row r="18" spans="2:11">
      <c r="B18" s="233" t="s">
        <v>94</v>
      </c>
      <c r="C18" s="234" t="s">
        <v>95</v>
      </c>
      <c r="D18" s="235">
        <v>2.7</v>
      </c>
      <c r="F18" s="247" t="s">
        <v>73</v>
      </c>
      <c r="G18" s="237" t="s">
        <v>72</v>
      </c>
      <c r="H18" s="249">
        <v>0.03</v>
      </c>
      <c r="I18" s="248"/>
      <c r="J18" s="245"/>
    </row>
    <row r="19" spans="2:11">
      <c r="B19" s="233" t="s">
        <v>88</v>
      </c>
      <c r="C19" s="234" t="s">
        <v>87</v>
      </c>
      <c r="D19" s="246">
        <v>7</v>
      </c>
      <c r="F19" s="231" t="s">
        <v>63</v>
      </c>
      <c r="G19" s="237" t="s">
        <v>64</v>
      </c>
      <c r="H19" s="250">
        <v>0.02</v>
      </c>
      <c r="I19" s="248"/>
      <c r="J19" s="245"/>
    </row>
    <row r="20" spans="2:11" ht="16.5" thickBot="1">
      <c r="B20" s="233" t="s">
        <v>86</v>
      </c>
      <c r="C20" s="234"/>
      <c r="D20" s="241">
        <f>ROUNDDOWN(D15/(D16-D17+D19/D26),0)</f>
        <v>1</v>
      </c>
      <c r="F20" s="287" t="s">
        <v>218</v>
      </c>
      <c r="G20" s="296" t="s">
        <v>38</v>
      </c>
      <c r="H20" s="289">
        <v>0.1</v>
      </c>
      <c r="I20" s="288"/>
      <c r="J20" s="290"/>
    </row>
    <row r="21" spans="2:11">
      <c r="B21" s="233" t="s">
        <v>61</v>
      </c>
      <c r="C21" s="234" t="s">
        <v>93</v>
      </c>
      <c r="D21" s="286">
        <v>20</v>
      </c>
      <c r="E21" s="96"/>
      <c r="F21" s="234"/>
      <c r="G21" s="234"/>
      <c r="H21" s="234"/>
      <c r="I21" s="234"/>
      <c r="J21" s="232"/>
      <c r="K21" s="232"/>
    </row>
    <row r="22" spans="2:11">
      <c r="B22" s="233" t="s">
        <v>286</v>
      </c>
      <c r="C22" s="234" t="s">
        <v>287</v>
      </c>
      <c r="D22" s="242">
        <v>0.65</v>
      </c>
      <c r="E22" s="96"/>
    </row>
    <row r="23" spans="2:11">
      <c r="B23" s="251" t="s">
        <v>8</v>
      </c>
      <c r="C23" s="7" t="s">
        <v>35</v>
      </c>
      <c r="D23" s="8">
        <v>0.1</v>
      </c>
      <c r="E23" s="96"/>
    </row>
    <row r="24" spans="2:11">
      <c r="B24" s="228" t="s">
        <v>16</v>
      </c>
      <c r="C24" s="4"/>
      <c r="D24" s="4"/>
      <c r="E24" s="96"/>
    </row>
    <row r="25" spans="2:11">
      <c r="B25" s="243" t="s">
        <v>69</v>
      </c>
      <c r="C25" s="252"/>
      <c r="D25" s="284">
        <v>365</v>
      </c>
      <c r="E25" s="96"/>
    </row>
    <row r="26" spans="2:11">
      <c r="B26" s="95" t="s">
        <v>205</v>
      </c>
      <c r="D26" s="284">
        <v>7</v>
      </c>
      <c r="E26" s="96"/>
    </row>
    <row r="27" spans="2:11">
      <c r="B27" s="243" t="s">
        <v>204</v>
      </c>
      <c r="C27" s="252"/>
      <c r="D27" s="284">
        <v>16</v>
      </c>
      <c r="E27" s="96"/>
    </row>
    <row r="28" spans="2:11">
      <c r="B28" s="243" t="s">
        <v>68</v>
      </c>
      <c r="C28" s="252"/>
      <c r="D28" s="284">
        <v>50</v>
      </c>
      <c r="E28" s="96"/>
    </row>
    <row r="29" spans="2:11">
      <c r="B29" s="243" t="s">
        <v>104</v>
      </c>
      <c r="C29" s="252"/>
      <c r="D29" s="284">
        <v>43560</v>
      </c>
      <c r="E29" s="96"/>
    </row>
    <row r="30" spans="2:11" ht="16.5" thickBot="1">
      <c r="B30" s="101" t="s">
        <v>17</v>
      </c>
      <c r="C30" s="103"/>
      <c r="D30" s="285">
        <v>56</v>
      </c>
      <c r="E30" s="253"/>
    </row>
    <row r="31" spans="2:11"/>
    <row r="33" spans="2:7" hidden="1">
      <c r="B33" s="12"/>
    </row>
    <row r="36" spans="2:7" ht="16.5" hidden="1">
      <c r="F36" s="3" t="s">
        <v>294</v>
      </c>
      <c r="G36" s="81" t="s">
        <v>322</v>
      </c>
    </row>
  </sheetData>
  <sheetProtection sheet="1" objects="1" scenarios="1"/>
  <protectedRanges>
    <protectedRange sqref="D4:D9 D11:D13 D15:D19 D21:D23 D25:D30 H6:H10 H18:H20 I3:J5 I11:J16" name="Edit cells"/>
  </protectedRanges>
  <mergeCells count="2">
    <mergeCell ref="B3:D3"/>
    <mergeCell ref="B14:D14"/>
  </mergeCells>
  <hyperlinks>
    <hyperlink ref="G36" r:id="rId1" xr:uid="{8631E1BD-6C90-4C3F-B55F-454C2A82C996}"/>
  </hyperlinks>
  <pageMargins left="0.25" right="0.25" top="0.75" bottom="0.75" header="0.3" footer="0.3"/>
  <pageSetup paperSize="6" scale="58"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307AF-3C4F-4B32-8D03-4B2561FF68E6}">
  <dimension ref="A1:U28"/>
  <sheetViews>
    <sheetView showGridLines="0" workbookViewId="0">
      <selection activeCell="I7" sqref="I7"/>
    </sheetView>
  </sheetViews>
  <sheetFormatPr defaultColWidth="0" defaultRowHeight="15.75" zeroHeight="1"/>
  <cols>
    <col min="1" max="1" width="3.125" style="3" customWidth="1"/>
    <col min="2" max="2" width="22.25" style="3" customWidth="1"/>
    <col min="3" max="3" width="11.375" style="3" bestFit="1" customWidth="1"/>
    <col min="4" max="4" width="8" style="3" bestFit="1" customWidth="1"/>
    <col min="5" max="5" width="17" style="3" customWidth="1"/>
    <col min="6" max="6" width="17" style="3" bestFit="1" customWidth="1"/>
    <col min="7" max="7" width="21.125" style="3" bestFit="1" customWidth="1"/>
    <col min="8" max="8" width="4.125" style="3" customWidth="1"/>
    <col min="9" max="9" width="29" style="3" customWidth="1"/>
    <col min="10" max="10" width="10.125" style="3" bestFit="1" customWidth="1"/>
    <col min="11" max="11" width="8.25" style="3" bestFit="1" customWidth="1"/>
    <col min="12" max="12" width="9" style="3" bestFit="1" customWidth="1"/>
    <col min="13" max="13" width="10.125" style="3" bestFit="1" customWidth="1"/>
    <col min="14" max="14" width="4.125" style="3" customWidth="1"/>
    <col min="15" max="15" width="23.625" style="3" customWidth="1"/>
    <col min="16" max="16" width="22" style="3" bestFit="1" customWidth="1"/>
    <col min="17" max="17" width="11.375" style="3" bestFit="1" customWidth="1"/>
    <col min="18" max="18" width="17.125" style="3" bestFit="1" customWidth="1"/>
    <col min="19" max="19" width="18" style="3" bestFit="1" customWidth="1"/>
    <col min="20" max="20" width="21.125" style="3" bestFit="1" customWidth="1"/>
    <col min="21" max="21" width="3.125" style="3" customWidth="1"/>
    <col min="22" max="16384" width="9" style="3" hidden="1"/>
  </cols>
  <sheetData>
    <row r="1" spans="2:20" ht="19.5" thickBot="1">
      <c r="B1" s="174" t="s">
        <v>239</v>
      </c>
      <c r="C1" s="90"/>
      <c r="D1" s="90"/>
      <c r="E1" s="90"/>
      <c r="F1" s="90"/>
      <c r="G1" s="90"/>
      <c r="I1" s="175" t="s">
        <v>301</v>
      </c>
      <c r="J1" s="134"/>
      <c r="K1" s="134"/>
      <c r="L1" s="134"/>
      <c r="M1" s="135"/>
      <c r="O1" s="174" t="s">
        <v>292</v>
      </c>
      <c r="P1" s="90"/>
      <c r="Q1" s="90"/>
      <c r="R1" s="90"/>
      <c r="S1" s="90"/>
      <c r="T1" s="90"/>
    </row>
    <row r="2" spans="2:20">
      <c r="B2" s="91" t="s">
        <v>40</v>
      </c>
      <c r="C2" s="92">
        <v>100</v>
      </c>
      <c r="D2" s="93" t="s">
        <v>291</v>
      </c>
      <c r="E2" s="93" t="s">
        <v>71</v>
      </c>
      <c r="F2" s="93">
        <f>J9</f>
        <v>3.5</v>
      </c>
      <c r="G2" s="94" t="s">
        <v>70</v>
      </c>
      <c r="I2" s="95"/>
      <c r="J2" s="3" t="s">
        <v>306</v>
      </c>
      <c r="K2" s="96" t="s">
        <v>307</v>
      </c>
      <c r="L2" s="95" t="s">
        <v>308</v>
      </c>
      <c r="M2" s="96" t="s">
        <v>296</v>
      </c>
      <c r="O2" s="91" t="s">
        <v>40</v>
      </c>
      <c r="P2" s="92">
        <v>40</v>
      </c>
      <c r="Q2" s="93" t="s">
        <v>294</v>
      </c>
      <c r="R2" s="93" t="s">
        <v>71</v>
      </c>
      <c r="S2" s="93">
        <f>L9</f>
        <v>3.5</v>
      </c>
      <c r="T2" s="94" t="s">
        <v>70</v>
      </c>
    </row>
    <row r="3" spans="2:20">
      <c r="B3" s="95" t="s">
        <v>43</v>
      </c>
      <c r="C3" s="3" t="s">
        <v>44</v>
      </c>
      <c r="D3" s="3" t="s">
        <v>45</v>
      </c>
      <c r="E3" s="3" t="s">
        <v>46</v>
      </c>
      <c r="F3" s="3" t="s">
        <v>48</v>
      </c>
      <c r="G3" s="96" t="s">
        <v>47</v>
      </c>
      <c r="I3" s="95" t="s">
        <v>302</v>
      </c>
      <c r="J3" s="10">
        <v>1</v>
      </c>
      <c r="K3" s="127">
        <v>2</v>
      </c>
      <c r="L3" s="10">
        <v>1</v>
      </c>
      <c r="M3" s="127">
        <v>2</v>
      </c>
      <c r="O3" s="95" t="s">
        <v>43</v>
      </c>
      <c r="P3" s="3" t="s">
        <v>44</v>
      </c>
      <c r="Q3" s="3" t="s">
        <v>45</v>
      </c>
      <c r="R3" s="3" t="s">
        <v>46</v>
      </c>
      <c r="S3" s="3" t="s">
        <v>48</v>
      </c>
      <c r="T3" s="96" t="s">
        <v>47</v>
      </c>
    </row>
    <row r="4" spans="2:20">
      <c r="B4" s="95" t="s">
        <v>52</v>
      </c>
      <c r="C4" s="98">
        <f>M23</f>
        <v>657.2</v>
      </c>
      <c r="D4" s="10">
        <v>10</v>
      </c>
      <c r="E4" s="14">
        <v>0</v>
      </c>
      <c r="F4" s="14">
        <v>0.2</v>
      </c>
      <c r="G4" s="97">
        <f>(C4-(C4*E4))/D4+C4/2*'Input sheet'!$H$7+'Input sheet'!$H$19*'Facilities and equipment'!C4</f>
        <v>105.15200000000002</v>
      </c>
      <c r="I4" s="95" t="s">
        <v>303</v>
      </c>
      <c r="J4" s="10">
        <v>1</v>
      </c>
      <c r="K4" s="127">
        <v>2</v>
      </c>
      <c r="L4" s="10">
        <v>1</v>
      </c>
      <c r="M4" s="127">
        <v>2</v>
      </c>
      <c r="O4" s="95" t="s">
        <v>52</v>
      </c>
      <c r="P4" s="98">
        <f>M51</f>
        <v>0</v>
      </c>
      <c r="Q4" s="10">
        <v>10</v>
      </c>
      <c r="R4" s="14">
        <v>0</v>
      </c>
      <c r="S4" s="14">
        <v>0.2</v>
      </c>
      <c r="T4" s="97">
        <f>(P4-(P4*R4))/Q4+P4/2*'Input sheet'!$H$7+'Input sheet'!$H$19*'Facilities and equipment'!P4</f>
        <v>0</v>
      </c>
    </row>
    <row r="5" spans="2:20">
      <c r="B5" s="95" t="s">
        <v>50</v>
      </c>
      <c r="C5" s="15">
        <v>3000</v>
      </c>
      <c r="D5" s="10">
        <v>10</v>
      </c>
      <c r="E5" s="14">
        <v>0.3</v>
      </c>
      <c r="F5" s="14">
        <v>0.05</v>
      </c>
      <c r="G5" s="97">
        <f>(C5-(C5*E5))/D5+C5/2*'Input sheet'!$H$7+'Input sheet'!$H$19*'Facilities and equipment'!C5</f>
        <v>390</v>
      </c>
      <c r="I5" s="128" t="s">
        <v>304</v>
      </c>
      <c r="J5" s="10">
        <v>1</v>
      </c>
      <c r="K5" s="127">
        <v>3</v>
      </c>
      <c r="L5" s="10">
        <v>1</v>
      </c>
      <c r="M5" s="127">
        <v>3</v>
      </c>
      <c r="O5" s="95" t="s">
        <v>50</v>
      </c>
      <c r="P5" s="15">
        <v>3000</v>
      </c>
      <c r="Q5" s="10">
        <v>10</v>
      </c>
      <c r="R5" s="14">
        <v>0.3</v>
      </c>
      <c r="S5" s="14">
        <v>0.05</v>
      </c>
      <c r="T5" s="97">
        <f>(P5-(P5*R5))/Q5+P5/2*'Input sheet'!$H$7+'Input sheet'!$H$19*'Facilities and equipment'!P5</f>
        <v>390</v>
      </c>
    </row>
    <row r="6" spans="2:20">
      <c r="B6" s="95" t="s">
        <v>107</v>
      </c>
      <c r="C6" s="15">
        <v>420</v>
      </c>
      <c r="D6" s="10">
        <v>15</v>
      </c>
      <c r="E6" s="14">
        <v>0.5</v>
      </c>
      <c r="F6" s="14">
        <v>0.02</v>
      </c>
      <c r="G6" s="97">
        <f>(C6-(C6*E6))/D6+C6/2*'Input sheet'!$H$7+'Input sheet'!$H$19*'Facilities and equipment'!C6</f>
        <v>39.200000000000003</v>
      </c>
      <c r="I6" s="99" t="s">
        <v>305</v>
      </c>
      <c r="J6" s="11">
        <v>0.5</v>
      </c>
      <c r="K6" s="129">
        <v>1</v>
      </c>
      <c r="L6" s="11">
        <v>0.5</v>
      </c>
      <c r="M6" s="129">
        <v>1</v>
      </c>
      <c r="O6" s="95" t="s">
        <v>107</v>
      </c>
      <c r="P6" s="15">
        <v>420</v>
      </c>
      <c r="Q6" s="10">
        <v>15</v>
      </c>
      <c r="R6" s="14">
        <v>0.5</v>
      </c>
      <c r="S6" s="14">
        <v>0.02</v>
      </c>
      <c r="T6" s="97">
        <f>(P6-(P6*R6))/Q6+P6/2*'Input sheet'!$H$7+'Input sheet'!$H$19*'Facilities and equipment'!P6</f>
        <v>39.200000000000003</v>
      </c>
    </row>
    <row r="7" spans="2:20">
      <c r="B7" s="95"/>
      <c r="C7" s="15"/>
      <c r="D7" s="10"/>
      <c r="E7" s="14"/>
      <c r="F7" s="14"/>
      <c r="G7" s="97"/>
      <c r="I7" s="95" t="s">
        <v>309</v>
      </c>
      <c r="J7" s="3">
        <f>'Brooder budget'!E20</f>
        <v>1.3</v>
      </c>
      <c r="K7" s="136">
        <f>'Brooder budget'!F20</f>
        <v>2.5</v>
      </c>
      <c r="L7" s="3">
        <f>J7</f>
        <v>1.3</v>
      </c>
      <c r="M7" s="96">
        <f>'Brooder budget'!G20</f>
        <v>2</v>
      </c>
      <c r="O7" s="95"/>
      <c r="P7" s="15"/>
      <c r="Q7" s="10"/>
      <c r="R7" s="14"/>
      <c r="S7" s="14"/>
      <c r="T7" s="97"/>
    </row>
    <row r="8" spans="2:20">
      <c r="B8" s="99" t="s">
        <v>150</v>
      </c>
      <c r="C8" s="83">
        <f>'Brooder budget'!F16</f>
        <v>642.29999999999995</v>
      </c>
      <c r="D8" s="11">
        <v>12</v>
      </c>
      <c r="E8" s="9">
        <v>0.1</v>
      </c>
      <c r="F8" s="9">
        <v>0.05</v>
      </c>
      <c r="G8" s="100">
        <f>(C8-(C8*E8))/D8+C8/2*'Input sheet'!$H$7+'Input sheet'!$H$19*'Facilities and equipment'!C8</f>
        <v>86.710499999999996</v>
      </c>
      <c r="I8" s="99" t="s">
        <v>310</v>
      </c>
      <c r="J8" s="7">
        <f>'Processing budget'!G2/('Input sheet'!D5-'Input sheet'!D6)</f>
        <v>4</v>
      </c>
      <c r="K8" s="133">
        <f>'Processing budget'!G15/('Input sheet'!D5-'Input sheet'!D6)</f>
        <v>10</v>
      </c>
      <c r="L8" s="260">
        <f>'Processing budget'!G2/'Input sheet'!D16*'Input sheet'!D20</f>
        <v>0.66666666666666663</v>
      </c>
      <c r="M8" s="261">
        <f>'Processing budget'!G15*2/('Input sheet'!D16*'Input sheet'!D20)</f>
        <v>3.3333333333333335</v>
      </c>
      <c r="O8" s="99" t="s">
        <v>150</v>
      </c>
      <c r="P8" s="83">
        <f>'Brooder budget'!M16</f>
        <v>0</v>
      </c>
      <c r="Q8" s="11">
        <v>12</v>
      </c>
      <c r="R8" s="9">
        <v>0.1</v>
      </c>
      <c r="S8" s="9">
        <v>0.05</v>
      </c>
      <c r="T8" s="100">
        <f>(P8-(P8*R8))/Q8+P8/2*'Input sheet'!$H$7+'Input sheet'!$H$19*'Facilities and equipment'!P8</f>
        <v>0</v>
      </c>
    </row>
    <row r="9" spans="2:20" ht="16.5" thickBot="1">
      <c r="B9" s="101" t="s">
        <v>37</v>
      </c>
      <c r="C9" s="102">
        <f>SUM(C4:C8)</f>
        <v>4719.5</v>
      </c>
      <c r="D9" s="103"/>
      <c r="E9" s="104"/>
      <c r="F9" s="105">
        <f>SUMPRODUCT(C4:C8,F4:F8)</f>
        <v>321.95500000000004</v>
      </c>
      <c r="G9" s="106">
        <f>SUM(G4:G8)</f>
        <v>621.06250000000011</v>
      </c>
      <c r="I9" s="130" t="s">
        <v>37</v>
      </c>
      <c r="J9" s="131">
        <f>SUM(J3:J6)</f>
        <v>3.5</v>
      </c>
      <c r="K9" s="132">
        <f>SUM(K3:K6)</f>
        <v>8</v>
      </c>
      <c r="L9" s="131">
        <f>SUM(L3:L6)</f>
        <v>3.5</v>
      </c>
      <c r="M9" s="132">
        <f>SUM(M3:M6)</f>
        <v>8</v>
      </c>
      <c r="O9" s="101" t="s">
        <v>37</v>
      </c>
      <c r="P9" s="102">
        <f>SUM(P4:P8)</f>
        <v>3420</v>
      </c>
      <c r="Q9" s="103"/>
      <c r="R9" s="104"/>
      <c r="S9" s="105">
        <f>SUMPRODUCT(P4:P8,S4:S8)</f>
        <v>158.4</v>
      </c>
      <c r="T9" s="106">
        <f>SUM(T4:T8)</f>
        <v>429.2</v>
      </c>
    </row>
    <row r="10" spans="2:20">
      <c r="B10" s="3" t="s">
        <v>103</v>
      </c>
      <c r="C10" s="10">
        <v>120</v>
      </c>
      <c r="O10" s="3" t="s">
        <v>103</v>
      </c>
      <c r="P10" s="10">
        <v>120</v>
      </c>
    </row>
    <row r="11" spans="2:20" ht="16.5" thickBot="1">
      <c r="B11" s="3" t="s">
        <v>51</v>
      </c>
      <c r="O11" s="3" t="s">
        <v>51</v>
      </c>
    </row>
    <row r="12" spans="2:20" ht="19.5" thickBot="1">
      <c r="B12" s="174" t="s">
        <v>240</v>
      </c>
      <c r="C12" s="90"/>
      <c r="D12" s="90"/>
      <c r="E12" s="90"/>
      <c r="F12" s="90"/>
      <c r="G12" s="90"/>
      <c r="I12" s="175" t="s">
        <v>220</v>
      </c>
      <c r="J12" s="138"/>
      <c r="K12" s="138"/>
      <c r="L12" s="138"/>
      <c r="M12" s="139"/>
      <c r="O12" s="174" t="s">
        <v>293</v>
      </c>
      <c r="P12" s="90"/>
      <c r="Q12" s="90"/>
      <c r="R12" s="90"/>
      <c r="S12" s="90"/>
      <c r="T12" s="90"/>
    </row>
    <row r="13" spans="2:20" ht="16.5">
      <c r="B13" s="91" t="s">
        <v>147</v>
      </c>
      <c r="C13" s="92">
        <v>700</v>
      </c>
      <c r="D13" s="93" t="s">
        <v>291</v>
      </c>
      <c r="E13" s="93" t="s">
        <v>71</v>
      </c>
      <c r="F13" s="93">
        <f>K9</f>
        <v>8</v>
      </c>
      <c r="G13" s="94" t="s">
        <v>70</v>
      </c>
      <c r="I13" s="140"/>
      <c r="J13" s="82" t="s">
        <v>155</v>
      </c>
      <c r="K13" s="82" t="s">
        <v>156</v>
      </c>
      <c r="L13" s="82" t="s">
        <v>20</v>
      </c>
      <c r="M13" s="141" t="s">
        <v>221</v>
      </c>
      <c r="O13" s="91" t="s">
        <v>41</v>
      </c>
      <c r="P13" s="92">
        <v>275</v>
      </c>
      <c r="Q13" s="93" t="s">
        <v>294</v>
      </c>
      <c r="R13" s="93" t="s">
        <v>71</v>
      </c>
      <c r="S13" s="93">
        <f>M9</f>
        <v>8</v>
      </c>
      <c r="T13" s="94" t="s">
        <v>70</v>
      </c>
    </row>
    <row r="14" spans="2:20" ht="16.5">
      <c r="B14" s="95" t="s">
        <v>43</v>
      </c>
      <c r="C14" s="3" t="s">
        <v>44</v>
      </c>
      <c r="D14" s="3" t="s">
        <v>45</v>
      </c>
      <c r="E14" s="3" t="s">
        <v>46</v>
      </c>
      <c r="F14" s="3" t="s">
        <v>48</v>
      </c>
      <c r="G14" s="96" t="s">
        <v>47</v>
      </c>
      <c r="I14" s="142" t="s">
        <v>201</v>
      </c>
      <c r="J14"/>
      <c r="K14"/>
      <c r="L14"/>
      <c r="M14" s="143"/>
      <c r="O14" s="95" t="s">
        <v>43</v>
      </c>
      <c r="P14" s="3" t="s">
        <v>44</v>
      </c>
      <c r="Q14" s="3" t="s">
        <v>45</v>
      </c>
      <c r="R14" s="3" t="s">
        <v>46</v>
      </c>
      <c r="S14" s="3" t="s">
        <v>48</v>
      </c>
      <c r="T14" s="96" t="s">
        <v>47</v>
      </c>
    </row>
    <row r="15" spans="2:20" ht="16.5">
      <c r="B15" s="95" t="s">
        <v>55</v>
      </c>
      <c r="C15" s="15">
        <v>27000</v>
      </c>
      <c r="D15" s="10">
        <v>20</v>
      </c>
      <c r="E15" s="14">
        <v>0.2</v>
      </c>
      <c r="F15" s="14">
        <v>0.05</v>
      </c>
      <c r="G15" s="97">
        <f>(C15-(C15*E15))/D15+C15/2*'Input sheet'!$H$7+'Input sheet'!$H$19*'Facilities and equipment'!C15</f>
        <v>2700</v>
      </c>
      <c r="I15" s="144" t="s">
        <v>191</v>
      </c>
      <c r="J15" s="254" t="s">
        <v>192</v>
      </c>
      <c r="K15"/>
      <c r="L15" s="149">
        <f>'Input sheet'!H6</f>
        <v>19.5</v>
      </c>
      <c r="M15" s="150">
        <v>12</v>
      </c>
      <c r="O15" s="95" t="s">
        <v>295</v>
      </c>
      <c r="P15" s="15">
        <v>27000</v>
      </c>
      <c r="Q15" s="10">
        <v>20</v>
      </c>
      <c r="R15" s="14">
        <v>0.2</v>
      </c>
      <c r="S15" s="14">
        <v>0.05</v>
      </c>
      <c r="T15" s="97">
        <f>(P15-(P15*R15))/Q15+P15/2*'Input sheet'!$H$7+'Input sheet'!$H$19*'Facilities and equipment'!P15</f>
        <v>2700</v>
      </c>
    </row>
    <row r="16" spans="2:20" ht="16.5">
      <c r="B16" s="95" t="s">
        <v>49</v>
      </c>
      <c r="C16" s="15">
        <v>3000</v>
      </c>
      <c r="D16" s="10">
        <v>15</v>
      </c>
      <c r="E16" s="14">
        <v>0.3</v>
      </c>
      <c r="F16" s="14">
        <v>0.05</v>
      </c>
      <c r="G16" s="97">
        <f>(C16-(C16*E16))/D16+C16/2*'Input sheet'!$H$7+'Input sheet'!$H$19*'Facilities and equipment'!C16</f>
        <v>320</v>
      </c>
      <c r="I16" s="144" t="s">
        <v>200</v>
      </c>
      <c r="J16" s="254" t="s">
        <v>153</v>
      </c>
      <c r="K16" s="145">
        <v>0.1</v>
      </c>
      <c r="L16" s="151">
        <v>0.5</v>
      </c>
      <c r="M16" s="150">
        <v>320</v>
      </c>
      <c r="O16" s="95" t="s">
        <v>49</v>
      </c>
      <c r="P16" s="15">
        <v>3000</v>
      </c>
      <c r="Q16" s="10">
        <v>15</v>
      </c>
      <c r="R16" s="14">
        <v>0.3</v>
      </c>
      <c r="S16" s="14">
        <v>0.05</v>
      </c>
      <c r="T16" s="97">
        <f>(P16-(P16*R16))/Q16+P16/2*'Input sheet'!$H$7+'Input sheet'!$H$19*'Facilities and equipment'!P16</f>
        <v>320</v>
      </c>
    </row>
    <row r="17" spans="2:20" ht="16.5">
      <c r="B17" s="95" t="s">
        <v>53</v>
      </c>
      <c r="C17" s="15">
        <v>10875</v>
      </c>
      <c r="D17" s="10">
        <v>15</v>
      </c>
      <c r="E17" s="14">
        <v>0.25</v>
      </c>
      <c r="F17" s="14">
        <v>0.05</v>
      </c>
      <c r="G17" s="97">
        <f>(C17-(C17*E17))/D17+C17/2*'Input sheet'!$H$7+'Input sheet'!$H$19*'Facilities and equipment'!C17</f>
        <v>1196.25</v>
      </c>
      <c r="I17" s="144" t="s">
        <v>223</v>
      </c>
      <c r="J17" s="254" t="s">
        <v>224</v>
      </c>
      <c r="K17" s="145"/>
      <c r="L17" s="151">
        <v>750</v>
      </c>
      <c r="M17" s="150"/>
      <c r="O17" s="95" t="s">
        <v>53</v>
      </c>
      <c r="P17" s="15">
        <v>10875</v>
      </c>
      <c r="Q17" s="10">
        <v>15</v>
      </c>
      <c r="R17" s="14">
        <v>0.25</v>
      </c>
      <c r="S17" s="14">
        <v>0.05</v>
      </c>
      <c r="T17" s="97">
        <f>(P17-(P17*R17))/Q17+P17/2*'Input sheet'!$H$7+'Input sheet'!$H$19*'Facilities and equipment'!P17</f>
        <v>1196.25</v>
      </c>
    </row>
    <row r="18" spans="2:20" ht="16.5">
      <c r="B18" s="95" t="s">
        <v>193</v>
      </c>
      <c r="C18" s="98">
        <f>'Brooder budget'!G16</f>
        <v>15345.4</v>
      </c>
      <c r="D18" s="10">
        <v>25</v>
      </c>
      <c r="E18" s="14">
        <v>0.2</v>
      </c>
      <c r="F18" s="14">
        <v>0.02</v>
      </c>
      <c r="G18" s="97">
        <f>(C18-(C18*E18))/D18+C18/2*'Input sheet'!$H$7+'Input sheet'!$H$19*'Facilities and equipment'!C18</f>
        <v>1411.7768000000001</v>
      </c>
      <c r="I18" s="144" t="s">
        <v>222</v>
      </c>
      <c r="J18" s="254" t="s">
        <v>103</v>
      </c>
      <c r="K18" s="145">
        <v>0.1</v>
      </c>
      <c r="L18" s="151">
        <v>0.2</v>
      </c>
      <c r="M18" s="150">
        <v>300</v>
      </c>
      <c r="O18" s="95" t="s">
        <v>193</v>
      </c>
      <c r="P18" s="98">
        <f>'Brooder budget'!H16</f>
        <v>14757.5</v>
      </c>
      <c r="Q18" s="10">
        <v>25</v>
      </c>
      <c r="R18" s="14">
        <v>0.2</v>
      </c>
      <c r="S18" s="14">
        <v>0.02</v>
      </c>
      <c r="T18" s="97">
        <f>(P18-(P18*R18))/Q18+P18/2*'Input sheet'!$H$7+'Input sheet'!$H$19*'Facilities and equipment'!P18</f>
        <v>1357.69</v>
      </c>
    </row>
    <row r="19" spans="2:20" ht="16.5">
      <c r="B19" s="95" t="s">
        <v>107</v>
      </c>
      <c r="C19" s="15">
        <v>2880</v>
      </c>
      <c r="D19" s="10">
        <v>15</v>
      </c>
      <c r="E19" s="14">
        <v>0.3</v>
      </c>
      <c r="F19" s="14">
        <v>0.02</v>
      </c>
      <c r="G19" s="97">
        <f>(C19-(C19*E19))/D19+C19/2*'Input sheet'!$H$7+'Input sheet'!$H$19*'Facilities and equipment'!C19</f>
        <v>307.20000000000005</v>
      </c>
      <c r="I19" s="144" t="s">
        <v>199</v>
      </c>
      <c r="J19" s="254" t="s">
        <v>103</v>
      </c>
      <c r="K19" s="145">
        <v>0.2</v>
      </c>
      <c r="L19" s="151">
        <v>0.26</v>
      </c>
      <c r="M19" s="150">
        <v>320</v>
      </c>
      <c r="O19" s="95" t="s">
        <v>110</v>
      </c>
      <c r="P19" s="15">
        <v>2000</v>
      </c>
      <c r="Q19" s="10">
        <v>15</v>
      </c>
      <c r="R19" s="14">
        <v>0.3</v>
      </c>
      <c r="S19" s="14">
        <v>0.02</v>
      </c>
      <c r="T19" s="97">
        <f>(P19-(P19*R19))/Q19+P19/2*'Input sheet'!$H$7+'Input sheet'!$H$19*'Facilities and equipment'!P19</f>
        <v>213.33333333333331</v>
      </c>
    </row>
    <row r="20" spans="2:20" ht="16.5">
      <c r="B20" s="95" t="s">
        <v>108</v>
      </c>
      <c r="C20" s="15">
        <v>1950</v>
      </c>
      <c r="D20" s="10">
        <v>15</v>
      </c>
      <c r="E20" s="14">
        <v>0.25</v>
      </c>
      <c r="F20" s="14">
        <v>0.05</v>
      </c>
      <c r="G20" s="97">
        <f>(C20-(C20*E20))/D20+C20/2*'Input sheet'!$H$7+'Input sheet'!$H$19*'Facilities and equipment'!C20</f>
        <v>214.5</v>
      </c>
      <c r="I20" s="144" t="s">
        <v>167</v>
      </c>
      <c r="J20" s="254" t="s">
        <v>157</v>
      </c>
      <c r="K20" s="145">
        <v>0</v>
      </c>
      <c r="L20" s="151">
        <v>40</v>
      </c>
      <c r="M20" s="150">
        <v>2</v>
      </c>
      <c r="O20" s="95" t="s">
        <v>108</v>
      </c>
      <c r="P20" s="15">
        <v>1950</v>
      </c>
      <c r="Q20" s="10">
        <v>15</v>
      </c>
      <c r="R20" s="14">
        <v>0.25</v>
      </c>
      <c r="S20" s="14">
        <v>0.05</v>
      </c>
      <c r="T20" s="97">
        <f>(P20-(P20*R20))/Q20+P20/2*'Input sheet'!$H$7+'Input sheet'!$H$19*'Facilities and equipment'!P20</f>
        <v>214.5</v>
      </c>
    </row>
    <row r="21" spans="2:20" ht="16.5">
      <c r="B21" s="95" t="s">
        <v>57</v>
      </c>
      <c r="C21" s="15">
        <v>4300</v>
      </c>
      <c r="D21" s="10">
        <v>20</v>
      </c>
      <c r="E21" s="14">
        <v>0.4</v>
      </c>
      <c r="F21" s="14">
        <v>0.02</v>
      </c>
      <c r="G21" s="97">
        <f>(C21-(C21*E21))/D21+C21/2*'Input sheet'!$H$7+'Input sheet'!$H$19*'Facilities and equipment'!C21</f>
        <v>387</v>
      </c>
      <c r="I21" s="144" t="s">
        <v>184</v>
      </c>
      <c r="J21" s="254" t="s">
        <v>185</v>
      </c>
      <c r="K21" s="145">
        <v>0.2</v>
      </c>
      <c r="L21" s="151">
        <v>2.5</v>
      </c>
      <c r="M21" s="150">
        <v>10</v>
      </c>
      <c r="O21" s="95" t="s">
        <v>56</v>
      </c>
      <c r="P21" s="15">
        <v>3500</v>
      </c>
      <c r="Q21" s="10">
        <v>15</v>
      </c>
      <c r="R21" s="14">
        <v>0.25</v>
      </c>
      <c r="S21" s="14">
        <v>0.05</v>
      </c>
      <c r="T21" s="97">
        <f>(P21-(P21*R21))/Q21+P21/2*'Input sheet'!$H$7+'Input sheet'!$H$19*'Facilities and equipment'!P21</f>
        <v>385</v>
      </c>
    </row>
    <row r="22" spans="2:20" ht="16.5">
      <c r="B22" s="95"/>
      <c r="C22" s="15"/>
      <c r="D22" s="10"/>
      <c r="E22" s="14"/>
      <c r="F22" s="14"/>
      <c r="G22" s="97"/>
      <c r="I22" s="140" t="s">
        <v>160</v>
      </c>
      <c r="J22" s="255" t="s">
        <v>157</v>
      </c>
      <c r="K22" s="86">
        <v>0</v>
      </c>
      <c r="L22" s="152">
        <v>5</v>
      </c>
      <c r="M22" s="153">
        <v>3</v>
      </c>
      <c r="O22" s="99" t="s">
        <v>57</v>
      </c>
      <c r="P22" s="13">
        <v>4300</v>
      </c>
      <c r="Q22" s="11">
        <v>20</v>
      </c>
      <c r="R22" s="9">
        <v>0.4</v>
      </c>
      <c r="S22" s="9">
        <v>0.02</v>
      </c>
      <c r="T22" s="100">
        <f>(P22-(P22*R22))/Q22+P22/2*'Input sheet'!$H$7+'Input sheet'!$H$19*'Facilities and equipment'!P22</f>
        <v>387</v>
      </c>
    </row>
    <row r="23" spans="2:20" ht="17.25" thickBot="1">
      <c r="B23" s="99" t="s">
        <v>56</v>
      </c>
      <c r="C23" s="13">
        <v>3500</v>
      </c>
      <c r="D23" s="11">
        <v>15</v>
      </c>
      <c r="E23" s="9">
        <v>0.25</v>
      </c>
      <c r="F23" s="9">
        <v>0.05</v>
      </c>
      <c r="G23" s="100">
        <f>(C23-(C23*E23))/D23+C23/2*'Input sheet'!$H$7+'Input sheet'!$H$19*'Facilities and equipment'!C23</f>
        <v>385</v>
      </c>
      <c r="I23" s="146" t="s">
        <v>37</v>
      </c>
      <c r="J23" s="147"/>
      <c r="K23" s="148"/>
      <c r="L23" s="154"/>
      <c r="M23" s="155">
        <f>SUMPRODUCT(M15:M22,$L$15:$L$22)</f>
        <v>657.2</v>
      </c>
      <c r="O23" s="101" t="s">
        <v>37</v>
      </c>
      <c r="P23" s="102">
        <f>SUM(P15:P22)</f>
        <v>67382.5</v>
      </c>
      <c r="Q23" s="103"/>
      <c r="R23" s="104"/>
      <c r="S23" s="105">
        <f>SUMPRODUCT(P15:P22,S15:S22)</f>
        <v>2737.4</v>
      </c>
      <c r="T23" s="106">
        <f>SUM(T15:T22)</f>
        <v>6773.7733333333335</v>
      </c>
    </row>
    <row r="24" spans="2:20" ht="16.5" thickBot="1">
      <c r="B24" s="101" t="s">
        <v>37</v>
      </c>
      <c r="C24" s="102">
        <f>SUM(C15:C23)</f>
        <v>68850.399999999994</v>
      </c>
      <c r="D24" s="103"/>
      <c r="E24" s="104"/>
      <c r="F24" s="105">
        <f>SUMPRODUCT(C15:C23,F15:F23)</f>
        <v>2766.7579999999998</v>
      </c>
      <c r="G24" s="106">
        <f>SUM(G15:G23)</f>
        <v>6921.7267999999995</v>
      </c>
      <c r="O24" s="3" t="s">
        <v>54</v>
      </c>
    </row>
    <row r="25" spans="2:20">
      <c r="B25" s="3" t="s">
        <v>54</v>
      </c>
      <c r="O25" s="3" t="s">
        <v>109</v>
      </c>
    </row>
    <row r="26" spans="2:20">
      <c r="B26" s="3" t="s">
        <v>109</v>
      </c>
      <c r="O26" s="3" t="s">
        <v>103</v>
      </c>
      <c r="P26" s="10">
        <v>960</v>
      </c>
    </row>
    <row r="27" spans="2:20">
      <c r="B27" s="3" t="s">
        <v>103</v>
      </c>
      <c r="C27" s="10">
        <v>960</v>
      </c>
    </row>
    <row r="28" spans="2:20"/>
  </sheetData>
  <sheetProtection sheet="1" objects="1" scenarios="1"/>
  <protectedRanges>
    <protectedRange sqref="C2 C13 D4:F8 C5:C7 C10 C27 C15:F17 D18:F23 C19:C23 I5 J3:K6 L3:M6 M15:M22 K16:L22 P26 P10 P2 P13 Q4:S8 P5:P7 P15:S17 Q18:S22 P19:P22" name="Edit cells"/>
  </protectedRanges>
  <phoneticPr fontId="5" type="noConversion"/>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3E513-6DD2-4BBC-B725-15D7DB6973E2}">
  <dimension ref="A1:W74"/>
  <sheetViews>
    <sheetView showGridLines="0" zoomScaleNormal="100" workbookViewId="0"/>
  </sheetViews>
  <sheetFormatPr defaultColWidth="0" defaultRowHeight="15" zeroHeight="1"/>
  <cols>
    <col min="1" max="1" width="3.125" style="17" customWidth="1"/>
    <col min="2" max="2" width="27.75" style="17" customWidth="1"/>
    <col min="3" max="3" width="11.25" style="17" bestFit="1" customWidth="1"/>
    <col min="4" max="4" width="9.375" style="17" bestFit="1" customWidth="1"/>
    <col min="5" max="5" width="15.375" style="17" bestFit="1" customWidth="1"/>
    <col min="6" max="6" width="13.25" style="17" bestFit="1" customWidth="1"/>
    <col min="7" max="7" width="9.875" style="17" bestFit="1" customWidth="1"/>
    <col min="8" max="8" width="3.125" style="17" customWidth="1"/>
    <col min="9" max="9" width="5.375" style="17" customWidth="1"/>
    <col min="10" max="10" width="7.875" style="17" customWidth="1"/>
    <col min="11" max="11" width="13.125" style="17" customWidth="1"/>
    <col min="12" max="12" width="13" style="17" bestFit="1" customWidth="1"/>
    <col min="13" max="13" width="10.875" style="17" bestFit="1" customWidth="1"/>
    <col min="14" max="15" width="10.5" style="17" bestFit="1" customWidth="1"/>
    <col min="16" max="16" width="3.125" style="17" customWidth="1"/>
    <col min="17" max="17" width="9" style="17" hidden="1" customWidth="1"/>
    <col min="18" max="18" width="38" style="17" hidden="1" customWidth="1"/>
    <col min="19" max="16384" width="9" style="17" hidden="1"/>
  </cols>
  <sheetData>
    <row r="1" spans="2:23" ht="20.25" customHeight="1">
      <c r="B1" s="309" t="s">
        <v>318</v>
      </c>
      <c r="C1" s="310"/>
      <c r="D1" s="310"/>
      <c r="E1" s="310"/>
      <c r="F1" s="310"/>
      <c r="G1" s="311"/>
      <c r="H1" s="16"/>
    </row>
    <row r="2" spans="2:23" ht="18.75">
      <c r="B2" s="312"/>
      <c r="C2" s="313"/>
      <c r="E2" s="18" t="s">
        <v>39</v>
      </c>
      <c r="F2" s="19" t="s">
        <v>147</v>
      </c>
      <c r="G2" s="20"/>
      <c r="I2" s="173" t="s">
        <v>146</v>
      </c>
      <c r="J2" s="158"/>
      <c r="K2" s="158"/>
      <c r="L2" s="158"/>
      <c r="M2" s="158"/>
      <c r="N2" s="158"/>
      <c r="O2" s="159"/>
    </row>
    <row r="3" spans="2:23" ht="15.95" customHeight="1">
      <c r="B3" s="88"/>
      <c r="C3" s="89"/>
      <c r="E3" s="18" t="s">
        <v>274</v>
      </c>
      <c r="F3" s="19" t="s">
        <v>276</v>
      </c>
      <c r="G3" s="20"/>
      <c r="I3" s="65"/>
      <c r="K3" s="307" t="s">
        <v>112</v>
      </c>
      <c r="L3" s="307"/>
      <c r="M3" s="307"/>
      <c r="N3" s="307"/>
      <c r="O3" s="308"/>
    </row>
    <row r="4" spans="2:23" ht="15.95" customHeight="1">
      <c r="B4" s="22"/>
      <c r="C4" s="23" t="s">
        <v>18</v>
      </c>
      <c r="D4" s="23" t="s">
        <v>19</v>
      </c>
      <c r="E4" s="24" t="s">
        <v>20</v>
      </c>
      <c r="F4" s="24" t="s">
        <v>202</v>
      </c>
      <c r="G4" s="25" t="s">
        <v>148</v>
      </c>
      <c r="I4" s="66"/>
      <c r="K4" s="67">
        <v>0.7</v>
      </c>
      <c r="L4" s="68">
        <v>0.8</v>
      </c>
      <c r="M4" s="68">
        <v>0.9</v>
      </c>
      <c r="N4" s="68">
        <v>1</v>
      </c>
      <c r="O4" s="69">
        <v>1.1000000000000001</v>
      </c>
    </row>
    <row r="5" spans="2:23" ht="15.95" customHeight="1">
      <c r="B5" s="26" t="s">
        <v>21</v>
      </c>
      <c r="C5" s="27"/>
      <c r="D5" s="27"/>
      <c r="E5" s="21"/>
      <c r="F5" s="21"/>
      <c r="G5" s="28"/>
      <c r="I5" s="305" t="s">
        <v>113</v>
      </c>
      <c r="J5" s="70">
        <v>1.45</v>
      </c>
      <c r="K5" s="53">
        <f>$D$6*K$4*$E$6*$J5-SUM($F$11:$F$12,$F$14:$F$18,$F$20,$F$22,$F$27,$F$29)-$E$13*$D$13*K$4-$F$19*K$4-($D$6*K$4*$E$6*$J5*('Input sheet'!$H$18+'Input sheet'!$H$19+'Input sheet'!$H$20))-(SUM($F$11:$F$12,$F$14:$F$18,$F$20,$F$22)+$F$19*K$4+$E$13*$D$13*K$4+($D$6*K$4*$E$6*$J5*'Input sheet'!$H$20))*$E$23*($D$23/12)</f>
        <v>7589.9641908333269</v>
      </c>
      <c r="L5" s="53">
        <f>$D$6*L$4*$E$6*$J5-SUM($F$11:$F$12,$F$14:$F$18,$F$20,$F$22,$F$27,$F$29)-$E$13*$D$13*L$4-$F$19*L$4-($D$6*L$4*$E$6*$J5*('Input sheet'!$H$18+'Input sheet'!$H$19+'Input sheet'!$H$20))-(SUM($F$11:$F$12,$F$14:$F$18,$F$20,$F$22)+$F$19*L$4+$E$13*$D$13*L$4+($D$6*L$4*$E$6*$J5*'Input sheet'!$H$20))*$E$23*($D$23/12)</f>
        <v>14823.154123333332</v>
      </c>
      <c r="M5" s="53">
        <f>$D$6*M$4*$E$6*$J5-SUM($F$11:$F$12,$F$14:$F$18,$F$20,$F$22,$F$27,$F$29)-$E$13*$D$13*M$4-$F$19*M$4-($D$6*M$4*$E$6*$J5*('Input sheet'!$H$18+'Input sheet'!$H$19+'Input sheet'!$H$20))-(SUM($F$11:$F$12,$F$14:$F$18,$F$20,$F$22)+$F$19*M$4+$E$13*$D$13*M$4+($D$6*M$4*$E$6*$J5*'Input sheet'!$H$20))*$E$23*($D$23/12)</f>
        <v>22056.344055833342</v>
      </c>
      <c r="N5" s="53">
        <f>$D$6*N$4*$E$6*$J5-SUM($F$11:$F$12,$F$14:$F$18,$F$20,$F$22,$F$27,$F$29)-$E$13*$D$13*N$4-$F$19*N$4-($D$6*N$4*$E$6*$J5*('Input sheet'!$H$18+'Input sheet'!$H$19+'Input sheet'!$H$20))-(SUM($F$11:$F$12,$F$14:$F$18,$F$20,$F$22)+$F$19*N$4+$E$13*$D$13*N$4+($D$6*N$4*$E$6*$J5*'Input sheet'!$H$20))*$E$23*($D$23/12)</f>
        <v>29289.533988333333</v>
      </c>
      <c r="O5" s="71">
        <f>$D$6*O$4*$E$6*$J5-SUM($F$11:$F$12,$F$14:$F$18,$F$20,$F$22,$F$27,$F$29)-$E$13*$D$13*O$4-$F$19*O$4-($D$6*O$4*$E$6*$J5*('Input sheet'!$H$18+'Input sheet'!$H$19+'Input sheet'!$H$20))-(SUM($F$11:$F$12,$F$14:$F$18,$F$20,$F$22)+$F$19*O$4+$E$13*$D$13*O$4+($D$6*O$4*$E$6*$J5*'Input sheet'!$H$20))*$E$23*($D$23/12)</f>
        <v>36522.723920833327</v>
      </c>
    </row>
    <row r="6" spans="2:23" ht="15.95" customHeight="1">
      <c r="B6" s="29" t="s">
        <v>82</v>
      </c>
      <c r="C6" s="30" t="s">
        <v>316</v>
      </c>
      <c r="D6" s="126">
        <f>HLOOKUP($F$2,$S$16:$V$19,2,FALSE)*HLOOKUP('Mobile poultry budget'!F2,'Mobile poultry budget'!S16:V32,'Mobile poultry budget'!W22,FALSE)*(1-'Input sheet'!D13)*HLOOKUP(F2,S16:V33,W33,FALSE)*HLOOKUP(F2,S16:V34,W34,FALSE)</f>
        <v>21180.25</v>
      </c>
      <c r="E6" s="32">
        <f>HLOOKUP(F2,S16:V31,W31,FALSE)</f>
        <v>4</v>
      </c>
      <c r="F6" s="33">
        <f>D6*E6</f>
        <v>84721</v>
      </c>
      <c r="G6" s="75">
        <f>F6/HLOOKUP($F$2,$S$16:$V$22,7,FALSE)</f>
        <v>12103</v>
      </c>
      <c r="I6" s="305"/>
      <c r="J6" s="70">
        <v>1.3</v>
      </c>
      <c r="K6" s="53">
        <f>$D$6*K$4*$E$6*$J6-SUM($F$11:$F$12,$F$14:$F$18,$F$20,$F$22,$F$27,$F$29)-$E$13*$D$13*K$4-$F$19*K$4-($D$6*K$4*$E$6*$J6*('Input sheet'!$H$18+'Input sheet'!$H$19+'Input sheet'!$H$20))-(SUM($F$11:$F$12,$F$14:$F$18,$F$20,$F$22)+$F$19*K$4+$E$13*$D$13*K$4+($D$6*K$4*$E$6*$J6*'Input sheet'!$H$20))*$E$23*($D$23/12)</f>
        <v>41.958498333336138</v>
      </c>
      <c r="L6" s="53">
        <f>$D$6*L$4*$E$6*$J6-SUM($F$11:$F$12,$F$14:$F$18,$F$20,$F$22,$F$27,$F$29)-$E$13*$D$13*L$4-$F$19*L$4-($D$6*L$4*$E$6*$J6*('Input sheet'!$H$18+'Input sheet'!$H$19+'Input sheet'!$H$20))-(SUM($F$11:$F$12,$F$14:$F$18,$F$20,$F$22)+$F$19*L$4+$E$13*$D$13*L$4+($D$6*L$4*$E$6*$J6*'Input sheet'!$H$20))*$E$23*($D$23/12)</f>
        <v>6196.8619033333398</v>
      </c>
      <c r="M6" s="53">
        <f>$D$6*M$4*$E$6*$J6-SUM($F$11:$F$12,$F$14:$F$18,$F$20,$F$22,$F$27,$F$29)-$E$13*$D$13*M$4-$F$19*M$4-($D$6*M$4*$E$6*$J6*('Input sheet'!$H$18+'Input sheet'!$H$19+'Input sheet'!$H$20))-(SUM($F$11:$F$12,$F$14:$F$18,$F$20,$F$22)+$F$19*M$4+$E$13*$D$13*M$4+($D$6*M$4*$E$6*$J6*'Input sheet'!$H$20))*$E$23*($D$23/12)</f>
        <v>12351.76530833335</v>
      </c>
      <c r="N6" s="53">
        <f>$D$6*N$4*$E$6*$J6-SUM($F$11:$F$12,$F$14:$F$18,$F$20,$F$22,$F$27,$F$29)-$E$13*$D$13*N$4-$F$19*N$4-($D$6*N$4*$E$6*$J6*('Input sheet'!$H$18+'Input sheet'!$H$19+'Input sheet'!$H$20))-(SUM($F$11:$F$12,$F$14:$F$18,$F$20,$F$22)+$F$19*N$4+$E$13*$D$13*N$4+($D$6*N$4*$E$6*$J6*'Input sheet'!$H$20))*$E$23*($D$23/12)</f>
        <v>18506.668713333336</v>
      </c>
      <c r="O6" s="71">
        <f>$D$6*O$4*$E$6*$J6-SUM($F$11:$F$12,$F$14:$F$18,$F$20,$F$22,$F$27,$F$29)-$E$13*$D$13*O$4-$F$19*O$4-($D$6*O$4*$E$6*$J6*('Input sheet'!$H$18+'Input sheet'!$H$19+'Input sheet'!$H$20))-(SUM($F$11:$F$12,$F$14:$F$18,$F$20,$F$22)+$F$19*O$4+$E$13*$D$13*O$4+($D$6*O$4*$E$6*$J6*'Input sheet'!$H$20))*$E$23*($D$23/12)</f>
        <v>24661.572118333337</v>
      </c>
    </row>
    <row r="7" spans="2:23" ht="15.95" customHeight="1">
      <c r="B7" s="35" t="s">
        <v>36</v>
      </c>
      <c r="C7" s="18"/>
      <c r="D7" s="18"/>
      <c r="E7" s="32"/>
      <c r="F7" s="36">
        <f>D7*E7</f>
        <v>0</v>
      </c>
      <c r="G7" s="77">
        <f>F7/HLOOKUP($F$2,$S$16:$V$22,7,FALSE)</f>
        <v>0</v>
      </c>
      <c r="I7" s="305"/>
      <c r="J7" s="70">
        <v>1.1499999999999999</v>
      </c>
      <c r="K7" s="53">
        <f>$D$6*K$4*$E$6*$J7-SUM($F$11:$F$12,$F$14:$F$18,$F$20,$F$22,$F$27,$F$29)-$E$13*$D$13*K$4-$F$19*K$4-($D$6*K$4*$E$6*$J7*('Input sheet'!$H$18+'Input sheet'!$H$19+'Input sheet'!$H$20))-(SUM($F$11:$F$12,$F$14:$F$18,$F$20,$F$22)+$F$19*K$4+$E$13*$D$13*K$4+($D$6*K$4*$E$6*$J7*'Input sheet'!$H$20))*$E$23*($D$23/12)</f>
        <v>-7506.0471941666774</v>
      </c>
      <c r="L7" s="53">
        <f>$D$6*L$4*$E$6*$J7-SUM($F$11:$F$12,$F$14:$F$18,$F$20,$F$22,$F$27,$F$29)-$E$13*$D$13*L$4-$F$19*L$4-($D$6*L$4*$E$6*$J7*('Input sheet'!$H$18+'Input sheet'!$H$19+'Input sheet'!$H$20))-(SUM($F$11:$F$12,$F$14:$F$18,$F$20,$F$22)+$F$19*L$4+$E$13*$D$13*L$4+($D$6*L$4*$E$6*$J7*'Input sheet'!$H$20))*$E$23*($D$23/12)</f>
        <v>-2429.4303166666741</v>
      </c>
      <c r="M7" s="53">
        <f>$D$6*M$4*$E$6*$J7-SUM($F$11:$F$12,$F$14:$F$18,$F$20,$F$22,$F$27,$F$29)-$E$13*$D$13*M$4-$F$19*M$4-($D$6*M$4*$E$6*$J7*('Input sheet'!$H$18+'Input sheet'!$H$19+'Input sheet'!$H$20))-(SUM($F$11:$F$12,$F$14:$F$18,$F$20,$F$22)+$F$19*M$4+$E$13*$D$13*M$4+($D$6*M$4*$E$6*$J7*'Input sheet'!$H$20))*$E$23*($D$23/12)</f>
        <v>2647.1865608333328</v>
      </c>
      <c r="N7" s="53">
        <f>$D$6*N$4*$E$6*$J7-SUM($F$11:$F$12,$F$14:$F$18,$F$20,$F$22,$F$27,$F$29)-$E$13*$D$13*N$4-$F$19*N$4-($D$6*N$4*$E$6*$J7*('Input sheet'!$H$18+'Input sheet'!$H$19+'Input sheet'!$H$20))-(SUM($F$11:$F$12,$F$14:$F$18,$F$20,$F$22)+$F$19*N$4+$E$13*$D$13*N$4+($D$6*N$4*$E$6*$J7*'Input sheet'!$H$20))*$E$23*($D$23/12)</f>
        <v>7723.8034383333288</v>
      </c>
      <c r="O7" s="71">
        <f>$D$6*O$4*$E$6*$J7-SUM($F$11:$F$12,$F$14:$F$18,$F$20,$F$22,$F$27,$F$29)-$E$13*$D$13*O$4-$F$19*O$4-($D$6*O$4*$E$6*$J7*('Input sheet'!$H$18+'Input sheet'!$H$19+'Input sheet'!$H$20))-(SUM($F$11:$F$12,$F$14:$F$18,$F$20,$F$22)+$F$19*O$4+$E$13*$D$13*O$4+($D$6*O$4*$E$6*$J7*'Input sheet'!$H$20))*$E$23*($D$23/12)</f>
        <v>12800.420315833333</v>
      </c>
    </row>
    <row r="8" spans="2:23" ht="15.95" customHeight="1">
      <c r="B8" s="37" t="s">
        <v>22</v>
      </c>
      <c r="C8" s="18"/>
      <c r="D8" s="38"/>
      <c r="F8" s="39">
        <f>SUM(F6:F7)</f>
        <v>84721</v>
      </c>
      <c r="G8" s="76">
        <f>F8/HLOOKUP($F$2,$S$16:$V$22,7,FALSE)</f>
        <v>12103</v>
      </c>
      <c r="I8" s="305"/>
      <c r="J8" s="70">
        <v>1</v>
      </c>
      <c r="K8" s="53">
        <f>$D$6*K$4*$E$6*$J8-SUM($F$11:$F$12,$F$14:$F$18,$F$20,$F$22,$F$27,$F$29)-$E$13*$D$13*K$4-$F$19*K$4-($D$6*K$4*$E$6*$J8*('Input sheet'!$H$18+'Input sheet'!$H$19+'Input sheet'!$H$20))-(SUM($F$11:$F$12,$F$14:$F$18,$F$20,$F$22)+$F$19*K$4+$E$13*$D$13*K$4+($D$6*K$4*$E$6*$J8*'Input sheet'!$H$20))*$E$23*($D$23/12)</f>
        <v>-15054.052886666668</v>
      </c>
      <c r="L8" s="53">
        <f>$D$6*L$4*$E$6*$J8-SUM($F$11:$F$12,$F$14:$F$18,$F$20,$F$22,$F$27,$F$29)-$E$13*$D$13*L$4-$F$19*L$4-($D$6*L$4*$E$6*$J8*('Input sheet'!$H$18+'Input sheet'!$H$19+'Input sheet'!$H$20))-(SUM($F$11:$F$12,$F$14:$F$18,$F$20,$F$22)+$F$19*L$4+$E$13*$D$13*L$4+($D$6*L$4*$E$6*$J8*'Input sheet'!$H$20))*$E$23*($D$23/12)</f>
        <v>-11055.722536666664</v>
      </c>
      <c r="M8" s="53">
        <f>$D$6*M$4*$E$6*$J8-SUM($F$11:$F$12,$F$14:$F$18,$F$20,$F$22,$F$27,$F$29)-$E$13*$D$13*M$4-$F$19*M$4-($D$6*M$4*$E$6*$J8*('Input sheet'!$H$18+'Input sheet'!$H$19+'Input sheet'!$H$20))-(SUM($F$11:$F$12,$F$14:$F$18,$F$20,$F$22)+$F$19*M$4+$E$13*$D$13*M$4+($D$6*M$4*$E$6*$J8*'Input sheet'!$H$20))*$E$23*($D$23/12)</f>
        <v>-7057.3921866666587</v>
      </c>
      <c r="N8" s="72">
        <f>$D$6*N$4*$E$6*$J8-SUM($F$11:$F$12,$F$14:$F$18,$F$20,$F$22,$F$27,$F$29)-$E$13*$D$13*N$4-$F$19*N$4-($D$6*N$4*$E$6*$J8*('Input sheet'!$H$18+'Input sheet'!$H$19+'Input sheet'!$H$20))-(SUM($F$11:$F$12,$F$14:$F$18,$F$20,$F$22)+$F$19*N$4+$E$13*$D$13*N$4+($D$6*N$4*$E$6*$J8*'Input sheet'!$H$20))*$E$23*($D$23/12)</f>
        <v>-3059.0618366666658</v>
      </c>
      <c r="O8" s="71">
        <f>$D$6*O$4*$E$6*$J8-SUM($F$11:$F$12,$F$14:$F$18,$F$20,$F$22,$F$27,$F$29)-$E$13*$D$13*O$4-$F$19*O$4-($D$6*O$4*$E$6*$J8*('Input sheet'!$H$18+'Input sheet'!$H$19+'Input sheet'!$H$20))-(SUM($F$11:$F$12,$F$14:$F$18,$F$20,$F$22)+$F$19*O$4+$E$13*$D$13*O$4+($D$6*O$4*$E$6*$J8*'Input sheet'!$H$20))*$E$23*($D$23/12)</f>
        <v>939.26851333333525</v>
      </c>
    </row>
    <row r="9" spans="2:23" ht="15.95" customHeight="1">
      <c r="B9" s="40"/>
      <c r="C9" s="18"/>
      <c r="D9" s="38"/>
      <c r="E9" s="18"/>
      <c r="F9" s="18"/>
      <c r="G9" s="34"/>
      <c r="I9" s="305"/>
      <c r="J9" s="70">
        <v>0.85</v>
      </c>
      <c r="K9" s="53">
        <f>$D$6*K$4*$E$6*$J9-SUM($F$11:$F$12,$F$14:$F$18,$F$20,$F$22,$F$27,$F$29)-$E$13*$D$13*K$4-$F$19*K$4-($D$6*K$4*$E$6*$J9*('Input sheet'!$H$18+'Input sheet'!$H$19+'Input sheet'!$H$20))-(SUM($F$11:$F$12,$F$14:$F$18,$F$20,$F$22)+$F$19*K$4+$E$13*$D$13*K$4+($D$6*K$4*$E$6*$J9*'Input sheet'!$H$20))*$E$23*($D$23/12)</f>
        <v>-22602.058579166667</v>
      </c>
      <c r="L9" s="53">
        <f>$D$6*L$4*$E$6*$J9-SUM($F$11:$F$12,$F$14:$F$18,$F$20,$F$22,$F$27,$F$29)-$E$13*$D$13*L$4-$F$19*L$4-($D$6*L$4*$E$6*$J9*('Input sheet'!$H$18+'Input sheet'!$H$19+'Input sheet'!$H$20))-(SUM($F$11:$F$12,$F$14:$F$18,$F$20,$F$22)+$F$19*L$4+$E$13*$D$13*L$4+($D$6*L$4*$E$6*$J9*'Input sheet'!$H$20))*$E$23*($D$23/12)</f>
        <v>-19682.014756666671</v>
      </c>
      <c r="M9" s="53">
        <f>$D$6*M$4*$E$6*$J9-SUM($F$11:$F$12,$F$14:$F$18,$F$20,$F$22,$F$27,$F$29)-$E$13*$D$13*M$4-$F$19*M$4-($D$6*M$4*$E$6*$J9*('Input sheet'!$H$18+'Input sheet'!$H$19+'Input sheet'!$H$20))-(SUM($F$11:$F$12,$F$14:$F$18,$F$20,$F$22)+$F$19*M$4+$E$13*$D$13*M$4+($D$6*M$4*$E$6*$J9*'Input sheet'!$H$20))*$E$23*($D$23/12)</f>
        <v>-16761.970934166664</v>
      </c>
      <c r="N9" s="53">
        <f>$D$6*N$4*$E$6*$J9-SUM($F$11:$F$12,$F$14:$F$18,$F$20,$F$22,$F$27,$F$29)-$E$13*$D$13*N$4-$F$19*N$4-($D$6*N$4*$E$6*$J9*('Input sheet'!$H$18+'Input sheet'!$H$19+'Input sheet'!$H$20))-(SUM($F$11:$F$12,$F$14:$F$18,$F$20,$F$22)+$F$19*N$4+$E$13*$D$13*N$4+($D$6*N$4*$E$6*$J9*'Input sheet'!$H$20))*$E$23*($D$23/12)</f>
        <v>-13841.927111666673</v>
      </c>
      <c r="O9" s="71">
        <f>$D$6*O$4*$E$6*$J9-SUM($F$11:$F$12,$F$14:$F$18,$F$20,$F$22,$F$27,$F$29)-$E$13*$D$13*O$4-$F$19*O$4-($D$6*O$4*$E$6*$J9*('Input sheet'!$H$18+'Input sheet'!$H$19+'Input sheet'!$H$20))-(SUM($F$11:$F$12,$F$14:$F$18,$F$20,$F$22)+$F$19*O$4+$E$13*$D$13*O$4+($D$6*O$4*$E$6*$J9*'Input sheet'!$H$20))*$E$23*($D$23/12)</f>
        <v>-10921.883289166661</v>
      </c>
    </row>
    <row r="10" spans="2:23" ht="15.95" customHeight="1">
      <c r="B10" s="42" t="s">
        <v>23</v>
      </c>
      <c r="C10" s="27"/>
      <c r="D10" s="27"/>
      <c r="E10" s="21"/>
      <c r="F10" s="21"/>
      <c r="G10" s="41"/>
      <c r="H10" s="84"/>
      <c r="I10" s="305"/>
      <c r="J10" s="70">
        <v>0.7</v>
      </c>
      <c r="K10" s="53">
        <f>$D$6*K$4*$E$6*$J10-SUM($F$11:$F$12,$F$14:$F$18,$F$20,$F$22,$F$27,$F$29)-$E$13*$D$13*K$4-$F$19*K$4-($D$6*K$4*$E$6*$J10*('Input sheet'!$H$18+'Input sheet'!$H$19+'Input sheet'!$H$20))-(SUM($F$11:$F$12,$F$14:$F$18,$F$20,$F$22)+$F$19*K$4+$E$13*$D$13*K$4+($D$6*K$4*$E$6*$J10*'Input sheet'!$H$20))*$E$23*($D$23/12)</f>
        <v>-30150.06427166667</v>
      </c>
      <c r="L10" s="53">
        <f>$D$6*L$4*$E$6*$J10-SUM($F$11:$F$12,$F$14:$F$18,$F$20,$F$22,$F$27,$F$29)-$E$13*$D$13*L$4-$F$19*L$4-($D$6*L$4*$E$6*$J10*('Input sheet'!$H$18+'Input sheet'!$H$19+'Input sheet'!$H$20))-(SUM($F$11:$F$12,$F$14:$F$18,$F$20,$F$22)+$F$19*L$4+$E$13*$D$13*L$4+($D$6*L$4*$E$6*$J10*'Input sheet'!$H$20))*$E$23*($D$23/12)</f>
        <v>-28308.306976666667</v>
      </c>
      <c r="M10" s="53">
        <f>$D$6*M$4*$E$6*$J10-SUM($F$11:$F$12,$F$14:$F$18,$F$20,$F$22,$F$27,$F$29)-$E$13*$D$13*M$4-$F$19*M$4-($D$6*M$4*$E$6*$J10*('Input sheet'!$H$18+'Input sheet'!$H$19+'Input sheet'!$H$20))-(SUM($F$11:$F$12,$F$14:$F$18,$F$20,$F$22)+$F$19*M$4+$E$13*$D$13*M$4+($D$6*M$4*$E$6*$J10*'Input sheet'!$H$20))*$E$23*($D$23/12)</f>
        <v>-26466.549681666664</v>
      </c>
      <c r="N10" s="53">
        <f>$D$6*N$4*$E$6*$J10-SUM($F$11:$F$12,$F$14:$F$18,$F$20,$F$22,$F$27,$F$29)-$E$13*$D$13*N$4-$F$19*N$4-($D$6*N$4*$E$6*$J10*('Input sheet'!$H$18+'Input sheet'!$H$19+'Input sheet'!$H$20))-(SUM($F$11:$F$12,$F$14:$F$18,$F$20,$F$22)+$F$19*N$4+$E$13*$D$13*N$4+($D$6*N$4*$E$6*$J10*'Input sheet'!$H$20))*$E$23*($D$23/12)</f>
        <v>-24624.792386666668</v>
      </c>
      <c r="O10" s="71">
        <f>$D$6*O$4*$E$6*$J10-SUM($F$11:$F$12,$F$14:$F$18,$F$20,$F$22,$F$27,$F$29)-$E$13*$D$13*O$4-$F$19*O$4-($D$6*O$4*$E$6*$J10*('Input sheet'!$H$18+'Input sheet'!$H$19+'Input sheet'!$H$20))-(SUM($F$11:$F$12,$F$14:$F$18,$F$20,$F$22)+$F$19*O$4+$E$13*$D$13*O$4+($D$6*O$4*$E$6*$J10*'Input sheet'!$H$20))*$E$23*($D$23/12)</f>
        <v>-22783.035091666668</v>
      </c>
    </row>
    <row r="11" spans="2:23" ht="15.95" customHeight="1">
      <c r="B11" s="35" t="s">
        <v>203</v>
      </c>
      <c r="C11" s="30" t="s">
        <v>206</v>
      </c>
      <c r="D11" s="30">
        <f>ROUNDUP('Input sheet'!D7/'Input sheet'!D27*'Input sheet'!D6*'Input sheet'!D26*'Mobile poultry budget'!D19/'Input sheet'!D28,0)</f>
        <v>185</v>
      </c>
      <c r="E11" s="18">
        <f>'Input sheet'!I4</f>
        <v>17</v>
      </c>
      <c r="F11" s="85">
        <f>D11*E11</f>
        <v>3145</v>
      </c>
      <c r="G11" s="75">
        <f t="shared" ref="G11:G22" si="0">F11/HLOOKUP($F$2,$S$16:$V$22,7,FALSE)</f>
        <v>449.28571428571428</v>
      </c>
      <c r="I11" s="306"/>
      <c r="J11" s="69">
        <v>0.55000000000000004</v>
      </c>
      <c r="K11" s="73">
        <f>$D$6*K$4*$E$6*$J11-SUM($F$11:$F$12,$F$14:$F$18,$F$20,$F$22,$F$27,$F$29)-$E$13*$D$13*K$4-$F$19*K$4-($D$6*K$4*$E$6*$J11*('Input sheet'!$H$18+'Input sheet'!$H$19+'Input sheet'!$H$20))-(SUM($F$11:$F$12,$F$14:$F$18,$F$20,$F$22)+$F$19*K$4+$E$13*$D$13*K$4+($D$6*K$4*$E$6*$J11*'Input sheet'!$H$20))*$E$23*($D$23/12)</f>
        <v>-37698.069964166665</v>
      </c>
      <c r="L11" s="73">
        <f>$D$6*L$4*$E$6*$J11-SUM($F$11:$F$12,$F$14:$F$18,$F$20,$F$22,$F$27,$F$29)-$E$13*$D$13*L$4-$F$19*L$4-($D$6*L$4*$E$6*$J11*('Input sheet'!$H$18+'Input sheet'!$H$19+'Input sheet'!$H$20))-(SUM($F$11:$F$12,$F$14:$F$18,$F$20,$F$22)+$F$19*L$4+$E$13*$D$13*L$4+($D$6*L$4*$E$6*$J11*'Input sheet'!$H$20))*$E$23*($D$23/12)</f>
        <v>-36934.599196666662</v>
      </c>
      <c r="M11" s="73">
        <f>$D$6*M$4*$E$6*$J11-SUM($F$11:$F$12,$F$14:$F$18,$F$20,$F$22,$F$27,$F$29)-$E$13*$D$13*M$4-$F$19*M$4-($D$6*M$4*$E$6*$J11*('Input sheet'!$H$18+'Input sheet'!$H$19+'Input sheet'!$H$20))-(SUM($F$11:$F$12,$F$14:$F$18,$F$20,$F$22)+$F$19*M$4+$E$13*$D$13*M$4+($D$6*M$4*$E$6*$J11*'Input sheet'!$H$20))*$E$23*($D$23/12)</f>
        <v>-36171.12842916666</v>
      </c>
      <c r="N11" s="73">
        <f>$D$6*N$4*$E$6*$J11-SUM($F$11:$F$12,$F$14:$F$18,$F$20,$F$22,$F$27,$F$29)-$E$13*$D$13*N$4-$F$19*N$4-($D$6*N$4*$E$6*$J11*('Input sheet'!$H$18+'Input sheet'!$H$19+'Input sheet'!$H$20))-(SUM($F$11:$F$12,$F$14:$F$18,$F$20,$F$22)+$F$19*N$4+$E$13*$D$13*N$4+($D$6*N$4*$E$6*$J11*'Input sheet'!$H$20))*$E$23*($D$23/12)</f>
        <v>-35407.657661666657</v>
      </c>
      <c r="O11" s="74">
        <f>$D$6*O$4*$E$6*$J11-SUM($F$11:$F$12,$F$14:$F$18,$F$20,$F$22,$F$27,$F$29)-$E$13*$D$13*O$4-$F$19*O$4-($D$6*O$4*$E$6*$J11*('Input sheet'!$H$18+'Input sheet'!$H$19+'Input sheet'!$H$20))-(SUM($F$11:$F$12,$F$14:$F$18,$F$20,$F$22)+$F$19*O$4+$E$13*$D$13*O$4+($D$6*O$4*$E$6*$J11*'Input sheet'!$H$20))*$E$23*($D$23/12)</f>
        <v>-34644.186894166662</v>
      </c>
    </row>
    <row r="12" spans="2:23" ht="15.95" customHeight="1">
      <c r="B12" s="35" t="str">
        <f>IF(OR(F2=S16,F2=V16),"Bagged feed","Custom Feed Ration")</f>
        <v>Custom Feed Ration</v>
      </c>
      <c r="C12" s="18" t="str">
        <f>IF(OR(F2=S16,F2=V16),"50 lb bags","Tons")</f>
        <v>Tons</v>
      </c>
      <c r="D12" s="38">
        <f>IF(F2=S16,S17*S22*S33*S35/'Input sheet'!D28,IF(F2=T16,T17*T22*T33*T35/2000,IF(F2=U16,U17*U22*U33*U35/2000,V17*V22*V33*V35/'Input sheet'!D28)))</f>
        <v>31.85</v>
      </c>
      <c r="E12" s="43">
        <f>IF(F2=S16,'Input sheet'!I4,IF(F2=T16,'Input sheet'!I3,IF(F2=U16,'Input sheet'!J3,'Input sheet'!J4)))</f>
        <v>350</v>
      </c>
      <c r="F12" s="33">
        <f>D12*E12</f>
        <v>11147.5</v>
      </c>
      <c r="G12" s="75">
        <f t="shared" si="0"/>
        <v>1592.5</v>
      </c>
    </row>
    <row r="13" spans="2:23" ht="15.95" customHeight="1">
      <c r="B13" s="35" t="str">
        <f>HLOOKUP(F2,S16:V21,5,FALSE)&amp;" purchased"</f>
        <v>Chicks purchased</v>
      </c>
      <c r="C13" s="18" t="str">
        <f>HLOOKUP(F2,S16:V21,5,FALSE)</f>
        <v>Chicks</v>
      </c>
      <c r="D13" s="45">
        <f>HLOOKUP(F2,S16:V22,2,FALSE)*HLOOKUP(F2,S16:V22,7,FALSE)</f>
        <v>4900</v>
      </c>
      <c r="E13" s="44">
        <f>HLOOKUP(F2,S16:V24,W24, FALSE)</f>
        <v>3.1</v>
      </c>
      <c r="F13" s="33">
        <f>D13*E13</f>
        <v>15190</v>
      </c>
      <c r="G13" s="75">
        <f t="shared" si="0"/>
        <v>2170</v>
      </c>
    </row>
    <row r="14" spans="2:23" ht="15.95" customHeight="1">
      <c r="B14" s="35" t="s">
        <v>10</v>
      </c>
      <c r="C14" s="18" t="s">
        <v>14</v>
      </c>
      <c r="D14" s="31">
        <f>HLOOKUP(F2,S16:V24,3,FALSE)*HLOOKUP(F2,S16:V24,7,FALSE)*HLOOKUP(F2,S16:V25,10,FALSE)</f>
        <v>504</v>
      </c>
      <c r="E14" s="44">
        <f>'Input sheet'!H6</f>
        <v>19.5</v>
      </c>
      <c r="F14" s="33">
        <f t="shared" ref="F14" si="1">E14*D14</f>
        <v>9828</v>
      </c>
      <c r="G14" s="75">
        <f t="shared" si="0"/>
        <v>1404</v>
      </c>
    </row>
    <row r="15" spans="2:23" ht="15.95" customHeight="1">
      <c r="B15" s="35" t="s">
        <v>216</v>
      </c>
      <c r="C15" s="18"/>
      <c r="D15" s="31"/>
      <c r="E15" s="44"/>
      <c r="F15" s="33">
        <f>HLOOKUP(F2,$S$16:$V$32,W32,FALSE)*HLOOKUP(F2,S16:V32,W22,FALSE)*IF(OR(F2=S16,F2=T16),'Input sheet'!D6,'Input sheet'!D17)</f>
        <v>4655</v>
      </c>
      <c r="G15" s="75">
        <f t="shared" si="0"/>
        <v>665</v>
      </c>
      <c r="I15" s="16"/>
      <c r="J15" s="167"/>
      <c r="R15" s="17" t="s">
        <v>311</v>
      </c>
    </row>
    <row r="16" spans="2:23" ht="15.95" customHeight="1">
      <c r="B16" s="35" t="s">
        <v>24</v>
      </c>
      <c r="C16" s="18"/>
      <c r="D16" s="46"/>
      <c r="E16" s="44"/>
      <c r="F16" s="87">
        <f>HLOOKUP(F2,$S$16:$V$27,W27,FALSE)*D13</f>
        <v>0</v>
      </c>
      <c r="G16" s="75">
        <f t="shared" si="0"/>
        <v>0</v>
      </c>
      <c r="R16" s="156"/>
      <c r="S16" s="18" t="s">
        <v>40</v>
      </c>
      <c r="T16" s="17" t="s">
        <v>147</v>
      </c>
      <c r="U16" s="17" t="s">
        <v>297</v>
      </c>
      <c r="V16" s="17" t="s">
        <v>298</v>
      </c>
      <c r="W16" s="17">
        <v>1</v>
      </c>
    </row>
    <row r="17" spans="2:23" ht="15.95" customHeight="1">
      <c r="B17" s="48" t="s">
        <v>25</v>
      </c>
      <c r="C17" s="18"/>
      <c r="D17" s="46"/>
      <c r="E17" s="44"/>
      <c r="F17" s="47">
        <f>HLOOKUP(F2,$S$16:$V$27,4,FALSE)</f>
        <v>1500</v>
      </c>
      <c r="G17" s="75">
        <f t="shared" si="0"/>
        <v>214.28571428571428</v>
      </c>
      <c r="R17" s="17" t="s">
        <v>65</v>
      </c>
      <c r="S17" s="18">
        <f>'Facilities and equipment'!C2</f>
        <v>100</v>
      </c>
      <c r="T17" s="17">
        <f>'Facilities and equipment'!C13</f>
        <v>700</v>
      </c>
      <c r="U17" s="17">
        <f>'Facilities and equipment'!P13</f>
        <v>275</v>
      </c>
      <c r="V17" s="17">
        <f>'Facilities and equipment'!P2</f>
        <v>40</v>
      </c>
      <c r="W17" s="17">
        <v>2</v>
      </c>
    </row>
    <row r="18" spans="2:23" ht="15.95" customHeight="1">
      <c r="B18" s="35" t="s">
        <v>26</v>
      </c>
      <c r="C18" s="18"/>
      <c r="D18" s="46"/>
      <c r="E18" s="44"/>
      <c r="F18" s="47">
        <f>HLOOKUP(F2,S16:V31,W28,FALSE)</f>
        <v>2766.7579999999998</v>
      </c>
      <c r="G18" s="75">
        <f t="shared" si="0"/>
        <v>395.25114285714284</v>
      </c>
      <c r="R18" s="17" t="s">
        <v>10</v>
      </c>
      <c r="S18" s="18">
        <f>'Facilities and equipment'!F2</f>
        <v>3.5</v>
      </c>
      <c r="T18" s="17">
        <f>'Facilities and equipment'!F13</f>
        <v>8</v>
      </c>
      <c r="U18" s="17">
        <f>'Facilities and equipment'!S13</f>
        <v>8</v>
      </c>
      <c r="V18" s="17">
        <f>'Facilities and equipment'!S2</f>
        <v>3.5</v>
      </c>
      <c r="W18" s="17">
        <v>3</v>
      </c>
    </row>
    <row r="19" spans="2:23" ht="15.95" customHeight="1">
      <c r="B19" s="35" t="s">
        <v>98</v>
      </c>
      <c r="C19" s="18" t="s">
        <v>84</v>
      </c>
      <c r="D19" s="46">
        <f>D6/(HLOOKUP(F2,S16:V35,W33,FALSE)*HLOOKUP(F2,S16:V35,W34,FALSE))</f>
        <v>4655</v>
      </c>
      <c r="E19" s="44">
        <f>HLOOKUP(F2,S16:V26,W26,FALSE)</f>
        <v>4</v>
      </c>
      <c r="F19" s="47">
        <f>IF(F3=P35,IF(OR(F2=S16,F2=V16),'Processing budget'!M11,'Processing budget'!O11),'Mobile poultry budget'!D19*'Mobile poultry budget'!E19)</f>
        <v>16241</v>
      </c>
      <c r="G19" s="75">
        <f t="shared" si="0"/>
        <v>2320.1428571428573</v>
      </c>
      <c r="R19" s="17" t="s">
        <v>83</v>
      </c>
      <c r="S19" s="18">
        <f>'Input sheet'!I15</f>
        <v>500</v>
      </c>
      <c r="T19" s="168">
        <f>'Input sheet'!I16</f>
        <v>1500</v>
      </c>
      <c r="U19" s="168">
        <f>'Input sheet'!J16</f>
        <v>1500</v>
      </c>
      <c r="V19" s="168">
        <f>'Input sheet'!J15</f>
        <v>500</v>
      </c>
      <c r="W19" s="17">
        <v>4</v>
      </c>
    </row>
    <row r="20" spans="2:23" ht="15.95" customHeight="1">
      <c r="B20" s="35" t="s">
        <v>278</v>
      </c>
      <c r="C20" s="18" t="s">
        <v>280</v>
      </c>
      <c r="D20" s="123">
        <v>1000</v>
      </c>
      <c r="E20" s="44">
        <f>'Input sheet'!H8</f>
        <v>0.9</v>
      </c>
      <c r="F20" s="47">
        <f>D20*E20</f>
        <v>900</v>
      </c>
      <c r="G20" s="75">
        <f t="shared" si="0"/>
        <v>128.57142857142858</v>
      </c>
      <c r="S20" s="18" t="s">
        <v>89</v>
      </c>
      <c r="T20" s="17" t="s">
        <v>89</v>
      </c>
      <c r="U20" s="17" t="s">
        <v>90</v>
      </c>
      <c r="V20" s="17" t="s">
        <v>90</v>
      </c>
      <c r="W20" s="17">
        <v>5</v>
      </c>
    </row>
    <row r="21" spans="2:23" ht="15.95" customHeight="1">
      <c r="B21" s="35" t="s">
        <v>27</v>
      </c>
      <c r="C21" s="18" t="s">
        <v>38</v>
      </c>
      <c r="D21" s="46">
        <f>F8</f>
        <v>84721</v>
      </c>
      <c r="E21" s="49">
        <f>'Input sheet'!H20</f>
        <v>0.1</v>
      </c>
      <c r="F21" s="47">
        <f>E21*$F$6</f>
        <v>8472.1</v>
      </c>
      <c r="G21" s="75">
        <f t="shared" si="0"/>
        <v>1210.3</v>
      </c>
      <c r="R21" s="17" t="s">
        <v>8</v>
      </c>
      <c r="S21" s="169">
        <f>'Input sheet'!D13</f>
        <v>0.05</v>
      </c>
      <c r="T21" s="169">
        <f>'Input sheet'!D13</f>
        <v>0.05</v>
      </c>
      <c r="U21" s="170">
        <f>'Input sheet'!D23</f>
        <v>0.1</v>
      </c>
      <c r="V21" s="170">
        <f>'Input sheet'!D23</f>
        <v>0.1</v>
      </c>
      <c r="W21" s="17">
        <v>6</v>
      </c>
    </row>
    <row r="22" spans="2:23" ht="15.95" customHeight="1">
      <c r="B22" s="35" t="s">
        <v>229</v>
      </c>
      <c r="C22" s="18" t="s">
        <v>217</v>
      </c>
      <c r="D22" s="46"/>
      <c r="E22" s="49"/>
      <c r="F22" s="87">
        <v>100</v>
      </c>
      <c r="G22" s="75">
        <f t="shared" si="0"/>
        <v>14.285714285714286</v>
      </c>
      <c r="R22" s="17" t="s">
        <v>86</v>
      </c>
      <c r="S22" s="171">
        <f>'Input sheet'!D10</f>
        <v>7</v>
      </c>
      <c r="T22" s="17">
        <f>'Input sheet'!D10</f>
        <v>7</v>
      </c>
      <c r="U22" s="17">
        <f>'Input sheet'!D20</f>
        <v>1</v>
      </c>
      <c r="V22" s="17">
        <f>'Input sheet'!D20</f>
        <v>1</v>
      </c>
      <c r="W22" s="17">
        <v>7</v>
      </c>
    </row>
    <row r="23" spans="2:23" ht="15.95" customHeight="1">
      <c r="B23" s="35" t="s">
        <v>12</v>
      </c>
      <c r="C23" s="50" t="s">
        <v>28</v>
      </c>
      <c r="D23" s="51">
        <f>HLOOKUP(F2,S16:V26,10,FALSE)/4</f>
        <v>2.25</v>
      </c>
      <c r="E23" s="52">
        <f>'Input sheet'!H7</f>
        <v>0.08</v>
      </c>
      <c r="F23" s="78">
        <f>SUM(F11:F22)*E23*(D23/12)</f>
        <v>1109.18037</v>
      </c>
      <c r="G23" s="77">
        <f>F23/HLOOKUP($F$2,$S$16:$V$22,7,FALSE)</f>
        <v>158.45433857142856</v>
      </c>
      <c r="R23" s="17" t="s">
        <v>105</v>
      </c>
      <c r="S23" s="171">
        <f>'Input sheet'!D10*'Input sheet'!D5*7</f>
        <v>392</v>
      </c>
      <c r="T23" s="172">
        <f>S23</f>
        <v>392</v>
      </c>
      <c r="U23" s="17">
        <f>'Input sheet'!D16*'Input sheet'!D20*7</f>
        <v>168</v>
      </c>
      <c r="V23" s="17">
        <f>U23</f>
        <v>168</v>
      </c>
      <c r="W23" s="17">
        <v>8</v>
      </c>
    </row>
    <row r="24" spans="2:23" ht="15.95" customHeight="1">
      <c r="B24" s="37" t="s">
        <v>29</v>
      </c>
      <c r="C24" s="18"/>
      <c r="D24" s="38"/>
      <c r="F24" s="39">
        <f>SUM(F11:F23)</f>
        <v>75054.538370000009</v>
      </c>
      <c r="G24" s="76">
        <f>F24/HLOOKUP($F$2,$S$16:$V$22,7,FALSE)</f>
        <v>10722.076910000002</v>
      </c>
      <c r="R24" s="17" t="s">
        <v>96</v>
      </c>
      <c r="S24" s="33">
        <f>'Input sheet'!I11</f>
        <v>3.1</v>
      </c>
      <c r="T24" s="168">
        <f>'Input sheet'!I11</f>
        <v>3.1</v>
      </c>
      <c r="U24" s="168">
        <f>'Input sheet'!J11</f>
        <v>16</v>
      </c>
      <c r="V24" s="168">
        <f>U24</f>
        <v>16</v>
      </c>
      <c r="W24" s="17">
        <v>9</v>
      </c>
    </row>
    <row r="25" spans="2:23" ht="15.95" customHeight="1">
      <c r="B25" s="40"/>
      <c r="C25" s="18"/>
      <c r="D25" s="38"/>
      <c r="E25" s="18"/>
      <c r="F25" s="54"/>
      <c r="G25" s="55"/>
      <c r="R25" s="17" t="s">
        <v>97</v>
      </c>
      <c r="S25" s="18">
        <f>'Input sheet'!D5+('Input sheet'!D9/7)</f>
        <v>9</v>
      </c>
      <c r="T25" s="38">
        <f>S25</f>
        <v>9</v>
      </c>
      <c r="U25" s="38">
        <f>'Input sheet'!D16+'Input sheet'!D19/7</f>
        <v>25</v>
      </c>
      <c r="V25" s="38">
        <f>U25</f>
        <v>25</v>
      </c>
      <c r="W25" s="17">
        <v>10</v>
      </c>
    </row>
    <row r="26" spans="2:23" ht="15.95" customHeight="1">
      <c r="B26" s="42" t="s">
        <v>30</v>
      </c>
      <c r="C26" s="18"/>
      <c r="D26" s="38"/>
      <c r="E26" s="18"/>
      <c r="F26" s="21"/>
      <c r="G26" s="56"/>
      <c r="H26" s="53"/>
      <c r="R26" s="17" t="s">
        <v>299</v>
      </c>
      <c r="S26" s="18">
        <f>'Input sheet'!I13</f>
        <v>4</v>
      </c>
      <c r="T26" s="168">
        <f>'Input sheet'!I13</f>
        <v>4</v>
      </c>
      <c r="U26" s="168">
        <f>'Input sheet'!J13</f>
        <v>12.5</v>
      </c>
      <c r="V26" s="168">
        <f>U26</f>
        <v>12.5</v>
      </c>
      <c r="W26" s="17">
        <v>11</v>
      </c>
    </row>
    <row r="27" spans="2:23" ht="15.95" customHeight="1">
      <c r="B27" s="35" t="s">
        <v>75</v>
      </c>
      <c r="C27" s="18" t="s">
        <v>78</v>
      </c>
      <c r="D27" s="38">
        <f>ROUNDUP(HLOOKUP(F2,S16:V30,15,FALSE)*HLOOKUP(F2,S16:V30,W23,FALSE)/'Input sheet'!D29,0)</f>
        <v>9</v>
      </c>
      <c r="E27" s="57">
        <f>'Input sheet'!H10</f>
        <v>50</v>
      </c>
      <c r="F27" s="47">
        <f>D27*E27</f>
        <v>450</v>
      </c>
      <c r="G27" s="75">
        <f>F27/HLOOKUP($F$2,$S$16:$V$22,7,FALSE)</f>
        <v>64.285714285714292</v>
      </c>
      <c r="R27" s="17" t="s">
        <v>99</v>
      </c>
      <c r="S27" s="168">
        <f>'Input sheet'!I14</f>
        <v>0</v>
      </c>
      <c r="T27" s="168">
        <f>'Input sheet'!I14</f>
        <v>0</v>
      </c>
      <c r="U27" s="168">
        <f>'Input sheet'!J14</f>
        <v>0</v>
      </c>
      <c r="V27" s="168">
        <f>U27</f>
        <v>0</v>
      </c>
      <c r="W27" s="17">
        <v>12</v>
      </c>
    </row>
    <row r="28" spans="2:23" ht="15.95" customHeight="1">
      <c r="B28" s="35" t="s">
        <v>31</v>
      </c>
      <c r="C28" s="18"/>
      <c r="D28" s="46"/>
      <c r="E28" s="58"/>
      <c r="F28" s="47">
        <f>F8*('Input sheet'!H19+'Input sheet'!H18)</f>
        <v>4236.05</v>
      </c>
      <c r="G28" s="75">
        <f>F28/HLOOKUP($F$2,$S$16:$V$22,7,FALSE)</f>
        <v>605.15</v>
      </c>
      <c r="R28" s="17" t="s">
        <v>100</v>
      </c>
      <c r="S28" s="17">
        <f>'Facilities and equipment'!F9</f>
        <v>321.95500000000004</v>
      </c>
      <c r="T28" s="17">
        <f>'Facilities and equipment'!F24</f>
        <v>2766.7579999999998</v>
      </c>
      <c r="U28" s="17">
        <f>'Facilities and equipment'!S23</f>
        <v>2737.4</v>
      </c>
      <c r="V28" s="17">
        <f>'Facilities and equipment'!S9</f>
        <v>158.4</v>
      </c>
      <c r="W28" s="17">
        <v>13</v>
      </c>
    </row>
    <row r="29" spans="2:23" ht="15.95" customHeight="1">
      <c r="B29" s="35" t="s">
        <v>74</v>
      </c>
      <c r="C29" s="18"/>
      <c r="D29" s="46"/>
      <c r="E29" s="58"/>
      <c r="F29" s="79">
        <f>HLOOKUP(F2,S16:V30,W29,FALSE)+IF(F3=P35,IF(F2=S16,'Processing budget'!M10,'Processing budget'!O10),0)</f>
        <v>8039.4734666666664</v>
      </c>
      <c r="G29" s="77">
        <f>F29/HLOOKUP($F$2,$S$16:$V$22,7,FALSE)</f>
        <v>1148.4962095238095</v>
      </c>
      <c r="R29" s="17" t="s">
        <v>101</v>
      </c>
      <c r="S29" s="17">
        <f>'Facilities and equipment'!G9</f>
        <v>621.06250000000011</v>
      </c>
      <c r="T29" s="17">
        <f>'Facilities and equipment'!G24</f>
        <v>6921.7267999999995</v>
      </c>
      <c r="U29" s="17">
        <f>'Facilities and equipment'!T23</f>
        <v>6773.7733333333335</v>
      </c>
      <c r="V29" s="17">
        <f>'Facilities and equipment'!T9</f>
        <v>429.2</v>
      </c>
      <c r="W29" s="17">
        <v>14</v>
      </c>
    </row>
    <row r="30" spans="2:23" ht="15.95" customHeight="1">
      <c r="B30" s="37" t="s">
        <v>32</v>
      </c>
      <c r="C30" s="18"/>
      <c r="F30" s="39">
        <f>SUM(F27:F29)</f>
        <v>12725.523466666666</v>
      </c>
      <c r="G30" s="76">
        <f>F30/HLOOKUP($F$2,$S$16:$V$22,7,FALSE)</f>
        <v>1817.9319238095236</v>
      </c>
      <c r="R30" s="17" t="s">
        <v>102</v>
      </c>
      <c r="S30" s="168">
        <f>'Facilities and equipment'!C10</f>
        <v>120</v>
      </c>
      <c r="T30" s="168">
        <f>'Facilities and equipment'!C27</f>
        <v>960</v>
      </c>
      <c r="U30" s="168">
        <f>'Facilities and equipment'!P26</f>
        <v>960</v>
      </c>
      <c r="V30" s="168">
        <f>'Facilities and equipment'!P10</f>
        <v>120</v>
      </c>
      <c r="W30" s="17">
        <v>15</v>
      </c>
    </row>
    <row r="31" spans="2:23" ht="15.95" customHeight="1">
      <c r="B31" s="59"/>
      <c r="C31" s="18"/>
      <c r="F31" s="39"/>
      <c r="G31" s="34"/>
      <c r="R31" s="17" t="s">
        <v>106</v>
      </c>
      <c r="S31" s="168">
        <f>'Input sheet'!I12</f>
        <v>4</v>
      </c>
      <c r="T31" s="168">
        <f>S31</f>
        <v>4</v>
      </c>
      <c r="U31" s="168">
        <f>'Input sheet'!J12</f>
        <v>11.5</v>
      </c>
      <c r="V31" s="168">
        <f>U31</f>
        <v>11.5</v>
      </c>
      <c r="W31" s="17">
        <v>16</v>
      </c>
    </row>
    <row r="32" spans="2:23" ht="15.95" customHeight="1">
      <c r="B32" s="59" t="s">
        <v>33</v>
      </c>
      <c r="C32" s="18"/>
      <c r="F32" s="39">
        <f>F30+F24</f>
        <v>87780.061836666675</v>
      </c>
      <c r="G32" s="76">
        <f>F32/HLOOKUP($F$2,$S$16:$V$22,7,FALSE)</f>
        <v>12540.008833809525</v>
      </c>
      <c r="R32" s="17" t="s">
        <v>219</v>
      </c>
      <c r="S32" s="38">
        <f>'Brooder budget'!E25</f>
        <v>58.85</v>
      </c>
      <c r="T32" s="38">
        <f>'Brooder budget'!F25</f>
        <v>166.25</v>
      </c>
      <c r="U32" s="38">
        <f>'Brooder budget'!G25</f>
        <v>122.25</v>
      </c>
      <c r="V32" s="38">
        <f>'Brooder budget'!E25</f>
        <v>58.85</v>
      </c>
      <c r="W32" s="17">
        <v>17</v>
      </c>
    </row>
    <row r="33" spans="2:23" ht="15.95" customHeight="1">
      <c r="B33" s="60"/>
      <c r="C33" s="61"/>
      <c r="D33" s="62"/>
      <c r="E33" s="61"/>
      <c r="F33" s="61"/>
      <c r="G33" s="63"/>
      <c r="R33" s="17" t="s">
        <v>288</v>
      </c>
      <c r="S33" s="17">
        <f>'Input sheet'!D11</f>
        <v>6.5</v>
      </c>
      <c r="T33" s="17">
        <f>'Input sheet'!D11</f>
        <v>6.5</v>
      </c>
      <c r="U33" s="17">
        <f>'Input sheet'!D21</f>
        <v>20</v>
      </c>
      <c r="V33" s="17">
        <f>U33</f>
        <v>20</v>
      </c>
      <c r="W33" s="17">
        <v>18</v>
      </c>
    </row>
    <row r="34" spans="2:23" ht="15.95" customHeight="1">
      <c r="B34" s="64" t="s">
        <v>319</v>
      </c>
      <c r="E34" s="18"/>
      <c r="F34" s="39">
        <f>F8-F24</f>
        <v>9666.4616299999907</v>
      </c>
      <c r="G34" s="76">
        <f>F34/HLOOKUP($F$2,$S$16:$V$22,7,FALSE)</f>
        <v>1380.9230899999986</v>
      </c>
      <c r="R34" s="17" t="s">
        <v>286</v>
      </c>
      <c r="S34" s="17">
        <f>'Input sheet'!D12</f>
        <v>0.7</v>
      </c>
      <c r="T34" s="17">
        <f>'Input sheet'!D12</f>
        <v>0.7</v>
      </c>
      <c r="U34" s="17">
        <f>'Input sheet'!D22</f>
        <v>0.65</v>
      </c>
      <c r="V34" s="17">
        <f>U34</f>
        <v>0.65</v>
      </c>
      <c r="W34" s="17">
        <v>19</v>
      </c>
    </row>
    <row r="35" spans="2:23" ht="15.95" customHeight="1">
      <c r="B35" s="218" t="s">
        <v>320</v>
      </c>
      <c r="E35" s="18"/>
      <c r="F35" s="39">
        <f>F8-F32</f>
        <v>-3059.0618366666749</v>
      </c>
      <c r="G35" s="76">
        <f>F35/HLOOKUP($F$2,$S$16:$V$22,7,FALSE)</f>
        <v>-437.00883380952502</v>
      </c>
      <c r="P35" s="156" t="s">
        <v>276</v>
      </c>
      <c r="R35" s="17" t="s">
        <v>94</v>
      </c>
      <c r="S35" s="17">
        <f>'Input sheet'!D8</f>
        <v>2</v>
      </c>
      <c r="T35" s="17">
        <f>'Input sheet'!D8</f>
        <v>2</v>
      </c>
      <c r="U35" s="17">
        <f>'Input sheet'!D18</f>
        <v>2.7</v>
      </c>
      <c r="V35" s="17">
        <f>U35</f>
        <v>2.7</v>
      </c>
    </row>
    <row r="36" spans="2:23" ht="15.95" customHeight="1">
      <c r="B36" s="219" t="s">
        <v>321</v>
      </c>
      <c r="C36" s="215"/>
      <c r="D36" s="215"/>
      <c r="E36" s="215"/>
      <c r="F36" s="220">
        <f>F8-F32+F29+F14</f>
        <v>14808.411629999991</v>
      </c>
      <c r="G36" s="221">
        <f>G8-G32+G29+G14</f>
        <v>2115.487375714285</v>
      </c>
      <c r="I36" s="156"/>
      <c r="P36" s="156" t="s">
        <v>277</v>
      </c>
    </row>
    <row r="37" spans="2:23" ht="15.95" customHeight="1">
      <c r="B37" s="42" t="s">
        <v>364</v>
      </c>
      <c r="C37" s="214"/>
      <c r="D37" s="214"/>
      <c r="E37" s="21"/>
      <c r="F37" s="39">
        <f>(F32-F14-F29)/D6</f>
        <v>3.3008386761251645</v>
      </c>
      <c r="G37" s="76"/>
      <c r="I37" s="156" t="s">
        <v>228</v>
      </c>
    </row>
    <row r="38" spans="2:23" ht="15.75" thickBot="1">
      <c r="B38" s="212" t="s">
        <v>317</v>
      </c>
      <c r="C38" s="213"/>
      <c r="D38" s="213"/>
      <c r="E38" s="213"/>
      <c r="F38" s="216">
        <f>F32/D6</f>
        <v>4.1444299211136162</v>
      </c>
      <c r="G38" s="217"/>
      <c r="I38" s="156"/>
    </row>
    <row r="39" spans="2:23">
      <c r="H39" s="54"/>
      <c r="I39" s="156"/>
    </row>
    <row r="40" spans="2:23">
      <c r="I40" s="156"/>
      <c r="J40" s="18"/>
    </row>
    <row r="41" spans="2:23" hidden="1">
      <c r="I41" s="157"/>
      <c r="J41" s="18"/>
    </row>
    <row r="42" spans="2:23" hidden="1">
      <c r="I42" s="156"/>
      <c r="J42" s="39"/>
    </row>
    <row r="43" spans="2:23" ht="14.1" hidden="1" customHeight="1">
      <c r="I43" s="156"/>
      <c r="J43" s="54"/>
    </row>
    <row r="44" spans="2:23" ht="14.1" hidden="1" customHeight="1">
      <c r="I44" s="156"/>
      <c r="J44" s="54"/>
    </row>
    <row r="45" spans="2:23" ht="14.1" hidden="1" customHeight="1">
      <c r="H45" s="156"/>
      <c r="I45" s="18"/>
    </row>
    <row r="46" spans="2:23" ht="14.1" hidden="1" customHeight="1">
      <c r="I46" s="156"/>
      <c r="J46" s="18"/>
    </row>
    <row r="47" spans="2:23" ht="14.1" hidden="1" customHeight="1">
      <c r="J47" s="18"/>
    </row>
    <row r="48" spans="2:23" ht="14.1" hidden="1" customHeight="1">
      <c r="J48" s="18"/>
    </row>
    <row r="49" spans="9:10" ht="14.1" hidden="1" customHeight="1">
      <c r="J49" s="18"/>
    </row>
    <row r="50" spans="9:10" ht="12.75" hidden="1" customHeight="1">
      <c r="J50" s="39"/>
    </row>
    <row r="51" spans="9:10" hidden="1">
      <c r="J51" s="18"/>
    </row>
    <row r="52" spans="9:10" hidden="1">
      <c r="J52" s="18"/>
    </row>
    <row r="53" spans="9:10" hidden="1">
      <c r="J53" s="54"/>
    </row>
    <row r="54" spans="9:10" hidden="1">
      <c r="I54" s="54"/>
      <c r="J54" s="18"/>
    </row>
    <row r="55" spans="9:10" hidden="1">
      <c r="I55" s="156" t="s">
        <v>111</v>
      </c>
      <c r="J55" s="18"/>
    </row>
    <row r="56" spans="9:10" hidden="1">
      <c r="I56" s="157">
        <f>F29+F14+F27</f>
        <v>18317.473466666666</v>
      </c>
      <c r="J56" s="18"/>
    </row>
    <row r="57" spans="9:10" hidden="1">
      <c r="I57" s="156"/>
      <c r="J57" s="54"/>
    </row>
    <row r="58" spans="9:10" hidden="1">
      <c r="I58" s="156" t="s">
        <v>149</v>
      </c>
    </row>
    <row r="65" s="17" customFormat="1" hidden="1"/>
    <row r="66" s="17" customFormat="1" hidden="1"/>
    <row r="67" s="17" customFormat="1" hidden="1"/>
    <row r="68" s="17" customFormat="1" hidden="1"/>
    <row r="69" s="17" customFormat="1" hidden="1"/>
    <row r="70" s="17" customFormat="1" hidden="1"/>
    <row r="71" s="17" customFormat="1" hidden="1"/>
    <row r="72" s="17" customFormat="1" hidden="1"/>
    <row r="73" s="17" customFormat="1" hidden="1"/>
    <row r="74" s="17" customFormat="1" hidden="1"/>
  </sheetData>
  <sheetProtection sheet="1" objects="1" scenarios="1"/>
  <protectedRanges>
    <protectedRange sqref="F2:F3 F7 F16 D20 F22" name="Edit cells"/>
  </protectedRanges>
  <mergeCells count="4">
    <mergeCell ref="I5:I11"/>
    <mergeCell ref="K3:O3"/>
    <mergeCell ref="B1:G1"/>
    <mergeCell ref="B2:C2"/>
  </mergeCells>
  <conditionalFormatting sqref="C19:E19">
    <cfRule type="expression" dxfId="3" priority="5">
      <formula>$F$3=$P$35</formula>
    </cfRule>
  </conditionalFormatting>
  <conditionalFormatting sqref="K5:O7 K8:M8 O8 K9:O11">
    <cfRule type="cellIs" dxfId="2" priority="2" operator="lessThan">
      <formula>-$I$56</formula>
    </cfRule>
    <cfRule type="cellIs" dxfId="1" priority="3" operator="between">
      <formula>0</formula>
      <formula>-$I$56</formula>
    </cfRule>
    <cfRule type="cellIs" dxfId="0" priority="4" operator="greaterThan">
      <formula>0</formula>
    </cfRule>
  </conditionalFormatting>
  <dataValidations count="2">
    <dataValidation type="list" allowBlank="1" showInputMessage="1" showErrorMessage="1" sqref="F3" xr:uid="{66ACB7C8-3A57-4F36-BDC4-8B2DE12663D0}">
      <formula1>$P$35:$P$36</formula1>
    </dataValidation>
    <dataValidation type="list" allowBlank="1" showInputMessage="1" showErrorMessage="1" sqref="F2" xr:uid="{76678FE3-8AFC-4FA4-9A83-2ECAFC9415AB}">
      <formula1>$S$16:$V$16</formula1>
    </dataValidation>
  </dataValidations>
  <pageMargins left="0.7" right="0.7" top="0.75" bottom="0.75" header="0.3" footer="0.3"/>
  <pageSetup scale="8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4E4EB-F98B-4949-AB49-92E6E781BFF0}">
  <dimension ref="A1:P31"/>
  <sheetViews>
    <sheetView showGridLines="0" workbookViewId="0"/>
  </sheetViews>
  <sheetFormatPr defaultColWidth="0" defaultRowHeight="15" zeroHeight="1"/>
  <cols>
    <col min="1" max="1" width="3.125" style="1" customWidth="1"/>
    <col min="2" max="2" width="46.625" style="1" bestFit="1" customWidth="1"/>
    <col min="3" max="3" width="10.25" style="1" bestFit="1" customWidth="1"/>
    <col min="4" max="4" width="8.75" style="1" customWidth="1"/>
    <col min="5" max="5" width="8.75" style="1" bestFit="1" customWidth="1"/>
    <col min="6" max="6" width="11.375" style="1" customWidth="1"/>
    <col min="7" max="7" width="11.125" style="1" customWidth="1"/>
    <col min="8" max="8" width="10.875" style="1" customWidth="1"/>
    <col min="9" max="9" width="3.125" style="1" customWidth="1"/>
    <col min="10" max="10" width="14" style="1" bestFit="1" customWidth="1"/>
    <col min="11" max="12" width="9" style="1" customWidth="1"/>
    <col min="13" max="13" width="17.75" style="1" bestFit="1" customWidth="1"/>
    <col min="14" max="14" width="9" style="1" customWidth="1"/>
    <col min="15" max="15" width="17.5" style="1" bestFit="1" customWidth="1"/>
    <col min="16" max="16" width="3.125" style="1" customWidth="1"/>
    <col min="17" max="16384" width="9" style="1" hidden="1"/>
  </cols>
  <sheetData>
    <row r="1" spans="2:15" ht="19.5" thickBot="1">
      <c r="B1" s="174" t="s">
        <v>258</v>
      </c>
      <c r="C1" s="90"/>
      <c r="D1" s="90"/>
      <c r="E1" s="90"/>
      <c r="F1" s="90"/>
      <c r="G1" s="90"/>
      <c r="H1" s="90"/>
      <c r="J1" s="175" t="s">
        <v>262</v>
      </c>
      <c r="K1" s="114"/>
      <c r="L1" s="114"/>
      <c r="M1" s="114"/>
      <c r="N1" s="114"/>
      <c r="O1" s="115"/>
    </row>
    <row r="2" spans="2:15" ht="47.25">
      <c r="B2" s="206" t="s">
        <v>259</v>
      </c>
      <c r="C2" s="92">
        <v>100</v>
      </c>
      <c r="D2" s="93" t="s">
        <v>312</v>
      </c>
      <c r="E2" s="109"/>
      <c r="F2" s="125" t="s">
        <v>71</v>
      </c>
      <c r="G2" s="92">
        <v>16</v>
      </c>
      <c r="H2" s="124" t="s">
        <v>313</v>
      </c>
      <c r="J2" s="116"/>
      <c r="L2" s="314" t="s">
        <v>263</v>
      </c>
      <c r="M2" s="315"/>
      <c r="N2" s="314" t="s">
        <v>264</v>
      </c>
      <c r="O2" s="316"/>
    </row>
    <row r="3" spans="2:15" ht="30" customHeight="1">
      <c r="B3" s="198" t="s">
        <v>43</v>
      </c>
      <c r="C3" s="199" t="s">
        <v>44</v>
      </c>
      <c r="D3" s="199" t="s">
        <v>19</v>
      </c>
      <c r="E3" s="199" t="s">
        <v>45</v>
      </c>
      <c r="F3" s="199" t="s">
        <v>46</v>
      </c>
      <c r="G3" s="199" t="s">
        <v>48</v>
      </c>
      <c r="H3" s="200" t="s">
        <v>47</v>
      </c>
      <c r="J3" s="201" t="s">
        <v>23</v>
      </c>
      <c r="K3" s="202" t="s">
        <v>3</v>
      </c>
      <c r="L3" s="203" t="s">
        <v>19</v>
      </c>
      <c r="M3" s="204" t="s">
        <v>268</v>
      </c>
      <c r="N3" s="203" t="s">
        <v>19</v>
      </c>
      <c r="O3" s="205" t="s">
        <v>268</v>
      </c>
    </row>
    <row r="4" spans="2:15" ht="15.75">
      <c r="B4" s="1" t="s">
        <v>248</v>
      </c>
      <c r="C4" s="15">
        <v>35</v>
      </c>
      <c r="D4" s="107">
        <v>5</v>
      </c>
      <c r="E4" s="10">
        <v>15</v>
      </c>
      <c r="F4" s="14">
        <v>0.25</v>
      </c>
      <c r="G4" s="14">
        <v>0.03</v>
      </c>
      <c r="H4" s="97">
        <f>(C4-(C4*F4))/E4+C4/2*'Input sheet'!$H$7+'Input sheet'!$H$19*C4</f>
        <v>3.8500000000000005</v>
      </c>
      <c r="J4" s="116" t="s">
        <v>260</v>
      </c>
      <c r="K4" s="1" t="s">
        <v>266</v>
      </c>
      <c r="L4" s="160">
        <v>300</v>
      </c>
      <c r="M4" s="163">
        <f>L4*'Input sheet'!H9</f>
        <v>45</v>
      </c>
      <c r="N4" s="160">
        <v>1500</v>
      </c>
      <c r="O4" s="165">
        <f>N4*'Input sheet'!H9</f>
        <v>225</v>
      </c>
    </row>
    <row r="5" spans="2:15" ht="15.75">
      <c r="B5" s="1" t="s">
        <v>249</v>
      </c>
      <c r="C5" s="15">
        <v>375</v>
      </c>
      <c r="D5" s="107">
        <v>2</v>
      </c>
      <c r="E5" s="10">
        <v>15</v>
      </c>
      <c r="F5" s="14">
        <v>0.25</v>
      </c>
      <c r="G5" s="14">
        <v>0.03</v>
      </c>
      <c r="H5" s="97">
        <f>(C5-(C5*F5))/E5+C5/2*'Input sheet'!$H$7+'Input sheet'!$H$19*C5</f>
        <v>41.25</v>
      </c>
      <c r="J5" s="116" t="s">
        <v>284</v>
      </c>
      <c r="K5" s="1" t="s">
        <v>285</v>
      </c>
      <c r="L5" s="160">
        <v>600</v>
      </c>
      <c r="M5" s="163">
        <f>IF(C8=0,L5*M20,0)</f>
        <v>150</v>
      </c>
      <c r="N5" s="110"/>
      <c r="O5" s="165"/>
    </row>
    <row r="6" spans="2:15" ht="15.75">
      <c r="B6" s="1" t="s">
        <v>256</v>
      </c>
      <c r="C6" s="15">
        <v>500</v>
      </c>
      <c r="D6" s="107">
        <v>2</v>
      </c>
      <c r="E6" s="10">
        <v>15</v>
      </c>
      <c r="F6" s="14">
        <v>0.1</v>
      </c>
      <c r="G6" s="14">
        <v>0.05</v>
      </c>
      <c r="H6" s="97">
        <f>(C6-(C6*F6))/E6+C6/2*'Input sheet'!$H$7+'Input sheet'!$H$19*C6</f>
        <v>60</v>
      </c>
      <c r="J6" s="116" t="s">
        <v>261</v>
      </c>
      <c r="K6" s="3" t="s">
        <v>267</v>
      </c>
      <c r="L6" s="110">
        <f>C2*'Input sheet'!D10</f>
        <v>700</v>
      </c>
      <c r="M6" s="163">
        <f>L6*M18</f>
        <v>70</v>
      </c>
      <c r="N6" s="110">
        <f>C15*2*'Input sheet'!D10</f>
        <v>9800</v>
      </c>
      <c r="O6" s="165">
        <f>N6*M18</f>
        <v>980</v>
      </c>
    </row>
    <row r="7" spans="2:15" ht="15.75">
      <c r="B7" s="1" t="s">
        <v>251</v>
      </c>
      <c r="C7" s="15">
        <v>425</v>
      </c>
      <c r="D7" s="107">
        <v>2</v>
      </c>
      <c r="E7" s="10">
        <v>15</v>
      </c>
      <c r="F7" s="14">
        <v>0.1</v>
      </c>
      <c r="G7" s="14">
        <v>0.02</v>
      </c>
      <c r="H7" s="97">
        <f>(C7-(C7*F7))/E7+C7/2*'Input sheet'!$H$7+'Input sheet'!$H$19*C7</f>
        <v>51</v>
      </c>
      <c r="J7" s="116" t="s">
        <v>273</v>
      </c>
      <c r="K7" s="1" t="s">
        <v>267</v>
      </c>
      <c r="L7" s="110">
        <f>C2*'Input sheet'!D10</f>
        <v>700</v>
      </c>
      <c r="M7" s="163">
        <f>L7*M19</f>
        <v>294</v>
      </c>
      <c r="N7" s="110">
        <f>C15*2*'Input sheet'!D10</f>
        <v>9800</v>
      </c>
      <c r="O7" s="165">
        <f>N7*M19</f>
        <v>4116</v>
      </c>
    </row>
    <row r="8" spans="2:15" ht="15.75">
      <c r="B8" s="1" t="s">
        <v>252</v>
      </c>
      <c r="C8" s="15">
        <v>0</v>
      </c>
      <c r="D8" s="107">
        <v>1</v>
      </c>
      <c r="E8" s="10">
        <v>15</v>
      </c>
      <c r="F8" s="14">
        <v>0.25</v>
      </c>
      <c r="G8" s="14">
        <v>0.05</v>
      </c>
      <c r="H8" s="97">
        <f>(C8-(C8*F8))/E8+C8/2*'Input sheet'!$H$7+'Input sheet'!$H$19*C8</f>
        <v>0</v>
      </c>
      <c r="J8" s="116" t="s">
        <v>10</v>
      </c>
      <c r="K8" s="1" t="s">
        <v>14</v>
      </c>
      <c r="L8" s="112">
        <f>G2*'Input sheet'!D10</f>
        <v>112</v>
      </c>
      <c r="M8" s="163">
        <f>L8*'Input sheet'!H6</f>
        <v>2184</v>
      </c>
      <c r="N8" s="110">
        <f>G15*2*'Input sheet'!D10</f>
        <v>560</v>
      </c>
      <c r="O8" s="165">
        <f>N8*'Input sheet'!H6</f>
        <v>10920</v>
      </c>
    </row>
    <row r="9" spans="2:15" ht="15.75">
      <c r="B9" s="1" t="s">
        <v>253</v>
      </c>
      <c r="C9" s="15">
        <v>180</v>
      </c>
      <c r="D9" s="107">
        <v>1</v>
      </c>
      <c r="E9" s="10">
        <v>15</v>
      </c>
      <c r="F9" s="14">
        <v>0.25</v>
      </c>
      <c r="G9" s="14">
        <v>0.02</v>
      </c>
      <c r="H9" s="97">
        <f>(C9-(C9*F9))/E9+C9/2*'Input sheet'!$H$7+'Input sheet'!$H$19*C9</f>
        <v>19.8</v>
      </c>
      <c r="J9" s="117" t="s">
        <v>275</v>
      </c>
      <c r="K9" s="111"/>
      <c r="L9" s="109"/>
      <c r="M9" s="122">
        <f>G12</f>
        <v>103.9</v>
      </c>
      <c r="N9" s="109"/>
      <c r="O9" s="121">
        <f>G24</f>
        <v>334.05</v>
      </c>
    </row>
    <row r="10" spans="2:15" ht="15.75">
      <c r="B10" s="1" t="s">
        <v>254</v>
      </c>
      <c r="C10" s="15">
        <v>75</v>
      </c>
      <c r="D10" s="107">
        <v>1</v>
      </c>
      <c r="E10" s="10">
        <v>25</v>
      </c>
      <c r="F10" s="14">
        <v>0.25</v>
      </c>
      <c r="G10" s="14">
        <v>0.01</v>
      </c>
      <c r="H10" s="97">
        <f>(C10-(C10*F10))/E10+C10/2*'Input sheet'!$H$7+'Input sheet'!$H$19*C10</f>
        <v>6.75</v>
      </c>
      <c r="J10" s="117" t="s">
        <v>30</v>
      </c>
      <c r="K10" s="111"/>
      <c r="L10" s="109"/>
      <c r="M10" s="122">
        <f>H12</f>
        <v>311.64999999999998</v>
      </c>
      <c r="N10" s="109"/>
      <c r="O10" s="121">
        <f>H24</f>
        <v>1117.7466666666667</v>
      </c>
    </row>
    <row r="11" spans="2:15" ht="16.5" thickBot="1">
      <c r="B11" s="109" t="s">
        <v>255</v>
      </c>
      <c r="C11" s="13">
        <v>1075</v>
      </c>
      <c r="D11" s="108">
        <v>1</v>
      </c>
      <c r="E11" s="11">
        <v>15</v>
      </c>
      <c r="F11" s="9">
        <v>0.1</v>
      </c>
      <c r="G11" s="9">
        <v>0.05</v>
      </c>
      <c r="H11" s="100">
        <f>(C11-(C11*F11))/E11+C11/2*'Input sheet'!$H$7+'Input sheet'!$H$19*C11</f>
        <v>129</v>
      </c>
      <c r="J11" s="119" t="s">
        <v>37</v>
      </c>
      <c r="K11" s="120"/>
      <c r="L11" s="120"/>
      <c r="M11" s="164">
        <f>SUM(M4:M9)</f>
        <v>2846.9</v>
      </c>
      <c r="N11" s="120"/>
      <c r="O11" s="166">
        <f>SUM(O4:O8)</f>
        <v>16241</v>
      </c>
    </row>
    <row r="12" spans="2:15" ht="16.5" thickBot="1">
      <c r="B12" s="207" t="s">
        <v>37</v>
      </c>
      <c r="C12" s="208">
        <f>SUM(C4:C11)</f>
        <v>2665</v>
      </c>
      <c r="D12" s="208"/>
      <c r="E12" s="131"/>
      <c r="F12" s="209"/>
      <c r="G12" s="210">
        <f>SUMPRODUCT(C4:C11,G4:G11)</f>
        <v>103.9</v>
      </c>
      <c r="H12" s="211">
        <f>SUM(H4:H11)</f>
        <v>311.64999999999998</v>
      </c>
    </row>
    <row r="13" spans="2:15">
      <c r="M13" s="113"/>
    </row>
    <row r="14" spans="2:15" ht="19.5" thickBot="1">
      <c r="B14" s="174" t="s">
        <v>257</v>
      </c>
      <c r="C14" s="90"/>
      <c r="D14" s="90"/>
      <c r="E14" s="90"/>
      <c r="F14" s="90"/>
      <c r="G14" s="90"/>
      <c r="H14" s="90"/>
    </row>
    <row r="15" spans="2:15" ht="30.75" customHeight="1">
      <c r="B15" s="206" t="s">
        <v>241</v>
      </c>
      <c r="C15" s="92">
        <v>700</v>
      </c>
      <c r="D15" s="93" t="s">
        <v>312</v>
      </c>
      <c r="E15" s="109"/>
      <c r="F15" s="125" t="s">
        <v>71</v>
      </c>
      <c r="G15" s="92">
        <v>40</v>
      </c>
      <c r="H15" s="124" t="s">
        <v>313</v>
      </c>
    </row>
    <row r="16" spans="2:15" ht="32.25" customHeight="1">
      <c r="B16" s="198" t="s">
        <v>43</v>
      </c>
      <c r="C16" s="5" t="s">
        <v>44</v>
      </c>
      <c r="D16" s="5" t="s">
        <v>19</v>
      </c>
      <c r="E16" s="5" t="s">
        <v>45</v>
      </c>
      <c r="F16" s="199" t="s">
        <v>46</v>
      </c>
      <c r="G16" s="199" t="s">
        <v>48</v>
      </c>
      <c r="H16" s="200" t="s">
        <v>47</v>
      </c>
    </row>
    <row r="17" spans="2:13" ht="15.75">
      <c r="B17" s="295" t="s">
        <v>250</v>
      </c>
      <c r="C17" s="15">
        <v>5500</v>
      </c>
      <c r="D17" s="107">
        <v>1</v>
      </c>
      <c r="E17" s="10">
        <v>15</v>
      </c>
      <c r="F17" s="14">
        <v>0.15</v>
      </c>
      <c r="G17" s="14">
        <v>0.03</v>
      </c>
      <c r="H17" s="97">
        <f>(C17-(C17*F17))/E17+C17/2*'Input sheet'!$H$7+'Input sheet'!$H$19*C17</f>
        <v>641.66666666666674</v>
      </c>
      <c r="J17" s="161"/>
      <c r="K17" s="161" t="s">
        <v>265</v>
      </c>
      <c r="L17" s="161" t="s">
        <v>271</v>
      </c>
      <c r="M17" s="161" t="s">
        <v>272</v>
      </c>
    </row>
    <row r="18" spans="2:13" ht="15.75">
      <c r="B18" s="116" t="s">
        <v>242</v>
      </c>
      <c r="C18" s="15">
        <v>450</v>
      </c>
      <c r="D18" s="107">
        <v>1</v>
      </c>
      <c r="E18" s="10">
        <v>15</v>
      </c>
      <c r="F18" s="14">
        <v>0.25</v>
      </c>
      <c r="G18" s="14">
        <v>0.02</v>
      </c>
      <c r="H18" s="97">
        <f>(C18-(C18*F18))/E18+C18/2*'Input sheet'!$H$7+'Input sheet'!$H$19*C18</f>
        <v>49.5</v>
      </c>
      <c r="J18" s="161" t="s">
        <v>261</v>
      </c>
      <c r="K18" s="161">
        <v>100</v>
      </c>
      <c r="L18" s="161">
        <v>1000</v>
      </c>
      <c r="M18" s="162">
        <f>K18/L18</f>
        <v>0.1</v>
      </c>
    </row>
    <row r="19" spans="2:13" ht="15.75">
      <c r="B19" s="116" t="s">
        <v>243</v>
      </c>
      <c r="C19" s="15">
        <v>425</v>
      </c>
      <c r="D19" s="107">
        <v>1</v>
      </c>
      <c r="E19" s="10">
        <v>15</v>
      </c>
      <c r="F19" s="14">
        <v>0.25</v>
      </c>
      <c r="G19" s="14">
        <v>0.02</v>
      </c>
      <c r="H19" s="97">
        <f>(C19-(C19*F19))/E19+C19/2*'Input sheet'!$H$7+'Input sheet'!$H$19*C19</f>
        <v>46.75</v>
      </c>
      <c r="J19" s="161" t="s">
        <v>273</v>
      </c>
      <c r="K19" s="161">
        <v>420</v>
      </c>
      <c r="L19" s="161">
        <v>1000</v>
      </c>
      <c r="M19" s="162">
        <f>K19/L19</f>
        <v>0.42</v>
      </c>
    </row>
    <row r="20" spans="2:13" ht="15.75">
      <c r="B20" s="116" t="s">
        <v>244</v>
      </c>
      <c r="C20" s="15">
        <v>1725</v>
      </c>
      <c r="D20" s="107">
        <v>1</v>
      </c>
      <c r="E20" s="10">
        <v>15</v>
      </c>
      <c r="F20" s="14">
        <v>0.1</v>
      </c>
      <c r="G20" s="14">
        <v>0.05</v>
      </c>
      <c r="H20" s="97">
        <f>(C20-(C20*F20))/E20+C20/2*'Input sheet'!$H$7+'Input sheet'!$H$19*C20</f>
        <v>207</v>
      </c>
      <c r="J20" s="161" t="s">
        <v>284</v>
      </c>
      <c r="K20" s="161">
        <v>5</v>
      </c>
      <c r="L20" s="161">
        <v>20</v>
      </c>
      <c r="M20" s="161">
        <f>K20/L20</f>
        <v>0.25</v>
      </c>
    </row>
    <row r="21" spans="2:13" ht="15.75">
      <c r="B21" s="116" t="s">
        <v>245</v>
      </c>
      <c r="C21" s="15">
        <v>180</v>
      </c>
      <c r="D21" s="107">
        <v>1</v>
      </c>
      <c r="E21" s="10">
        <v>15</v>
      </c>
      <c r="F21" s="14">
        <v>0.25</v>
      </c>
      <c r="G21" s="14">
        <v>0.02</v>
      </c>
      <c r="H21" s="97">
        <f>(C21-(C21*F21))/E21+C21/2*'Input sheet'!$H$7+'Input sheet'!$H$19*C21</f>
        <v>19.8</v>
      </c>
    </row>
    <row r="22" spans="2:13" ht="15.75">
      <c r="B22" s="116" t="s">
        <v>246</v>
      </c>
      <c r="C22" s="15">
        <v>75</v>
      </c>
      <c r="D22" s="107">
        <v>2</v>
      </c>
      <c r="E22" s="10">
        <v>25</v>
      </c>
      <c r="F22" s="14">
        <v>0.25</v>
      </c>
      <c r="G22" s="14">
        <v>0.01</v>
      </c>
      <c r="H22" s="97">
        <f>(C22-(C22*F22))/E22+C22/2*'Input sheet'!$H$7+'Input sheet'!$H$19*C22</f>
        <v>6.75</v>
      </c>
    </row>
    <row r="23" spans="2:13" ht="15.75">
      <c r="B23" s="99" t="s">
        <v>247</v>
      </c>
      <c r="C23" s="13">
        <v>1219</v>
      </c>
      <c r="D23" s="108">
        <v>5</v>
      </c>
      <c r="E23" s="11">
        <v>15</v>
      </c>
      <c r="F23" s="9">
        <v>0.1</v>
      </c>
      <c r="G23" s="9">
        <v>0.05</v>
      </c>
      <c r="H23" s="100">
        <f>(C23-(C23*F23))/E23+C23/2*'Input sheet'!$H$7+'Input sheet'!$H$19*C23</f>
        <v>146.28</v>
      </c>
    </row>
    <row r="24" spans="2:13" ht="16.5" thickBot="1">
      <c r="B24" s="207" t="s">
        <v>37</v>
      </c>
      <c r="C24" s="208">
        <f>SUM(C17:C23)</f>
        <v>9574</v>
      </c>
      <c r="D24" s="208"/>
      <c r="E24" s="131"/>
      <c r="F24" s="209"/>
      <c r="G24" s="210">
        <f>SUMPRODUCT(C17:C23,G17:G23)</f>
        <v>334.05</v>
      </c>
      <c r="H24" s="211">
        <f>SUM(H17:H23)</f>
        <v>1117.7466666666667</v>
      </c>
    </row>
    <row r="25" spans="2:13"/>
    <row r="31" spans="2:13" hidden="1">
      <c r="L31" s="1" t="s">
        <v>300</v>
      </c>
    </row>
  </sheetData>
  <sheetProtection sheet="1" objects="1" scenarios="1"/>
  <protectedRanges>
    <protectedRange sqref="C2 G2 C4:G11 L4:L5 N4 C15 G15 C17:G23" name="Edit cells"/>
  </protectedRanges>
  <mergeCells count="2">
    <mergeCell ref="L2:M2"/>
    <mergeCell ref="N2:O2"/>
  </mergeCells>
  <pageMargins left="0.7" right="0.7" top="0.75" bottom="0.75" header="0.3" footer="0.3"/>
  <pageSetup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2C886-3FC0-477A-A3AA-133C2554FD36}">
  <dimension ref="A1:V30"/>
  <sheetViews>
    <sheetView showGridLines="0" workbookViewId="0"/>
  </sheetViews>
  <sheetFormatPr defaultColWidth="0" defaultRowHeight="15" zeroHeight="1"/>
  <cols>
    <col min="1" max="1" width="3.125" style="161" customWidth="1"/>
    <col min="2" max="2" width="16.625" style="1" bestFit="1" customWidth="1"/>
    <col min="3" max="3" width="13.5" style="1" bestFit="1" customWidth="1"/>
    <col min="4" max="4" width="11.875" style="1" bestFit="1" customWidth="1"/>
    <col min="5" max="5" width="12" style="1" bestFit="1" customWidth="1"/>
    <col min="6" max="6" width="8.75" style="1" bestFit="1" customWidth="1"/>
    <col min="7" max="8" width="9.875" style="1" bestFit="1" customWidth="1"/>
    <col min="9" max="9" width="3.125" style="1" customWidth="1"/>
    <col min="10" max="10" width="17" style="161" hidden="1" customWidth="1"/>
    <col min="11" max="12" width="9" style="161" hidden="1" customWidth="1"/>
    <col min="13" max="13" width="11.75" style="161" hidden="1" customWidth="1"/>
    <col min="14" max="16" width="9.125" style="161" hidden="1" customWidth="1"/>
    <col min="17" max="17" width="9.25" style="161" hidden="1" customWidth="1"/>
    <col min="18" max="18" width="9.125" style="161" hidden="1" customWidth="1"/>
    <col min="19" max="22" width="0" style="161" hidden="1" customWidth="1"/>
    <col min="23" max="16384" width="9" style="161" hidden="1"/>
  </cols>
  <sheetData>
    <row r="1" spans="2:22" ht="15.75" thickBot="1"/>
    <row r="2" spans="2:22" ht="18.75">
      <c r="B2" s="175" t="s">
        <v>198</v>
      </c>
      <c r="C2" s="176"/>
      <c r="D2" s="176"/>
      <c r="E2" s="176"/>
      <c r="F2" s="176"/>
      <c r="G2" s="176"/>
      <c r="H2" s="177"/>
    </row>
    <row r="3" spans="2:22">
      <c r="B3" s="117"/>
      <c r="C3" s="109" t="s">
        <v>155</v>
      </c>
      <c r="D3" s="109" t="s">
        <v>156</v>
      </c>
      <c r="E3" s="109" t="s">
        <v>20</v>
      </c>
      <c r="F3" s="109" t="s">
        <v>194</v>
      </c>
      <c r="G3" s="109" t="s">
        <v>152</v>
      </c>
      <c r="H3" s="118" t="s">
        <v>296</v>
      </c>
    </row>
    <row r="4" spans="2:22" ht="30">
      <c r="B4" s="178" t="s">
        <v>201</v>
      </c>
      <c r="E4" s="179"/>
      <c r="F4" s="180"/>
      <c r="G4" s="180">
        <v>13000</v>
      </c>
      <c r="H4" s="181">
        <v>13000</v>
      </c>
      <c r="L4" s="182" t="s">
        <v>151</v>
      </c>
      <c r="V4" s="182" t="s">
        <v>162</v>
      </c>
    </row>
    <row r="5" spans="2:22">
      <c r="B5" s="116" t="s">
        <v>191</v>
      </c>
      <c r="C5" s="1" t="s">
        <v>192</v>
      </c>
      <c r="E5" s="179">
        <f>'Input sheet'!H6</f>
        <v>19.5</v>
      </c>
      <c r="F5" s="183">
        <v>3</v>
      </c>
      <c r="G5" s="183">
        <v>45</v>
      </c>
      <c r="H5" s="184">
        <v>45</v>
      </c>
      <c r="L5" s="182" t="s">
        <v>161</v>
      </c>
    </row>
    <row r="6" spans="2:22">
      <c r="B6" s="116" t="s">
        <v>200</v>
      </c>
      <c r="C6" s="1" t="s">
        <v>153</v>
      </c>
      <c r="D6" s="185">
        <v>0.1</v>
      </c>
      <c r="E6" s="180">
        <v>0.5</v>
      </c>
      <c r="F6" s="183">
        <v>240</v>
      </c>
      <c r="G6" s="183">
        <f>R26*S26+R27*N28+R29*N30</f>
        <v>274</v>
      </c>
      <c r="H6" s="184">
        <f>S26*U22+S27*O28</f>
        <v>0</v>
      </c>
      <c r="U6" s="161" t="s">
        <v>163</v>
      </c>
      <c r="V6" s="182"/>
    </row>
    <row r="7" spans="2:22">
      <c r="B7" s="116" t="s">
        <v>154</v>
      </c>
      <c r="C7" s="1" t="s">
        <v>103</v>
      </c>
      <c r="D7" s="185">
        <v>0.1</v>
      </c>
      <c r="E7" s="180">
        <v>0.85</v>
      </c>
      <c r="F7" s="183">
        <v>128</v>
      </c>
      <c r="G7" s="183">
        <f>R28+R30*N30</f>
        <v>354</v>
      </c>
      <c r="H7" s="184">
        <f>S28+S30*O30+S29*O30</f>
        <v>0</v>
      </c>
      <c r="V7" s="182" t="s">
        <v>164</v>
      </c>
    </row>
    <row r="8" spans="2:22">
      <c r="B8" s="116" t="s">
        <v>199</v>
      </c>
      <c r="C8" s="1" t="s">
        <v>103</v>
      </c>
      <c r="D8" s="185">
        <v>0.2</v>
      </c>
      <c r="E8" s="180">
        <v>0.5</v>
      </c>
      <c r="F8" s="183">
        <v>240</v>
      </c>
      <c r="G8" s="183"/>
      <c r="H8" s="184"/>
    </row>
    <row r="9" spans="2:22">
      <c r="B9" s="116" t="s">
        <v>167</v>
      </c>
      <c r="C9" s="1" t="s">
        <v>157</v>
      </c>
      <c r="D9" s="185">
        <v>0</v>
      </c>
      <c r="E9" s="180">
        <v>40</v>
      </c>
      <c r="F9" s="183">
        <v>1</v>
      </c>
      <c r="G9" s="183">
        <v>4</v>
      </c>
      <c r="H9" s="184">
        <v>3</v>
      </c>
    </row>
    <row r="10" spans="2:22">
      <c r="B10" s="116" t="s">
        <v>184</v>
      </c>
      <c r="C10" s="1" t="s">
        <v>185</v>
      </c>
      <c r="D10" s="185">
        <v>0.2</v>
      </c>
      <c r="E10" s="180">
        <v>2.5</v>
      </c>
      <c r="F10" s="183">
        <v>6</v>
      </c>
      <c r="G10" s="183">
        <v>28</v>
      </c>
      <c r="H10" s="184">
        <v>16</v>
      </c>
    </row>
    <row r="11" spans="2:22">
      <c r="B11" s="116" t="s">
        <v>158</v>
      </c>
      <c r="C11" s="1" t="s">
        <v>157</v>
      </c>
      <c r="D11" s="185">
        <v>0</v>
      </c>
      <c r="E11" s="180">
        <v>30</v>
      </c>
      <c r="F11" s="183">
        <v>2</v>
      </c>
      <c r="G11" s="183">
        <v>4</v>
      </c>
      <c r="H11" s="184">
        <v>3</v>
      </c>
    </row>
    <row r="12" spans="2:22">
      <c r="B12" s="116" t="s">
        <v>159</v>
      </c>
      <c r="C12" s="1" t="s">
        <v>157</v>
      </c>
      <c r="D12" s="185">
        <v>0</v>
      </c>
      <c r="E12" s="180">
        <v>50</v>
      </c>
      <c r="F12" s="183">
        <v>2</v>
      </c>
      <c r="G12" s="183">
        <v>4</v>
      </c>
      <c r="H12" s="184">
        <v>3</v>
      </c>
      <c r="K12" s="161" t="s">
        <v>238</v>
      </c>
    </row>
    <row r="13" spans="2:22">
      <c r="B13" s="116" t="s">
        <v>160</v>
      </c>
      <c r="C13" s="1" t="s">
        <v>157</v>
      </c>
      <c r="D13" s="185">
        <v>0</v>
      </c>
      <c r="E13" s="180">
        <v>5</v>
      </c>
      <c r="F13" s="183">
        <v>4</v>
      </c>
      <c r="G13" s="183"/>
      <c r="H13" s="184"/>
    </row>
    <row r="14" spans="2:22">
      <c r="B14" s="116" t="s">
        <v>190</v>
      </c>
      <c r="C14" s="1" t="s">
        <v>157</v>
      </c>
      <c r="D14" s="185"/>
      <c r="E14" s="180">
        <v>90</v>
      </c>
      <c r="F14" s="183"/>
      <c r="G14" s="183">
        <v>2</v>
      </c>
      <c r="H14" s="184">
        <v>2</v>
      </c>
    </row>
    <row r="15" spans="2:22">
      <c r="B15" s="117" t="s">
        <v>189</v>
      </c>
      <c r="C15" s="109" t="s">
        <v>157</v>
      </c>
      <c r="D15" s="186"/>
      <c r="E15" s="187">
        <v>150</v>
      </c>
      <c r="F15" s="188"/>
      <c r="G15" s="188">
        <v>2</v>
      </c>
      <c r="H15" s="189">
        <v>2</v>
      </c>
    </row>
    <row r="16" spans="2:22" ht="15.75" thickBot="1">
      <c r="B16" s="190" t="s">
        <v>37</v>
      </c>
      <c r="C16" s="191"/>
      <c r="D16" s="192"/>
      <c r="E16" s="193"/>
      <c r="F16" s="193">
        <f>SUMPRODUCT(F5:F15,$E$5:$E$15)</f>
        <v>642.29999999999995</v>
      </c>
      <c r="G16" s="193">
        <f>SUMPRODUCT(G5:G15,$E$5:$E$15)+G4</f>
        <v>15345.4</v>
      </c>
      <c r="H16" s="194">
        <f>SUMPRODUCT(H5:H15,$E$5:$E$15)+H4</f>
        <v>14757.5</v>
      </c>
    </row>
    <row r="17" spans="2:19" ht="15.75" thickBot="1"/>
    <row r="18" spans="2:19" ht="18.75">
      <c r="B18" s="175" t="s">
        <v>215</v>
      </c>
      <c r="C18" s="176"/>
      <c r="D18" s="176"/>
      <c r="E18" s="176"/>
      <c r="F18" s="176"/>
      <c r="G18" s="177"/>
    </row>
    <row r="19" spans="2:19">
      <c r="B19" s="117"/>
      <c r="C19" s="109" t="s">
        <v>155</v>
      </c>
      <c r="D19" s="109" t="s">
        <v>20</v>
      </c>
      <c r="E19" s="109" t="s">
        <v>194</v>
      </c>
      <c r="F19" s="109" t="s">
        <v>152</v>
      </c>
      <c r="G19" s="118" t="s">
        <v>296</v>
      </c>
    </row>
    <row r="20" spans="2:19">
      <c r="B20" s="178" t="s">
        <v>10</v>
      </c>
      <c r="C20" s="1" t="s">
        <v>70</v>
      </c>
      <c r="D20" s="179">
        <f>'Input sheet'!H6</f>
        <v>19.5</v>
      </c>
      <c r="E20" s="183">
        <v>1.3</v>
      </c>
      <c r="F20" s="183">
        <v>2.5</v>
      </c>
      <c r="G20" s="184">
        <v>2</v>
      </c>
    </row>
    <row r="21" spans="2:19">
      <c r="B21" s="116" t="s">
        <v>207</v>
      </c>
      <c r="C21" s="1" t="s">
        <v>211</v>
      </c>
      <c r="D21" s="180">
        <v>8</v>
      </c>
      <c r="E21" s="183">
        <v>1</v>
      </c>
      <c r="F21" s="183">
        <v>5</v>
      </c>
      <c r="G21" s="184">
        <v>4</v>
      </c>
    </row>
    <row r="22" spans="2:19">
      <c r="B22" s="116" t="s">
        <v>208</v>
      </c>
      <c r="C22" s="1" t="s">
        <v>212</v>
      </c>
      <c r="D22" s="180">
        <v>10</v>
      </c>
      <c r="E22" s="183">
        <v>1</v>
      </c>
      <c r="F22" s="183">
        <v>1</v>
      </c>
      <c r="G22" s="184">
        <v>0.5</v>
      </c>
      <c r="K22" s="161" t="s">
        <v>165</v>
      </c>
      <c r="L22" s="161" t="s">
        <v>166</v>
      </c>
      <c r="M22" s="161" t="s">
        <v>172</v>
      </c>
      <c r="N22" s="161" t="s">
        <v>173</v>
      </c>
      <c r="P22" s="161" t="s">
        <v>178</v>
      </c>
      <c r="Q22" s="161">
        <v>12</v>
      </c>
      <c r="R22" s="161">
        <v>16</v>
      </c>
    </row>
    <row r="23" spans="2:19">
      <c r="B23" s="116" t="s">
        <v>209</v>
      </c>
      <c r="C23" s="1" t="s">
        <v>214</v>
      </c>
      <c r="D23" s="180">
        <v>0.15</v>
      </c>
      <c r="E23" s="183">
        <v>50</v>
      </c>
      <c r="F23" s="183">
        <v>250</v>
      </c>
      <c r="G23" s="184">
        <v>175</v>
      </c>
      <c r="P23" s="161" t="s">
        <v>179</v>
      </c>
      <c r="Q23" s="161">
        <v>20</v>
      </c>
      <c r="R23" s="161">
        <v>24</v>
      </c>
    </row>
    <row r="24" spans="2:19">
      <c r="B24" s="117" t="s">
        <v>210</v>
      </c>
      <c r="C24" s="109" t="s">
        <v>213</v>
      </c>
      <c r="D24" s="195">
        <v>1</v>
      </c>
      <c r="E24" s="187">
        <v>8</v>
      </c>
      <c r="F24" s="187">
        <v>30</v>
      </c>
      <c r="G24" s="196">
        <v>20</v>
      </c>
      <c r="J24" s="161" t="s">
        <v>168</v>
      </c>
      <c r="K24" s="182" t="s">
        <v>169</v>
      </c>
      <c r="Q24" s="161" t="s">
        <v>175</v>
      </c>
    </row>
    <row r="25" spans="2:19" ht="15.75" thickBot="1">
      <c r="B25" s="190" t="s">
        <v>37</v>
      </c>
      <c r="C25" s="191"/>
      <c r="D25" s="191"/>
      <c r="E25" s="193">
        <f t="shared" ref="E25:G25" si="0">SUMPRODUCT(E20:E24,$D$20:$D$24)</f>
        <v>58.85</v>
      </c>
      <c r="F25" s="193">
        <f t="shared" si="0"/>
        <v>166.25</v>
      </c>
      <c r="G25" s="194">
        <f t="shared" si="0"/>
        <v>122.25</v>
      </c>
      <c r="J25" s="161" t="s">
        <v>170</v>
      </c>
      <c r="K25" s="182" t="s">
        <v>169</v>
      </c>
      <c r="Q25" s="161" t="s">
        <v>176</v>
      </c>
      <c r="R25" s="161" t="s">
        <v>177</v>
      </c>
      <c r="S25" s="161" t="s">
        <v>181</v>
      </c>
    </row>
    <row r="26" spans="2:19">
      <c r="P26" s="161" t="s">
        <v>174</v>
      </c>
      <c r="Q26" s="161">
        <f>M27*9</f>
        <v>18</v>
      </c>
      <c r="R26" s="161">
        <f>N27*12</f>
        <v>24</v>
      </c>
      <c r="S26" s="161">
        <v>2.5</v>
      </c>
    </row>
    <row r="27" spans="2:19" hidden="1">
      <c r="L27" s="161" t="s">
        <v>180</v>
      </c>
      <c r="M27" s="161">
        <v>2</v>
      </c>
      <c r="N27" s="161">
        <v>2</v>
      </c>
      <c r="P27" s="161" t="s">
        <v>182</v>
      </c>
      <c r="Q27" s="161">
        <f>ROUND(M28/1.33+1,0)*M27</f>
        <v>14</v>
      </c>
      <c r="R27" s="161">
        <f>N27*ROUND(N29/1.33,0)</f>
        <v>28</v>
      </c>
    </row>
    <row r="28" spans="2:19" hidden="1">
      <c r="M28" s="161">
        <f>Q22-4</f>
        <v>8</v>
      </c>
      <c r="N28" s="161">
        <f>R22/2-1.5</f>
        <v>6.5</v>
      </c>
      <c r="P28" s="161" t="s">
        <v>183</v>
      </c>
      <c r="Q28" s="161">
        <f>M28*M29*M27</f>
        <v>128</v>
      </c>
      <c r="R28" s="161">
        <f>N28*N29*N27</f>
        <v>234</v>
      </c>
    </row>
    <row r="29" spans="2:19" hidden="1">
      <c r="M29" s="161">
        <f>Q23/2-2</f>
        <v>8</v>
      </c>
      <c r="N29" s="197">
        <f>R23-6</f>
        <v>18</v>
      </c>
      <c r="P29" s="161" t="s">
        <v>187</v>
      </c>
      <c r="Q29" s="161">
        <v>8</v>
      </c>
      <c r="R29" s="161">
        <v>8</v>
      </c>
    </row>
    <row r="30" spans="2:19" hidden="1">
      <c r="L30" s="161" t="s">
        <v>186</v>
      </c>
      <c r="M30" s="161">
        <v>3</v>
      </c>
      <c r="N30" s="161">
        <v>4</v>
      </c>
      <c r="P30" s="161" t="s">
        <v>188</v>
      </c>
      <c r="Q30" s="161">
        <v>30</v>
      </c>
      <c r="R30" s="161">
        <v>30</v>
      </c>
    </row>
  </sheetData>
  <sheetProtection sheet="1" objects="1" scenarios="1"/>
  <protectedRanges>
    <protectedRange sqref="F4:H15 D6:E15 E20:G24 D21:D23" name="Edit cells"/>
  </protectedRanges>
  <hyperlinks>
    <hyperlink ref="L5" r:id="rId1" xr:uid="{88AC025A-FCA3-40AF-9883-1DE577209B5E}"/>
    <hyperlink ref="L4" r:id="rId2" xr:uid="{9352E20B-7BDA-40AC-BCDE-475864639B07}"/>
    <hyperlink ref="V4" r:id="rId3" xr:uid="{6947B6F4-4299-48C2-91C4-170F7238BA15}"/>
    <hyperlink ref="V7" r:id="rId4" xr:uid="{F1D34EC0-479E-46BB-9691-B55B705BC5D9}"/>
    <hyperlink ref="K24" r:id="rId5" display="https://nam02.safelinks.protection.outlook.com/?url=https%3A%2F%2Fwww.menards.com%2Fmain%2Fa-yardbuilding-v2.html%3FdesignId%3D326357747139&amp;data=05%7C02%7Cdkientzy%40missouri.edu%7Ce849bbf6a34a4c49463008dd81c55c6d%7Ce3fefdbef7e9401ba51a355e01b05a89%7C0%7C0%7C638809406857091550%7CUnknown%7CTWFpbGZsb3d8eyJFbXB0eU1hcGkiOnRydWUsIlYiOiIwLjAuMDAwMCIsIlAiOiJXaW4zMiIsIkFOIjoiTWFpbCIsIldUIjoyfQ%3D%3D%7C0%7C%7C%7C&amp;sdata=TYCvsXbY7OXdkWxgDeJYzrG0gagxEFO1xRQN2ZYdezk%3D&amp;reserved=0" xr:uid="{E3CAA775-ECC4-4984-A03C-A4087F9FEE34}"/>
    <hyperlink ref="K25" r:id="rId6" display="https://nam02.safelinks.protection.outlook.com/?url=https%3A%2F%2Fwww.menards.com%2Fmain%2Fa-yardbuilding-v2.html%3FdesignId%3D326357747139&amp;data=05%7C02%7Cdkientzy%40missouri.edu%7C07d56fbfed6d4526636408dd81c5f714%7Ce3fefdbef7e9401ba51a355e01b05a89%7C0%7C0%7C638809409471454570%7CUnknown%7CTWFpbGZsb3d8eyJFbXB0eU1hcGkiOnRydWUsIlYiOiIwLjAuMDAwMCIsIlAiOiJXaW4zMiIsIkFOIjoiTWFpbCIsIldUIjoyfQ%3D%3D%7C0%7C%7C%7C&amp;sdata=BRXkZYv%2FiuDzaHH1KLuI%2BekhymARNAH%2F0K4eJVZBrKU%3D&amp;reserved=0" xr:uid="{EB067894-318D-4260-B41A-99C76B9D3290}"/>
  </hyperlinks>
  <pageMargins left="0.7" right="0.7" top="0.75" bottom="0.75" header="0.3" footer="0.3"/>
  <pageSetup orientation="portrait"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0C4A8-2D29-4ADA-8C00-4E1E07C36944}">
  <dimension ref="A1:K36"/>
  <sheetViews>
    <sheetView workbookViewId="0">
      <selection activeCell="B17" sqref="B17"/>
    </sheetView>
  </sheetViews>
  <sheetFormatPr defaultRowHeight="16.5"/>
  <cols>
    <col min="1" max="1" width="29.25" bestFit="1" customWidth="1"/>
    <col min="2" max="2" width="11.5" customWidth="1"/>
    <col min="3" max="3" width="12.375" customWidth="1"/>
    <col min="4" max="4" width="11.25" customWidth="1"/>
    <col min="5" max="5" width="12.5" customWidth="1"/>
    <col min="7" max="7" width="19.625" bestFit="1" customWidth="1"/>
    <col min="8" max="8" width="16.5" bestFit="1" customWidth="1"/>
    <col min="10" max="11" width="9.875" bestFit="1" customWidth="1"/>
  </cols>
  <sheetData>
    <row r="1" spans="1:11">
      <c r="A1" s="317" t="s">
        <v>339</v>
      </c>
      <c r="B1" s="317"/>
      <c r="C1" s="317"/>
      <c r="D1" s="317"/>
      <c r="E1" s="317"/>
      <c r="G1" s="317" t="s">
        <v>342</v>
      </c>
      <c r="H1" s="317"/>
      <c r="I1" s="317"/>
      <c r="J1" s="317"/>
      <c r="K1" s="317"/>
    </row>
    <row r="2" spans="1:11" ht="33" customHeight="1">
      <c r="A2" s="262" t="s">
        <v>43</v>
      </c>
      <c r="B2" s="262" t="s">
        <v>325</v>
      </c>
      <c r="C2" s="262" t="s">
        <v>326</v>
      </c>
      <c r="D2" s="262" t="s">
        <v>327</v>
      </c>
      <c r="E2" s="262" t="s">
        <v>328</v>
      </c>
      <c r="G2" s="272" t="s">
        <v>343</v>
      </c>
      <c r="H2" s="272" t="s">
        <v>3</v>
      </c>
      <c r="I2" s="272" t="s">
        <v>344</v>
      </c>
      <c r="J2" s="272" t="s">
        <v>345</v>
      </c>
      <c r="K2" s="272" t="s">
        <v>346</v>
      </c>
    </row>
    <row r="3" spans="1:11">
      <c r="A3" s="82" t="s">
        <v>329</v>
      </c>
      <c r="B3" s="264">
        <v>12103</v>
      </c>
      <c r="C3" s="264">
        <f>B3/7</f>
        <v>1729</v>
      </c>
      <c r="D3" s="264">
        <f>'Mobile poultry budget'!F6</f>
        <v>84721</v>
      </c>
      <c r="E3" s="264">
        <f>D3/7</f>
        <v>12103</v>
      </c>
      <c r="G3" t="s">
        <v>347</v>
      </c>
      <c r="H3" t="s">
        <v>93</v>
      </c>
      <c r="I3" s="263">
        <f>'Input sheet'!I12</f>
        <v>4</v>
      </c>
      <c r="J3" s="268">
        <v>3025.75</v>
      </c>
      <c r="K3" s="269">
        <f>'Mobile poultry budget'!D6</f>
        <v>21180.25</v>
      </c>
    </row>
    <row r="4" spans="1:11">
      <c r="A4" t="s">
        <v>203</v>
      </c>
      <c r="B4" s="263">
        <v>459</v>
      </c>
      <c r="C4" s="263">
        <f t="shared" ref="C4:E24" si="0">B4/7</f>
        <v>65.571428571428569</v>
      </c>
      <c r="D4" s="263">
        <f>'Mobile poultry budget'!F11</f>
        <v>3145</v>
      </c>
      <c r="E4" s="263">
        <f t="shared" si="0"/>
        <v>449.28571428571428</v>
      </c>
      <c r="G4" t="s">
        <v>203</v>
      </c>
      <c r="H4" t="s">
        <v>206</v>
      </c>
      <c r="I4" s="263">
        <f>'Input sheet'!I5</f>
        <v>15</v>
      </c>
      <c r="J4">
        <v>27</v>
      </c>
      <c r="K4">
        <f>'Mobile poultry budget'!D11</f>
        <v>185</v>
      </c>
    </row>
    <row r="5" spans="1:11">
      <c r="A5" t="s">
        <v>330</v>
      </c>
      <c r="B5" s="263">
        <v>3094</v>
      </c>
      <c r="C5" s="263">
        <f t="shared" si="0"/>
        <v>442</v>
      </c>
      <c r="D5" s="263">
        <f>'Mobile poultry budget'!F12</f>
        <v>11147.5</v>
      </c>
      <c r="E5" s="263">
        <f t="shared" si="0"/>
        <v>1592.5</v>
      </c>
      <c r="G5" t="s">
        <v>66</v>
      </c>
      <c r="H5" t="s">
        <v>206</v>
      </c>
      <c r="I5" s="263">
        <f>'Input sheet'!I4</f>
        <v>17</v>
      </c>
      <c r="J5">
        <v>182</v>
      </c>
    </row>
    <row r="6" spans="1:11">
      <c r="A6" t="s">
        <v>331</v>
      </c>
      <c r="B6" s="263">
        <v>3553</v>
      </c>
      <c r="C6" s="263">
        <f t="shared" si="0"/>
        <v>507.57142857142856</v>
      </c>
      <c r="D6" s="263">
        <f>D4+D5</f>
        <v>14292.5</v>
      </c>
      <c r="E6" s="263">
        <f t="shared" si="0"/>
        <v>2041.7857142857142</v>
      </c>
      <c r="G6" t="s">
        <v>348</v>
      </c>
      <c r="H6" t="s">
        <v>354</v>
      </c>
      <c r="I6" s="263">
        <f>'Input sheet'!I3</f>
        <v>350</v>
      </c>
      <c r="K6" s="271">
        <f>'Mobile poultry budget'!D12</f>
        <v>31.85</v>
      </c>
    </row>
    <row r="7" spans="1:11">
      <c r="A7" t="s">
        <v>10</v>
      </c>
      <c r="B7" s="263">
        <v>1481.0250000000001</v>
      </c>
      <c r="C7" s="263">
        <f t="shared" si="0"/>
        <v>211.57500000000002</v>
      </c>
      <c r="D7" s="263">
        <f>'Mobile poultry budget'!F14</f>
        <v>9828</v>
      </c>
      <c r="E7" s="263">
        <f t="shared" si="0"/>
        <v>1404</v>
      </c>
      <c r="G7" t="s">
        <v>10</v>
      </c>
      <c r="H7" t="s">
        <v>192</v>
      </c>
      <c r="I7" s="263">
        <f>'Input sheet'!H6</f>
        <v>19.5</v>
      </c>
      <c r="J7" s="268">
        <v>75.95</v>
      </c>
      <c r="K7" s="268">
        <f>'Mobile poultry budget'!D14</f>
        <v>504</v>
      </c>
    </row>
    <row r="8" spans="1:11">
      <c r="A8" t="s">
        <v>332</v>
      </c>
      <c r="B8" s="263">
        <v>2170</v>
      </c>
      <c r="C8" s="263">
        <f t="shared" si="0"/>
        <v>310</v>
      </c>
      <c r="D8" s="263">
        <f>'Mobile poultry budget'!F13</f>
        <v>15190</v>
      </c>
      <c r="E8" s="263">
        <f t="shared" si="0"/>
        <v>2170</v>
      </c>
      <c r="G8" t="s">
        <v>353</v>
      </c>
      <c r="H8" t="s">
        <v>157</v>
      </c>
      <c r="I8" s="263">
        <f>'Input sheet'!I11</f>
        <v>3.1</v>
      </c>
      <c r="J8">
        <v>700</v>
      </c>
      <c r="K8">
        <f>'Mobile poultry budget'!D13</f>
        <v>4900</v>
      </c>
    </row>
    <row r="9" spans="1:11">
      <c r="A9" t="s">
        <v>216</v>
      </c>
      <c r="B9" s="263">
        <v>1647.8</v>
      </c>
      <c r="C9" s="263">
        <f t="shared" si="0"/>
        <v>235.4</v>
      </c>
      <c r="D9" s="263">
        <f>'Mobile poultry budget'!F15</f>
        <v>4655</v>
      </c>
      <c r="E9" s="263">
        <f t="shared" si="0"/>
        <v>665</v>
      </c>
      <c r="G9" t="s">
        <v>278</v>
      </c>
      <c r="H9" t="s">
        <v>355</v>
      </c>
      <c r="I9" s="263">
        <f>'Input sheet'!H8</f>
        <v>0.9</v>
      </c>
      <c r="J9">
        <v>250</v>
      </c>
      <c r="K9">
        <f>'Mobile poultry budget'!D20</f>
        <v>1000</v>
      </c>
    </row>
    <row r="10" spans="1:11">
      <c r="A10" t="s">
        <v>340</v>
      </c>
      <c r="B10" s="263">
        <v>2846.9</v>
      </c>
      <c r="C10" s="263">
        <f t="shared" si="0"/>
        <v>406.7</v>
      </c>
      <c r="D10" s="263">
        <f>'Mobile poultry budget'!F19</f>
        <v>16241</v>
      </c>
      <c r="E10" s="263">
        <f t="shared" si="0"/>
        <v>2320.1428571428573</v>
      </c>
      <c r="G10" t="s">
        <v>349</v>
      </c>
      <c r="H10" t="s">
        <v>356</v>
      </c>
      <c r="I10" s="263">
        <f>'Processing budget'!M11/('Processing budget'!C2*7)</f>
        <v>4.0670000000000002</v>
      </c>
      <c r="J10">
        <v>665</v>
      </c>
      <c r="K10">
        <v>3990</v>
      </c>
    </row>
    <row r="11" spans="1:11">
      <c r="A11" t="s">
        <v>278</v>
      </c>
      <c r="B11" s="263">
        <v>225</v>
      </c>
      <c r="C11" s="263">
        <f t="shared" si="0"/>
        <v>32.142857142857146</v>
      </c>
      <c r="D11" s="263">
        <f>'Mobile poultry budget'!F20</f>
        <v>900</v>
      </c>
      <c r="E11" s="263">
        <f t="shared" si="0"/>
        <v>128.57142857142858</v>
      </c>
      <c r="G11" t="s">
        <v>282</v>
      </c>
      <c r="H11" t="s">
        <v>356</v>
      </c>
      <c r="I11" s="263">
        <f>'Input sheet'!I13</f>
        <v>4</v>
      </c>
      <c r="J11">
        <v>665</v>
      </c>
      <c r="K11">
        <v>3990</v>
      </c>
    </row>
    <row r="12" spans="1:11">
      <c r="A12" t="s">
        <v>333</v>
      </c>
      <c r="B12" s="263">
        <v>1210.3</v>
      </c>
      <c r="C12" s="263">
        <f t="shared" si="0"/>
        <v>172.9</v>
      </c>
      <c r="D12" s="263">
        <f>'Mobile poultry budget'!F21</f>
        <v>8472.1</v>
      </c>
      <c r="E12" s="263">
        <f t="shared" si="0"/>
        <v>1210.3</v>
      </c>
      <c r="G12" t="s">
        <v>350</v>
      </c>
      <c r="H12" t="s">
        <v>78</v>
      </c>
      <c r="I12" s="263">
        <f>'Input sheet'!H10</f>
        <v>50</v>
      </c>
      <c r="J12">
        <v>2</v>
      </c>
      <c r="K12" s="270">
        <f>'Mobile poultry budget'!D27</f>
        <v>9</v>
      </c>
    </row>
    <row r="13" spans="1:11">
      <c r="A13" t="s">
        <v>341</v>
      </c>
      <c r="B13" s="263">
        <v>821.95500000000004</v>
      </c>
      <c r="C13" s="263">
        <f t="shared" si="0"/>
        <v>117.42214285714286</v>
      </c>
      <c r="D13" s="263">
        <f>'Mobile poultry budget'!F17+'Mobile poultry budget'!F18</f>
        <v>4266.7579999999998</v>
      </c>
      <c r="E13" s="263">
        <f t="shared" si="0"/>
        <v>609.53685714285712</v>
      </c>
      <c r="G13" t="s">
        <v>351</v>
      </c>
      <c r="H13" t="s">
        <v>357</v>
      </c>
      <c r="I13" s="267">
        <f>'Input sheet'!H7</f>
        <v>0.08</v>
      </c>
      <c r="J13" s="263">
        <v>14730.979999999998</v>
      </c>
      <c r="K13" s="263">
        <f>'Mobile poultry budget'!F24-'Mobile poultry budget'!F23</f>
        <v>73945.358000000007</v>
      </c>
    </row>
    <row r="14" spans="1:11">
      <c r="A14" t="s">
        <v>229</v>
      </c>
      <c r="B14" s="263">
        <v>100</v>
      </c>
      <c r="C14" s="263">
        <f t="shared" si="0"/>
        <v>14.285714285714286</v>
      </c>
      <c r="D14" s="263">
        <f>'Mobile poultry budget'!F22</f>
        <v>100</v>
      </c>
      <c r="E14" s="263">
        <f t="shared" si="0"/>
        <v>14.285714285714286</v>
      </c>
      <c r="G14" t="s">
        <v>73</v>
      </c>
      <c r="H14" t="s">
        <v>358</v>
      </c>
      <c r="I14" s="267">
        <f>'Input sheet'!H18</f>
        <v>0.03</v>
      </c>
      <c r="J14" s="263">
        <v>12103</v>
      </c>
      <c r="K14" s="263">
        <f>'Mobile poultry budget'!F8</f>
        <v>84721</v>
      </c>
    </row>
    <row r="15" spans="1:11">
      <c r="A15" t="s">
        <v>12</v>
      </c>
      <c r="B15" s="263">
        <v>169.9</v>
      </c>
      <c r="C15" s="263">
        <f t="shared" si="0"/>
        <v>24.271428571428572</v>
      </c>
      <c r="D15" s="263">
        <f>'Mobile poultry budget'!F24-SUM(D6:D14)</f>
        <v>1109.1803700000019</v>
      </c>
      <c r="E15" s="263">
        <f t="shared" si="0"/>
        <v>158.45433857142885</v>
      </c>
      <c r="G15" s="82" t="s">
        <v>352</v>
      </c>
      <c r="H15" s="82" t="s">
        <v>358</v>
      </c>
      <c r="I15" s="273">
        <f>'Input sheet'!H20</f>
        <v>0.1</v>
      </c>
      <c r="J15" s="264">
        <v>12103</v>
      </c>
      <c r="K15" s="264">
        <f>'Mobile poultry budget'!F8</f>
        <v>84721</v>
      </c>
    </row>
    <row r="16" spans="1:11">
      <c r="A16" s="265" t="s">
        <v>335</v>
      </c>
      <c r="B16" s="266">
        <f>SUM(B6:B15)</f>
        <v>14225.879999999997</v>
      </c>
      <c r="C16" s="266">
        <f t="shared" si="0"/>
        <v>2032.268571428571</v>
      </c>
      <c r="D16" s="266">
        <f>'Mobile poultry budget'!F24</f>
        <v>75054.538370000009</v>
      </c>
      <c r="E16" s="266">
        <f t="shared" si="0"/>
        <v>10722.076910000002</v>
      </c>
    </row>
    <row r="17" spans="1:5">
      <c r="A17" t="s">
        <v>360</v>
      </c>
      <c r="B17" s="263">
        <v>100</v>
      </c>
      <c r="C17" s="263">
        <f t="shared" si="0"/>
        <v>14.285714285714286</v>
      </c>
      <c r="D17" s="263">
        <f>'Mobile poultry budget'!F27</f>
        <v>450</v>
      </c>
      <c r="E17" s="263">
        <f t="shared" si="0"/>
        <v>64.285714285714292</v>
      </c>
    </row>
    <row r="18" spans="1:5">
      <c r="A18" t="s">
        <v>101</v>
      </c>
      <c r="B18" s="263">
        <v>932.71250000000009</v>
      </c>
      <c r="C18" s="263">
        <f t="shared" si="0"/>
        <v>133.24464285714288</v>
      </c>
      <c r="D18" s="263">
        <f>'Mobile poultry budget'!F29</f>
        <v>8039.4734666666664</v>
      </c>
      <c r="E18" s="263">
        <f t="shared" si="0"/>
        <v>1148.4962095238095</v>
      </c>
    </row>
    <row r="19" spans="1:5">
      <c r="A19" t="s">
        <v>31</v>
      </c>
      <c r="B19" s="263">
        <v>605.15</v>
      </c>
      <c r="C19" s="263">
        <f t="shared" si="0"/>
        <v>86.45</v>
      </c>
      <c r="D19" s="263">
        <f>'Mobile poultry budget'!F28</f>
        <v>4236.05</v>
      </c>
      <c r="E19" s="263">
        <f t="shared" si="0"/>
        <v>605.15</v>
      </c>
    </row>
    <row r="20" spans="1:5">
      <c r="A20" s="265" t="s">
        <v>361</v>
      </c>
      <c r="B20" s="266">
        <f>SUM(B17:B19)</f>
        <v>1637.8625000000002</v>
      </c>
      <c r="C20" s="266">
        <f t="shared" ref="C20:E20" si="1">SUM(C17:C19)</f>
        <v>233.98035714285714</v>
      </c>
      <c r="D20" s="266">
        <f t="shared" si="1"/>
        <v>12725.523466666666</v>
      </c>
      <c r="E20" s="266">
        <f t="shared" si="1"/>
        <v>1817.9319238095236</v>
      </c>
    </row>
    <row r="21" spans="1:5">
      <c r="A21" s="265" t="s">
        <v>334</v>
      </c>
      <c r="B21" s="266">
        <v>15817.741690358123</v>
      </c>
      <c r="C21" s="266">
        <f t="shared" si="0"/>
        <v>2259.6773843368746</v>
      </c>
      <c r="D21" s="266">
        <f>'Mobile poultry budget'!F32</f>
        <v>87780.061836666675</v>
      </c>
      <c r="E21" s="266">
        <f t="shared" si="0"/>
        <v>12540.008833809525</v>
      </c>
    </row>
    <row r="22" spans="1:5">
      <c r="A22" t="s">
        <v>336</v>
      </c>
      <c r="B22" s="263">
        <v>-2122.8846999999969</v>
      </c>
      <c r="C22" s="263">
        <f t="shared" si="0"/>
        <v>-303.26924285714239</v>
      </c>
      <c r="D22" s="263">
        <f>D3-D16</f>
        <v>9666.4616299999907</v>
      </c>
      <c r="E22" s="263">
        <f t="shared" si="0"/>
        <v>1380.9230899999986</v>
      </c>
    </row>
    <row r="23" spans="1:5">
      <c r="A23" t="s">
        <v>337</v>
      </c>
      <c r="B23" s="263">
        <v>-3714.7416903581234</v>
      </c>
      <c r="C23" s="263">
        <f t="shared" si="0"/>
        <v>-530.67738433687475</v>
      </c>
      <c r="D23" s="263">
        <f>D3-D21</f>
        <v>-3059.0618366666749</v>
      </c>
      <c r="E23" s="263">
        <f t="shared" si="0"/>
        <v>-437.00883380952502</v>
      </c>
    </row>
    <row r="24" spans="1:5">
      <c r="A24" t="s">
        <v>321</v>
      </c>
      <c r="B24" s="263">
        <v>-1301.0041903581232</v>
      </c>
      <c r="C24" s="263">
        <f t="shared" si="0"/>
        <v>-185.85774147973189</v>
      </c>
      <c r="D24" s="263">
        <f>D3-D21+D7+D18</f>
        <v>14808.411629999991</v>
      </c>
      <c r="E24" s="263">
        <f t="shared" si="0"/>
        <v>2115.4873757142846</v>
      </c>
    </row>
    <row r="25" spans="1:5">
      <c r="A25" s="291" t="s">
        <v>338</v>
      </c>
      <c r="B25" s="292">
        <v>5.4693455176402539</v>
      </c>
      <c r="C25" s="292"/>
      <c r="D25" s="292">
        <f>D21/'Mobile poultry budget'!D6</f>
        <v>4.1444299211136162</v>
      </c>
      <c r="E25" s="292"/>
    </row>
    <row r="26" spans="1:5" ht="33">
      <c r="A26" s="293" t="s">
        <v>363</v>
      </c>
      <c r="B26" s="264">
        <v>4.6716135503594147</v>
      </c>
      <c r="C26" s="264"/>
      <c r="D26" s="264">
        <f>(D21-D7-D18)/'Mobile poultry budget'!D6</f>
        <v>3.3008386761251645</v>
      </c>
      <c r="E26" s="264"/>
    </row>
    <row r="27" spans="1:5">
      <c r="B27" s="263"/>
      <c r="C27" s="263"/>
      <c r="D27" s="263"/>
      <c r="E27" s="263"/>
    </row>
    <row r="28" spans="1:5">
      <c r="B28" s="263"/>
      <c r="C28" s="263"/>
      <c r="D28" s="263"/>
      <c r="E28" s="263"/>
    </row>
    <row r="29" spans="1:5">
      <c r="B29" s="263"/>
      <c r="C29" s="263"/>
      <c r="D29" s="263" t="s">
        <v>362</v>
      </c>
      <c r="E29" s="263"/>
    </row>
    <row r="30" spans="1:5">
      <c r="B30" s="263"/>
      <c r="C30" s="263"/>
      <c r="D30" s="263"/>
      <c r="E30" s="263"/>
    </row>
    <row r="31" spans="1:5">
      <c r="B31" s="263"/>
      <c r="C31" s="263"/>
      <c r="D31" s="263"/>
      <c r="E31" s="263"/>
    </row>
    <row r="32" spans="1:5">
      <c r="B32" s="263"/>
      <c r="C32" s="263"/>
      <c r="D32" s="263"/>
      <c r="E32" s="263"/>
    </row>
    <row r="33" spans="2:5">
      <c r="B33" s="263"/>
      <c r="C33" s="263"/>
      <c r="D33" s="263"/>
      <c r="E33" s="263"/>
    </row>
    <row r="34" spans="2:5">
      <c r="B34" s="263"/>
      <c r="C34" s="263"/>
      <c r="D34" s="263"/>
      <c r="E34" s="263"/>
    </row>
    <row r="35" spans="2:5">
      <c r="B35" s="263"/>
      <c r="C35" s="263"/>
      <c r="D35" s="263"/>
      <c r="E35" s="263"/>
    </row>
    <row r="36" spans="2:5">
      <c r="B36" s="263"/>
      <c r="C36" s="263"/>
      <c r="D36" s="263"/>
      <c r="E36" s="263"/>
    </row>
  </sheetData>
  <mergeCells count="2">
    <mergeCell ref="A1:E1"/>
    <mergeCell ref="G1:K1"/>
  </mergeCells>
  <phoneticPr fontId="5"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99A3-A027-4919-AD0F-8D10A4F1D5FA}">
  <dimension ref="A1:H22"/>
  <sheetViews>
    <sheetView workbookViewId="0"/>
  </sheetViews>
  <sheetFormatPr defaultRowHeight="15"/>
  <cols>
    <col min="1" max="1" width="18.75" style="1" customWidth="1"/>
    <col min="2" max="2" width="34.625" style="1" customWidth="1"/>
    <col min="3" max="16384" width="9" style="1"/>
  </cols>
  <sheetData>
    <row r="1" spans="1:3">
      <c r="A1" s="1" t="s">
        <v>114</v>
      </c>
      <c r="B1" s="1" t="s">
        <v>115</v>
      </c>
      <c r="C1" s="1" t="s">
        <v>116</v>
      </c>
    </row>
    <row r="2" spans="1:3">
      <c r="A2" s="1" t="s">
        <v>117</v>
      </c>
      <c r="B2" s="1" t="s">
        <v>118</v>
      </c>
      <c r="C2" s="2" t="s">
        <v>42</v>
      </c>
    </row>
    <row r="3" spans="1:3">
      <c r="A3" s="1" t="s">
        <v>119</v>
      </c>
      <c r="B3" s="1" t="s">
        <v>120</v>
      </c>
      <c r="C3" s="2" t="s">
        <v>121</v>
      </c>
    </row>
    <row r="4" spans="1:3">
      <c r="A4" s="1" t="s">
        <v>122</v>
      </c>
      <c r="B4" s="1" t="s">
        <v>123</v>
      </c>
      <c r="C4" s="2" t="s">
        <v>124</v>
      </c>
    </row>
    <row r="5" spans="1:3">
      <c r="A5" s="1" t="s">
        <v>125</v>
      </c>
      <c r="B5" s="1" t="s">
        <v>126</v>
      </c>
      <c r="C5" s="2" t="s">
        <v>127</v>
      </c>
    </row>
    <row r="6" spans="1:3">
      <c r="A6" s="1" t="s">
        <v>128</v>
      </c>
      <c r="B6" s="1" t="s">
        <v>130</v>
      </c>
      <c r="C6" s="2" t="s">
        <v>129</v>
      </c>
    </row>
    <row r="7" spans="1:3">
      <c r="A7" s="1" t="s">
        <v>132</v>
      </c>
      <c r="B7" s="1" t="s">
        <v>131</v>
      </c>
      <c r="C7" s="2" t="s">
        <v>133</v>
      </c>
    </row>
    <row r="8" spans="1:3">
      <c r="A8" s="1" t="s">
        <v>134</v>
      </c>
      <c r="B8" s="1" t="s">
        <v>135</v>
      </c>
      <c r="C8" s="2" t="s">
        <v>136</v>
      </c>
    </row>
    <row r="9" spans="1:3">
      <c r="A9" s="1" t="s">
        <v>137</v>
      </c>
      <c r="B9" s="1" t="s">
        <v>138</v>
      </c>
      <c r="C9" s="2" t="s">
        <v>139</v>
      </c>
    </row>
    <row r="10" spans="1:3">
      <c r="B10" s="1" t="s">
        <v>140</v>
      </c>
      <c r="C10" s="2" t="s">
        <v>141</v>
      </c>
    </row>
    <row r="11" spans="1:3">
      <c r="B11" s="1" t="s">
        <v>58</v>
      </c>
      <c r="C11" s="2" t="s">
        <v>142</v>
      </c>
    </row>
    <row r="12" spans="1:3">
      <c r="A12" s="1" t="s">
        <v>143</v>
      </c>
      <c r="B12" s="1" t="s">
        <v>144</v>
      </c>
      <c r="C12" s="2" t="s">
        <v>145</v>
      </c>
    </row>
    <row r="13" spans="1:3" ht="16.5">
      <c r="A13" s="1" t="s">
        <v>225</v>
      </c>
      <c r="B13" s="1" t="s">
        <v>226</v>
      </c>
      <c r="C13" s="81" t="s">
        <v>227</v>
      </c>
    </row>
    <row r="14" spans="1:3" ht="16.5">
      <c r="A14" s="1" t="s">
        <v>230</v>
      </c>
      <c r="B14" s="1" t="s">
        <v>231</v>
      </c>
      <c r="C14" s="81" t="s">
        <v>171</v>
      </c>
    </row>
    <row r="15" spans="1:3" ht="16.5">
      <c r="A15" s="1" t="s">
        <v>232</v>
      </c>
      <c r="B15" s="1" t="s">
        <v>233</v>
      </c>
      <c r="C15" s="81" t="s">
        <v>234</v>
      </c>
    </row>
    <row r="20" spans="8:8">
      <c r="H20" s="1" t="s">
        <v>235</v>
      </c>
    </row>
    <row r="21" spans="8:8">
      <c r="H21" s="1" t="s">
        <v>236</v>
      </c>
    </row>
    <row r="22" spans="8:8">
      <c r="H22" s="1" t="s">
        <v>237</v>
      </c>
    </row>
  </sheetData>
  <hyperlinks>
    <hyperlink ref="C2" r:id="rId1" xr:uid="{83A3E1CA-C50D-477E-823F-FD47D879D89C}"/>
    <hyperlink ref="C3" r:id="rId2" xr:uid="{7A7B5BE3-B909-441C-97CB-E4DDB6724ABF}"/>
    <hyperlink ref="C4" r:id="rId3" xr:uid="{092C12DA-8AB3-43D9-8645-95D045C8DEBE}"/>
    <hyperlink ref="C5" r:id="rId4" xr:uid="{E1AD3241-4EA0-48CC-BAB9-B2F31B44F2A7}"/>
    <hyperlink ref="C6" r:id="rId5" xr:uid="{7F1F67F0-04ED-4108-B2E2-7F472B9B501F}"/>
    <hyperlink ref="C7" r:id="rId6" xr:uid="{BB922928-CF8D-4C50-9E72-190820DE9640}"/>
    <hyperlink ref="C8" r:id="rId7" xr:uid="{2640D5D6-A087-4CF2-9086-0E2F7FF12D3F}"/>
    <hyperlink ref="C9" r:id="rId8" xr:uid="{0BD170FA-77F2-42D7-A596-E1F9A9A576F7}"/>
    <hyperlink ref="C10" r:id="rId9" xr:uid="{1CE7D769-7F58-4434-8906-21F2006BAA74}"/>
    <hyperlink ref="C11" r:id="rId10" xr:uid="{9B5663B2-BBF6-4D1B-9DD4-7131ADC94456}"/>
    <hyperlink ref="C12" r:id="rId11" xr:uid="{37CD0BB2-40B5-443E-9D0B-468BDFA760D9}"/>
    <hyperlink ref="C13" r:id="rId12" xr:uid="{2D49B989-C150-43A6-A413-CDF30C348A69}"/>
    <hyperlink ref="C14" r:id="rId13" xr:uid="{33A8D226-D4FE-4167-824B-BAB7260E43E0}"/>
    <hyperlink ref="C15" r:id="rId14" xr:uid="{D5405892-405E-4766-9D8B-07C5CA34037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Introduction</vt:lpstr>
      <vt:lpstr>Input sheet</vt:lpstr>
      <vt:lpstr>Facilities and equipment</vt:lpstr>
      <vt:lpstr>Mobile poultry budget</vt:lpstr>
      <vt:lpstr>Processing budget</vt:lpstr>
      <vt:lpstr>Brooder budget</vt:lpstr>
      <vt:lpstr>Guide tables</vt:lpstr>
      <vt:lpstr>References</vt:lpstr>
      <vt:lpstr>'Brooder budget'!Print_Area</vt:lpstr>
      <vt:lpstr>'Facilities and equipment'!Print_Area</vt:lpstr>
      <vt:lpstr>'Input sheet'!Print_Area</vt:lpstr>
      <vt:lpstr>Introduction!Print_Area</vt:lpstr>
      <vt:lpstr>'Mobile poultry budget'!Print_Area</vt:lpstr>
      <vt:lpstr>'Processing 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Raymond E. Massey</dc:creator>
  <cp:keywords/>
  <dc:description/>
  <cp:lastModifiedBy>Kientzy, Andrew</cp:lastModifiedBy>
  <cp:revision/>
  <cp:lastPrinted>2025-08-01T20:34:36Z</cp:lastPrinted>
  <dcterms:created xsi:type="dcterms:W3CDTF">2014-11-07T21:30:57Z</dcterms:created>
  <dcterms:modified xsi:type="dcterms:W3CDTF">2025-09-22T19:37:03Z</dcterms:modified>
  <cp:category/>
  <cp:contentStatus/>
</cp:coreProperties>
</file>