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mailmissouri-my.sharepoint.com/personal/dskvnq_umsystem_edu/Documents/My things/2025/Mobile poultry budgets/Spreadsheets/"/>
    </mc:Choice>
  </mc:AlternateContent>
  <xr:revisionPtr revIDLastSave="11" documentId="8_{9E72CAD6-681B-428F-8259-84A0F9AC0AF5}" xr6:coauthVersionLast="47" xr6:coauthVersionMax="47" xr10:uidLastSave="{7BE8CCA1-400F-4578-A255-9D62996A0823}"/>
  <bookViews>
    <workbookView xWindow="-120" yWindow="-120" windowWidth="29040" windowHeight="15720" xr2:uid="{D99AE196-83E4-420C-86B4-337F67CC1AD7}"/>
  </bookViews>
  <sheets>
    <sheet name="Introduction" sheetId="2" r:id="rId1"/>
    <sheet name="Input sheet" sheetId="3" r:id="rId2"/>
    <sheet name="Facilities and equipment" sheetId="4" r:id="rId3"/>
    <sheet name="Layers" sheetId="5" r:id="rId4"/>
    <sheet name="Brooder Budget" sheetId="6" r:id="rId5"/>
    <sheet name="Guide tables" sheetId="7" state="hidden" r:id="rId6"/>
  </sheets>
  <definedNames>
    <definedName name="acres">#REF!</definedName>
    <definedName name="Boom_Sprayer">#REF!</definedName>
    <definedName name="Boom_Sprayer_SP">#REF!</definedName>
    <definedName name="BudgetActivities">#REF!</definedName>
    <definedName name="byyield">#REF!</definedName>
    <definedName name="Chisel_Plow">#REF!</definedName>
    <definedName name="Chisel_Plow_FD">#REF!</definedName>
    <definedName name="Comb_Disk_VRipper">#REF!</definedName>
    <definedName name="Comb_Fld_Cult_Incorp">#REF!</definedName>
    <definedName name="Combine_Size">#REF!</definedName>
    <definedName name="Cornhead_Size">#REF!</definedName>
    <definedName name="crop">#REF!</definedName>
    <definedName name="cropnum">#REF!</definedName>
    <definedName name="Crops">#REF!</definedName>
    <definedName name="Cultivator">#REF!</definedName>
    <definedName name="Cultivator_HR">#REF!</definedName>
    <definedName name="CustomActivities">#REF!</definedName>
    <definedName name="customhire2">#REF!,#REF!</definedName>
    <definedName name="CustomImps">#REF!</definedName>
    <definedName name="Disc_Mower">#REF!</definedName>
    <definedName name="Disk">#REF!</definedName>
    <definedName name="Disk_Mower">#REF!</definedName>
    <definedName name="drying">#REF!,#REF!</definedName>
    <definedName name="Field_Cultivator">#REF!</definedName>
    <definedName name="Grain_Auger">#REF!</definedName>
    <definedName name="Graincart">#REF!</definedName>
    <definedName name="Grainhead_Size">#REF!</definedName>
    <definedName name="Harrow">#REF!</definedName>
    <definedName name="hauling">#REF!,#REF!</definedName>
    <definedName name="herbicide2">#REF!,#REF!</definedName>
    <definedName name="import">#REF!</definedName>
    <definedName name="income">#REF!</definedName>
    <definedName name="insecticide2">#REF!,#REF!</definedName>
    <definedName name="Irrigation">#REF!</definedName>
    <definedName name="irrigation2">#REF!</definedName>
    <definedName name="lease_arrangement">#REF!</definedName>
    <definedName name="leasenum">#REF!</definedName>
    <definedName name="mdbvalues">#REF!,#REF!,#REF!,#REF!</definedName>
    <definedName name="Moldboard_Plow">#REF!</definedName>
    <definedName name="NoTill_Drill">#REF!</definedName>
    <definedName name="NoTill_Planter">#REF!</definedName>
    <definedName name="Passes">#REF!,#REF!,#REF!,#REF!</definedName>
    <definedName name="Planter">#REF!</definedName>
    <definedName name="postharvest">#REF!,#REF!,#REF!</definedName>
    <definedName name="power">#REF!,#REF!,#REF!,#REF!,#REF!,#REF!</definedName>
    <definedName name="Power_Size">#REF!</definedName>
    <definedName name="Presswheel_Drill">#REF!</definedName>
    <definedName name="price_selections">#REF!</definedName>
    <definedName name="Primary_Units">#REF!</definedName>
    <definedName name="primyield">#REF!</definedName>
    <definedName name="_xlnm.Print_Area" localSheetId="3">Layers!$B$1:$J$44</definedName>
    <definedName name="PUAlloc">#REF!</definedName>
    <definedName name="PUMiles">#REF!</definedName>
    <definedName name="rental">#REF!,#REF!,#REF!,#REF!</definedName>
    <definedName name="Roller_Bar_Rake">#REF!</definedName>
    <definedName name="Round_Baler_Tie">#REF!</definedName>
    <definedName name="seed2">#REF!,#REF!,#REF!</definedName>
    <definedName name="SemiAlloc">#REF!</definedName>
    <definedName name="SemiMiles">#REF!</definedName>
    <definedName name="Silage_Wrapper">#REF!</definedName>
    <definedName name="Soybeanhead_Size">#REF!</definedName>
    <definedName name="SplitRow_Planter">#REF!</definedName>
    <definedName name="ss">#REF!</definedName>
    <definedName name="storage">#REF!,#REF!</definedName>
    <definedName name="Swather_Mower_Conditioner">#REF!</definedName>
    <definedName name="Tandem_Disk">#REF!</definedName>
    <definedName name="TenWheelAlloc">#REF!</definedName>
    <definedName name="TenWheelMiles">#REF!</definedName>
    <definedName name="VRipper">#REF!</definedName>
    <definedName name="Wheel_Rake">#REF!</definedName>
    <definedName name="ww">#REF!</definedName>
    <definedName name="yiel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5" l="1"/>
  <c r="D19" i="7"/>
  <c r="C20" i="7"/>
  <c r="D17" i="7"/>
  <c r="J16" i="7" l="1"/>
  <c r="J15" i="7"/>
  <c r="J14" i="7"/>
  <c r="J13" i="7"/>
  <c r="J12" i="7"/>
  <c r="J11" i="7"/>
  <c r="J10" i="7"/>
  <c r="J9" i="7"/>
  <c r="J7" i="7"/>
  <c r="J6" i="7"/>
  <c r="D24" i="7"/>
  <c r="D23" i="7"/>
  <c r="D22" i="7"/>
  <c r="D21" i="7"/>
  <c r="D20" i="7"/>
  <c r="D18" i="7"/>
  <c r="D16" i="7"/>
  <c r="D15" i="7"/>
  <c r="D14" i="7"/>
  <c r="D13" i="7"/>
  <c r="D12" i="7"/>
  <c r="D11" i="7"/>
  <c r="D10" i="7"/>
  <c r="D9" i="7"/>
  <c r="D8" i="7"/>
  <c r="D7" i="7"/>
  <c r="D6" i="7"/>
  <c r="D5" i="7"/>
  <c r="D4" i="7"/>
  <c r="D3" i="7"/>
  <c r="E14" i="7"/>
  <c r="D6" i="3" l="1"/>
  <c r="E12" i="5"/>
  <c r="C12" i="5" l="1"/>
  <c r="K10" i="4" l="1"/>
  <c r="F17" i="4" s="1"/>
  <c r="K27" i="5" s="1"/>
  <c r="J10" i="4"/>
  <c r="F2" i="4" s="1"/>
  <c r="J27" i="5" s="1"/>
  <c r="E20" i="5"/>
  <c r="F20" i="5" s="1"/>
  <c r="E11" i="7" s="1"/>
  <c r="K28" i="5"/>
  <c r="F18" i="5" s="1"/>
  <c r="J28" i="5"/>
  <c r="E15" i="5"/>
  <c r="E14" i="5"/>
  <c r="E6" i="5"/>
  <c r="J4" i="7" s="1"/>
  <c r="E22" i="5"/>
  <c r="L16" i="4"/>
  <c r="N24" i="4" s="1"/>
  <c r="G12" i="4"/>
  <c r="G11" i="4"/>
  <c r="G10" i="4"/>
  <c r="G9" i="4"/>
  <c r="G7" i="4"/>
  <c r="G6" i="4"/>
  <c r="G5" i="4"/>
  <c r="G30" i="4"/>
  <c r="G29" i="4"/>
  <c r="G28" i="4"/>
  <c r="G27" i="4"/>
  <c r="G26" i="4"/>
  <c r="G25" i="4"/>
  <c r="G24" i="4"/>
  <c r="G22" i="4"/>
  <c r="G21" i="4"/>
  <c r="G20" i="4"/>
  <c r="G19" i="4"/>
  <c r="E28" i="5"/>
  <c r="E24" i="5"/>
  <c r="E21" i="5"/>
  <c r="C13" i="5"/>
  <c r="D19" i="6"/>
  <c r="F24" i="6" s="1"/>
  <c r="F16" i="5" s="1"/>
  <c r="E9" i="7" s="1"/>
  <c r="E4" i="6"/>
  <c r="E13" i="5"/>
  <c r="J8" i="7" s="1"/>
  <c r="E11" i="5"/>
  <c r="J5" i="7" s="1"/>
  <c r="K26" i="5"/>
  <c r="D13" i="5" s="1"/>
  <c r="L8" i="7" s="1"/>
  <c r="J26" i="5"/>
  <c r="M28" i="6"/>
  <c r="L28" i="6"/>
  <c r="M27" i="6"/>
  <c r="L27" i="6"/>
  <c r="Q25" i="6"/>
  <c r="P25" i="6"/>
  <c r="B13" i="5"/>
  <c r="J33" i="3"/>
  <c r="I27" i="3"/>
  <c r="H27" i="3"/>
  <c r="G27" i="3"/>
  <c r="F27" i="3"/>
  <c r="J26" i="3"/>
  <c r="J25" i="3"/>
  <c r="J24" i="3"/>
  <c r="J23" i="3"/>
  <c r="E5" i="5" l="1"/>
  <c r="J3" i="7"/>
  <c r="D14" i="5"/>
  <c r="G20" i="5"/>
  <c r="P27" i="6"/>
  <c r="G6" i="6" s="1"/>
  <c r="D6" i="5"/>
  <c r="D15" i="5"/>
  <c r="G16" i="5"/>
  <c r="D28" i="5"/>
  <c r="M24" i="4"/>
  <c r="C4" i="4" s="1"/>
  <c r="G4" i="4" s="1"/>
  <c r="G7" i="5"/>
  <c r="G17" i="5"/>
  <c r="G18" i="5"/>
  <c r="J27" i="3"/>
  <c r="P26" i="6"/>
  <c r="G5" i="6" s="1"/>
  <c r="G15" i="6" s="1"/>
  <c r="C23" i="4" s="1"/>
  <c r="C31" i="4" s="1"/>
  <c r="Q27" i="6"/>
  <c r="Q26" i="6"/>
  <c r="F15" i="6"/>
  <c r="C8" i="4" s="1"/>
  <c r="E24" i="6"/>
  <c r="D11" i="5" l="1"/>
  <c r="L5" i="7" s="1"/>
  <c r="L10" i="7"/>
  <c r="F28" i="5"/>
  <c r="E17" i="7" s="1"/>
  <c r="L13" i="7"/>
  <c r="F14" i="5"/>
  <c r="G14" i="5" s="1"/>
  <c r="L9" i="7"/>
  <c r="F6" i="5"/>
  <c r="E4" i="7" s="1"/>
  <c r="L4" i="7"/>
  <c r="D12" i="5"/>
  <c r="F15" i="5"/>
  <c r="G23" i="4"/>
  <c r="G31" i="4" s="1"/>
  <c r="F30" i="5" s="1"/>
  <c r="F31" i="4"/>
  <c r="F19" i="5" s="1"/>
  <c r="E13" i="7" s="1"/>
  <c r="G8" i="4"/>
  <c r="G13" i="4" s="1"/>
  <c r="C13" i="4"/>
  <c r="F13" i="4"/>
  <c r="G28" i="5" l="1"/>
  <c r="E7" i="7"/>
  <c r="F11" i="5"/>
  <c r="G6" i="5"/>
  <c r="F12" i="5"/>
  <c r="G12" i="5" s="1"/>
  <c r="L6" i="7"/>
  <c r="I48" i="5"/>
  <c r="E18" i="7"/>
  <c r="G15" i="5"/>
  <c r="E8" i="7"/>
  <c r="G19" i="5"/>
  <c r="G30" i="5"/>
  <c r="G11" i="5" l="1"/>
  <c r="D5" i="5"/>
  <c r="D21" i="5" s="1"/>
  <c r="F13" i="5"/>
  <c r="E6" i="7" s="1"/>
  <c r="F21" i="5" l="1"/>
  <c r="E10" i="7" s="1"/>
  <c r="L12" i="7"/>
  <c r="L3" i="7"/>
  <c r="F17" i="7" s="1"/>
  <c r="G13" i="5"/>
  <c r="F5" i="5"/>
  <c r="E3" i="7" s="1"/>
  <c r="L7" i="5"/>
  <c r="K9" i="5"/>
  <c r="L8" i="5"/>
  <c r="O5" i="5"/>
  <c r="M7" i="5"/>
  <c r="K7" i="5"/>
  <c r="K10" i="5"/>
  <c r="N8" i="5"/>
  <c r="N6" i="5"/>
  <c r="N5" i="5"/>
  <c r="N9" i="5"/>
  <c r="G21" i="5" l="1"/>
  <c r="F6" i="7"/>
  <c r="F14" i="7"/>
  <c r="F11" i="7"/>
  <c r="F9" i="7"/>
  <c r="F7" i="7"/>
  <c r="F13" i="7"/>
  <c r="F4" i="7"/>
  <c r="F18" i="7"/>
  <c r="F8" i="7"/>
  <c r="F10" i="7"/>
  <c r="F3" i="7"/>
  <c r="E5" i="7"/>
  <c r="O10" i="5"/>
  <c r="M6" i="5"/>
  <c r="O8" i="5"/>
  <c r="L6" i="5"/>
  <c r="M9" i="5"/>
  <c r="L10" i="5"/>
  <c r="M10" i="5"/>
  <c r="O11" i="5"/>
  <c r="N11" i="5"/>
  <c r="M11" i="5"/>
  <c r="N10" i="5"/>
  <c r="K8" i="5"/>
  <c r="O6" i="5"/>
  <c r="L9" i="5"/>
  <c r="K11" i="5"/>
  <c r="M5" i="5"/>
  <c r="O7" i="5"/>
  <c r="K6" i="5"/>
  <c r="L11" i="5"/>
  <c r="K5" i="5"/>
  <c r="L5" i="5"/>
  <c r="M8" i="5"/>
  <c r="O9" i="5"/>
  <c r="N7" i="5"/>
  <c r="G5" i="5"/>
  <c r="F8" i="5"/>
  <c r="L16" i="7" l="1"/>
  <c r="L15" i="7"/>
  <c r="F5" i="7"/>
  <c r="F22" i="5"/>
  <c r="E12" i="7" s="1"/>
  <c r="F12" i="7" s="1"/>
  <c r="G8" i="5"/>
  <c r="F29" i="5"/>
  <c r="E19" i="7" l="1"/>
  <c r="F31" i="5"/>
  <c r="G29" i="5"/>
  <c r="G22" i="5"/>
  <c r="F24" i="5"/>
  <c r="E15" i="7" s="1"/>
  <c r="F15" i="7" s="1"/>
  <c r="F19" i="7" l="1"/>
  <c r="E20" i="7"/>
  <c r="F20" i="7" s="1"/>
  <c r="F37" i="5"/>
  <c r="G37" i="5" s="1"/>
  <c r="G24" i="5"/>
  <c r="F25" i="5"/>
  <c r="G31" i="5"/>
  <c r="E16" i="7" l="1"/>
  <c r="F16" i="7" s="1"/>
  <c r="L14" i="7"/>
  <c r="G25" i="5"/>
  <c r="F35" i="5"/>
  <c r="G35" i="5" s="1"/>
  <c r="F33" i="5"/>
  <c r="E22" i="7" l="1"/>
  <c r="F22" i="7" s="1"/>
  <c r="F38" i="5"/>
  <c r="F25" i="7" s="1"/>
  <c r="E21" i="7"/>
  <c r="F39" i="5"/>
  <c r="F26" i="7" s="1"/>
  <c r="G33" i="5"/>
  <c r="F36" i="5"/>
  <c r="G36" i="5" s="1"/>
  <c r="F21" i="7" l="1"/>
  <c r="E24" i="7"/>
  <c r="F24" i="7" s="1"/>
  <c r="E23" i="7"/>
  <c r="F2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tc={9EF5610C-2A23-46B8-9DC1-9EB769501D93}</author>
    <author>tc={93C89CDA-191C-42B5-A4F1-AF3C6CAC4A5D}</author>
    <author>tc={A442B0CD-AA1B-4E7B-B5A3-57817FFC5450}</author>
  </authors>
  <commentList>
    <comment ref="B3" authorId="0" shapeId="0" xr:uid="{9EF5610C-2A23-46B8-9DC1-9EB769501D93}">
      <text>
        <t>[Threaded comment]
Your version of Excel allows you to read this threaded comment; however, any edits to it will get removed if the file is opened in a newer version of Excel. Learn more: https://go.microsoft.com/fwlink/?linkid=870924
Comment:
Brooder feed consumption about 1/20 pound per day</t>
      </text>
    </comment>
    <comment ref="D10" authorId="1" shapeId="0" xr:uid="{93C89CDA-191C-42B5-A4F1-AF3C6CAC4A5D}">
      <text>
        <t>[Threaded comment]
Your version of Excel allows you to read this threaded comment; however, any edits to it will get removed if the file is opened in a newer version of Excel. Learn more: https://go.microsoft.com/fwlink/?linkid=870924
Comment:
    Egg production varies by many factors, no supplemental lighting and egg laying breeds are assumed in the default inputs.</t>
      </text>
    </comment>
    <comment ref="H11" authorId="2" shapeId="0" xr:uid="{A442B0CD-AA1B-4E7B-B5A3-57817FFC5450}">
      <text>
        <t>[Threaded comment]
Your version of Excel allows you to read this threaded comment; however, any edits to it will get removed if the file is opened in a newer version of Excel. Learn more: https://go.microsoft.com/fwlink/?linkid=870924
Comment:
    Includes carton and labels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tc={71205659-4D3F-413D-9453-65C2EE515486}</author>
  </authors>
  <commentList>
    <comment ref="I5" authorId="0" shapeId="0" xr:uid="{71205659-4D3F-413D-9453-65C2EE515486}">
      <text>
        <t>[Threaded comment]
Your version of Excel allows you to read this threaded comment; however, any edits to it will get removed if the file is opened in a newer version of Excel. Learn more: https://go.microsoft.com/fwlink/?linkid=870924
Comment:
    Split line for cleaning and grading and packaging</t>
      </text>
    </comment>
  </commentList>
</comments>
</file>

<file path=xl/sharedStrings.xml><?xml version="1.0" encoding="utf-8"?>
<sst xmlns="http://schemas.openxmlformats.org/spreadsheetml/2006/main" count="389" uniqueCount="276">
  <si>
    <t>Tatijana Fisher - Lincoln University</t>
  </si>
  <si>
    <t>This worksheet is for educational purposes only and the user assumes all risks associated with its use.</t>
  </si>
  <si>
    <t>Input assumptions</t>
  </si>
  <si>
    <t>Technical parameters</t>
  </si>
  <si>
    <t>Unit</t>
  </si>
  <si>
    <t>Value</t>
  </si>
  <si>
    <t>Prices</t>
  </si>
  <si>
    <t>All budgets</t>
  </si>
  <si>
    <t>Egg layer</t>
  </si>
  <si>
    <t>$ per ton</t>
  </si>
  <si>
    <t>weeks</t>
  </si>
  <si>
    <t>$ per bag</t>
  </si>
  <si>
    <t>Brooding period</t>
  </si>
  <si>
    <t>Starter feed</t>
  </si>
  <si>
    <t>Hen laying age</t>
  </si>
  <si>
    <t>Hen cull age</t>
  </si>
  <si>
    <t>Labor</t>
  </si>
  <si>
    <t>$ per hour</t>
  </si>
  <si>
    <t>Operating interest</t>
  </si>
  <si>
    <t>Percent</t>
  </si>
  <si>
    <t>Annual laying duration</t>
  </si>
  <si>
    <t>Transportation</t>
  </si>
  <si>
    <t>$ per mile</t>
  </si>
  <si>
    <t>Duration of molting</t>
  </si>
  <si>
    <t>Electricity cost</t>
  </si>
  <si>
    <t>$ per kWh</t>
  </si>
  <si>
    <t>Feed consumption</t>
  </si>
  <si>
    <t>pounds/hen/day</t>
  </si>
  <si>
    <t>Egg packaging</t>
  </si>
  <si>
    <t>$ per dozen</t>
  </si>
  <si>
    <t>Death loss</t>
  </si>
  <si>
    <t>percent</t>
  </si>
  <si>
    <t>Land usage</t>
  </si>
  <si>
    <t>$ per acre</t>
  </si>
  <si>
    <t>Birds per acre</t>
  </si>
  <si>
    <t>Eggs layed per week</t>
  </si>
  <si>
    <t>eggs</t>
  </si>
  <si>
    <t>$ per head</t>
  </si>
  <si>
    <t>Spent hen resale</t>
  </si>
  <si>
    <t xml:space="preserve">Vet, medicine </t>
  </si>
  <si>
    <t>Annual cost per bird</t>
  </si>
  <si>
    <t>Fuel and Utilities - small scale</t>
  </si>
  <si>
    <t>$ per year</t>
  </si>
  <si>
    <t>Fuel and Utilities - medium scale</t>
  </si>
  <si>
    <t>Taxes</t>
  </si>
  <si>
    <t>Insurance on facilities and equipment</t>
  </si>
  <si>
    <t xml:space="preserve">Marketing expenses </t>
  </si>
  <si>
    <t>% of revenue</t>
  </si>
  <si>
    <t>Egg grading distribution</t>
  </si>
  <si>
    <t>AA</t>
  </si>
  <si>
    <t>A</t>
  </si>
  <si>
    <t>B</t>
  </si>
  <si>
    <t>Inedible</t>
  </si>
  <si>
    <t>Total</t>
  </si>
  <si>
    <t>Jumbo</t>
  </si>
  <si>
    <t>Extra large</t>
  </si>
  <si>
    <t>Large</t>
  </si>
  <si>
    <t>Medium</t>
  </si>
  <si>
    <t>Egg pricing</t>
  </si>
  <si>
    <t>Identities</t>
  </si>
  <si>
    <t>Days per year</t>
  </si>
  <si>
    <t>Days per week</t>
  </si>
  <si>
    <t>Ounces per pound</t>
  </si>
  <si>
    <t>Weighted average price</t>
  </si>
  <si>
    <t>Pounds of feed per bag</t>
  </si>
  <si>
    <t>Square feet per acre</t>
  </si>
  <si>
    <t>Corn (pounds/bushel)</t>
  </si>
  <si>
    <t>Small laying hen operation investments</t>
  </si>
  <si>
    <t>Number of hens</t>
  </si>
  <si>
    <t>hens</t>
  </si>
  <si>
    <t>Labor requirement</t>
  </si>
  <si>
    <t>hours per week</t>
  </si>
  <si>
    <t>Item</t>
  </si>
  <si>
    <t>Price</t>
  </si>
  <si>
    <t>Lifespan</t>
  </si>
  <si>
    <t>Salvage value</t>
  </si>
  <si>
    <t>Annual repair costs</t>
  </si>
  <si>
    <t>Annual ownership cost</t>
  </si>
  <si>
    <t>60 hen mobile house</t>
  </si>
  <si>
    <t>ATV*</t>
  </si>
  <si>
    <t>Water trailer</t>
  </si>
  <si>
    <t>Electric net fence</t>
  </si>
  <si>
    <t>UTV*</t>
  </si>
  <si>
    <t>Fence charger</t>
  </si>
  <si>
    <t>Brooder house</t>
  </si>
  <si>
    <t>Brooder box</t>
  </si>
  <si>
    <t>Egg cooler/refrigerator</t>
  </si>
  <si>
    <t>Egg baskets</t>
  </si>
  <si>
    <t>square feet</t>
  </si>
  <si>
    <t>Feed trailer</t>
  </si>
  <si>
    <t>Egg candler</t>
  </si>
  <si>
    <t>*50% of $6000 ATV</t>
  </si>
  <si>
    <t>Feed bin</t>
  </si>
  <si>
    <t>Egg washer</t>
  </si>
  <si>
    <t>Medium laying hen operation investments</t>
  </si>
  <si>
    <t>600 hen mobile house</t>
  </si>
  <si>
    <t>Tractor*</t>
  </si>
  <si>
    <t>Egg washer/grader</t>
  </si>
  <si>
    <t>Egg cooler</t>
  </si>
  <si>
    <t>*20% allocation of $25,000 used 60hp utility tractor</t>
  </si>
  <si>
    <t>*50% of $14500 ATV</t>
  </si>
  <si>
    <t>Small homemade tractor construction costs</t>
  </si>
  <si>
    <t>unit</t>
  </si>
  <si>
    <t>waste %</t>
  </si>
  <si>
    <t>Price per unit</t>
  </si>
  <si>
    <t>60 hen</t>
  </si>
  <si>
    <t>100 broiler</t>
  </si>
  <si>
    <t>Packaged building materials</t>
  </si>
  <si>
    <t>Construction labor</t>
  </si>
  <si>
    <t>hours</t>
  </si>
  <si>
    <t>2x4 lumber</t>
  </si>
  <si>
    <t>linear feet</t>
  </si>
  <si>
    <t>Nest boxes</t>
  </si>
  <si>
    <t>total</t>
  </si>
  <si>
    <t>Tarpaulin sheeting</t>
  </si>
  <si>
    <t>Poultry wire</t>
  </si>
  <si>
    <t>Bell waterers</t>
  </si>
  <si>
    <t>each</t>
  </si>
  <si>
    <t>4" PVC feeders</t>
  </si>
  <si>
    <t>per foot</t>
  </si>
  <si>
    <t>Hinges</t>
  </si>
  <si>
    <t>Mobile laying hen budget</t>
  </si>
  <si>
    <t>Production model</t>
  </si>
  <si>
    <t>Small</t>
  </si>
  <si>
    <t>Units</t>
  </si>
  <si>
    <t>Quantity</t>
  </si>
  <si>
    <t>Total per year</t>
  </si>
  <si>
    <t>Per hen</t>
  </si>
  <si>
    <t>Number of Birds</t>
  </si>
  <si>
    <t>Income</t>
  </si>
  <si>
    <t>Egg sales</t>
  </si>
  <si>
    <t>Dozen</t>
  </si>
  <si>
    <t>fuel and electricity</t>
  </si>
  <si>
    <t>Cull hens</t>
  </si>
  <si>
    <t>Hens</t>
  </si>
  <si>
    <t>Other income</t>
  </si>
  <si>
    <t>Total income</t>
  </si>
  <si>
    <t>Operating costs</t>
  </si>
  <si>
    <t>Hours</t>
  </si>
  <si>
    <t>Purchased chicks</t>
  </si>
  <si>
    <t>chicks</t>
  </si>
  <si>
    <t>Brooder operating costs</t>
  </si>
  <si>
    <t>$/year</t>
  </si>
  <si>
    <t>Veterinary and medicine</t>
  </si>
  <si>
    <t>Utilities and fuel</t>
  </si>
  <si>
    <t>Facility repair and maintenance</t>
  </si>
  <si>
    <t>Miles</t>
  </si>
  <si>
    <t>Marketing and miscellaneous</t>
  </si>
  <si>
    <t>Inspections and licensing</t>
  </si>
  <si>
    <t>Months</t>
  </si>
  <si>
    <t>Total operating costs</t>
  </si>
  <si>
    <t>Ownership costs</t>
  </si>
  <si>
    <t>Land costs</t>
  </si>
  <si>
    <t>acres</t>
  </si>
  <si>
    <t>Taxes and insurance</t>
  </si>
  <si>
    <t>Facilities and equipment ownership</t>
  </si>
  <si>
    <t>Total ownership costs</t>
  </si>
  <si>
    <t>Total costs</t>
  </si>
  <si>
    <t>Egg price sensitivity - Return over total cost</t>
  </si>
  <si>
    <t>% of planned egg sales</t>
  </si>
  <si>
    <t>non cash expenses</t>
  </si>
  <si>
    <t>% of expected egg price</t>
  </si>
  <si>
    <t>Brooder Construction Costs</t>
  </si>
  <si>
    <t>40 chick</t>
  </si>
  <si>
    <t>350 chick</t>
  </si>
  <si>
    <t>https://extension.colostate.edu/topic-areas/agriculture/brooding-and-space-requirements-for-poultry-2-502/</t>
  </si>
  <si>
    <t>https://cals.ncsu.edu/agricultural-and-resource-economics/wp-content/uploads/sites/46/2024/06/Organic_broilers_Small.xlsx</t>
  </si>
  <si>
    <t>https://openknowledge.fao.org/server/api/core/bitstreams/73edfce9-c9a1-4814-b907-d86917967ed3/content</t>
  </si>
  <si>
    <t>Large brooder design</t>
  </si>
  <si>
    <t>1/2" plywood</t>
  </si>
  <si>
    <t>https://www.uog.edu/_resources/files/extension/publications/Poultry_Production_Guide.pdf</t>
  </si>
  <si>
    <t>Heat lamps</t>
  </si>
  <si>
    <t>In-line thermostat</t>
  </si>
  <si>
    <t>week of empty time in brooder</t>
  </si>
  <si>
    <t>Ventilation fan</t>
  </si>
  <si>
    <t>Supplemental heat</t>
  </si>
  <si>
    <t>Brooder Operating Costs, per week</t>
  </si>
  <si>
    <t>Shavings</t>
  </si>
  <si>
    <t>Bundles</t>
  </si>
  <si>
    <t>Heat bulbs</t>
  </si>
  <si>
    <t>bulbs</t>
  </si>
  <si>
    <t>1 layer 4x8</t>
  </si>
  <si>
    <t>2 layer</t>
  </si>
  <si>
    <t>12'x20' building</t>
  </si>
  <si>
    <t>16 x 24 building</t>
  </si>
  <si>
    <t>width</t>
  </si>
  <si>
    <t>Electricity</t>
  </si>
  <si>
    <t>kWh per week</t>
  </si>
  <si>
    <t>length</t>
  </si>
  <si>
    <t>Miscellaneous</t>
  </si>
  <si>
    <t>$</t>
  </si>
  <si>
    <t>small building</t>
  </si>
  <si>
    <t xml:space="preserve">CLICK HERE TO RETURN TO YOUR DESIGN </t>
  </si>
  <si>
    <t>second tier</t>
  </si>
  <si>
    <t>large building</t>
  </si>
  <si>
    <t>small</t>
  </si>
  <si>
    <t>big</t>
  </si>
  <si>
    <t>per each</t>
  </si>
  <si>
    <t>legs</t>
  </si>
  <si>
    <t>sections</t>
  </si>
  <si>
    <t>studs</t>
  </si>
  <si>
    <t>decking</t>
  </si>
  <si>
    <t>HB frame</t>
  </si>
  <si>
    <t>heat boxes</t>
  </si>
  <si>
    <t>HB sheeting</t>
  </si>
  <si>
    <t>Replacement chicks</t>
  </si>
  <si>
    <t>50 lb bags</t>
  </si>
  <si>
    <t>Feeding and watering</t>
  </si>
  <si>
    <t>Egg gathering</t>
  </si>
  <si>
    <t>Egg cleaning and grading</t>
  </si>
  <si>
    <t>Tractor moving</t>
  </si>
  <si>
    <t>Administrative and management</t>
  </si>
  <si>
    <t>600 hen</t>
  </si>
  <si>
    <t>Labor requirement, hours per week</t>
  </si>
  <si>
    <t>Other production tasks</t>
  </si>
  <si>
    <t>Egg handling and packaging</t>
  </si>
  <si>
    <t>Grower feed</t>
  </si>
  <si>
    <t>Layer feed</t>
  </si>
  <si>
    <t>0-6 weeks</t>
  </si>
  <si>
    <t>18-21% CP</t>
  </si>
  <si>
    <t>6-18 weeks</t>
  </si>
  <si>
    <t>15% CP</t>
  </si>
  <si>
    <t xml:space="preserve">Laying on, </t>
  </si>
  <si>
    <t>16-18% CP</t>
  </si>
  <si>
    <t>Bulk delivery layer feed</t>
  </si>
  <si>
    <t>Bagged layer feed</t>
  </si>
  <si>
    <t>Income over operating costs</t>
  </si>
  <si>
    <t>Income over total costs</t>
  </si>
  <si>
    <t>Return to labor and investment</t>
  </si>
  <si>
    <t>Breakeven total cost per dozen</t>
  </si>
  <si>
    <t>Breakeven cost per dozen, without labor or facility costs</t>
  </si>
  <si>
    <t>Developed by: Drew Kientzy, Jennifer Lutes, Eric Meusch</t>
  </si>
  <si>
    <t xml:space="preserve"> and Heather Conrow - University of Missouri Extension</t>
  </si>
  <si>
    <t>Tatijana MFA rations</t>
  </si>
  <si>
    <t>Egg carton store cartons plus custom label stickers</t>
  </si>
  <si>
    <t>Leghorn cross hens</t>
  </si>
  <si>
    <t>Input</t>
  </si>
  <si>
    <t>Cost per unit</t>
  </si>
  <si>
    <t>Total feed cost</t>
  </si>
  <si>
    <t>per ton</t>
  </si>
  <si>
    <t>Day old chicks</t>
  </si>
  <si>
    <t>per mile</t>
  </si>
  <si>
    <t>Marketing</t>
  </si>
  <si>
    <t>Land expense</t>
  </si>
  <si>
    <t>Maintenance, fuel and utilities</t>
  </si>
  <si>
    <t>Interest rate</t>
  </si>
  <si>
    <t>percent APR</t>
  </si>
  <si>
    <t>percent of revenue</t>
  </si>
  <si>
    <t>Marketing expenses</t>
  </si>
  <si>
    <t>Total operating cost</t>
  </si>
  <si>
    <t>Facility ownership costs</t>
  </si>
  <si>
    <t>Total cost</t>
  </si>
  <si>
    <t>Income over operating cost</t>
  </si>
  <si>
    <t>Income over total cost</t>
  </si>
  <si>
    <t>Annual total, 60 hen</t>
  </si>
  <si>
    <t>Total per dozen, 60 hen</t>
  </si>
  <si>
    <t>Annual total, 600 hen</t>
  </si>
  <si>
    <t>Total per dozen, 600 hen</t>
  </si>
  <si>
    <t>60 hen quantity</t>
  </si>
  <si>
    <t>600 hen quantity</t>
  </si>
  <si>
    <t>dozen</t>
  </si>
  <si>
    <t>Total revenue</t>
  </si>
  <si>
    <t>Table 3. Costs and returns to mobile laying hen enterprise</t>
  </si>
  <si>
    <t>Table 4. Inputs used in mobile egg layer budget</t>
  </si>
  <si>
    <t>Egg packaging and labeling</t>
  </si>
  <si>
    <t>Breakeven egg price, without labor and facility costs</t>
  </si>
  <si>
    <t>per dozen</t>
  </si>
  <si>
    <t>Bulk layer feed</t>
  </si>
  <si>
    <t>Breakeven egg price per dozen</t>
  </si>
  <si>
    <t>Land use charge</t>
  </si>
  <si>
    <t>New 9/2025</t>
  </si>
  <si>
    <t>Mobile Laying Hen Planning Budget (extension.missouri.edu/publications/g741)</t>
  </si>
  <si>
    <t>Mobile Poultry for Meat Planning Budget (extension.missouri.edu/publications/g742)</t>
  </si>
  <si>
    <t>Mobile Laying Hen Budgets</t>
  </si>
  <si>
    <t>Google Sheet - Mobile Laying Hen Budget (muext.us/MobileEggSheet)</t>
  </si>
  <si>
    <t>Develop a custom enterprise budget for pasture-raised poultry in mobile houses. Navigate the tabs at the bottom of the window use the tool. Enter or modify grey filled cells to customize the budget to fit your farming situation. If you cannot use Microsoft Excel spreadsheets on your device, use the first link below to access this budget as a Google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</si>
</sst>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0.0"/>
    <numFmt numFmtId="165" formatCode="0.0%"/>
    <numFmt numFmtId="166" formatCode="&quot;$&quot;#,##0.00"/>
    <numFmt numFmtId="167" formatCode="_(* #,##0_);_(* \(#,##0\);_(* &quot;-&quot;??_);_(@_)"/>
    <numFmt numFmtId="168" formatCode="_(* #,##0.0_);_(* \(#,##0.0\);_(* &quot;-&quot;??_);_(@_)"/>
  </numFmts>
  <fonts count="33">
    <font>
      <sz val="11"/>
      <color theme="1"/>
      <name val="Aptos Narrow"/>
      <family val="2"/>
      <scheme val="minor"/>
    </font>
    <font>
      <sz val="11"/>
      <color theme="1"/>
      <name val="Aptos Narrow"/>
      <family val="2"/>
      <scheme val="minor"/>
    </font>
    <font>
      <b/>
      <sz val="11"/>
      <color rgb="FF3F3F3F"/>
      <name val="Aptos Narrow"/>
      <family val="2"/>
      <scheme val="minor"/>
    </font>
    <font>
      <sz val="12"/>
      <color theme="1"/>
      <name val="Aptos"/>
      <family val="2"/>
    </font>
    <font>
      <b/>
      <sz val="12"/>
      <color theme="1"/>
      <name val="Aptos"/>
      <family val="2"/>
    </font>
    <font>
      <b/>
      <sz val="12"/>
      <color rgb="FF3F3F3F"/>
      <name val="Aptos"/>
      <family val="2"/>
    </font>
    <font>
      <b/>
      <sz val="12"/>
      <color rgb="FFF1B82D"/>
      <name val="Aptos"/>
      <family val="2"/>
    </font>
    <font>
      <u/>
      <sz val="11"/>
      <color theme="10"/>
      <name val="Aptos Narrow"/>
      <family val="2"/>
      <scheme val="minor"/>
    </font>
    <font>
      <sz val="10"/>
      <name val="TimesNewRomanPS"/>
    </font>
    <font>
      <b/>
      <sz val="12"/>
      <name val="Aptos"/>
      <family val="2"/>
    </font>
    <font>
      <sz val="12"/>
      <name val="Aptos"/>
      <family val="2"/>
    </font>
    <font>
      <b/>
      <sz val="14"/>
      <color rgb="FFFFC000"/>
      <name val="Aptos"/>
      <family val="2"/>
    </font>
    <font>
      <u/>
      <sz val="12"/>
      <color theme="10"/>
      <name val="Aptos"/>
      <family val="2"/>
    </font>
    <font>
      <b/>
      <sz val="11"/>
      <color rgb="FFF1B82D"/>
      <name val="Aptos"/>
      <family val="2"/>
    </font>
    <font>
      <sz val="11"/>
      <name val="Aptos"/>
      <family val="2"/>
    </font>
    <font>
      <b/>
      <sz val="11"/>
      <name val="Aptos"/>
      <family val="2"/>
    </font>
    <font>
      <sz val="11"/>
      <color indexed="8"/>
      <name val="Aptos"/>
      <family val="2"/>
    </font>
    <font>
      <b/>
      <sz val="11"/>
      <color indexed="8"/>
      <name val="Aptos"/>
      <family val="2"/>
    </font>
    <font>
      <u/>
      <sz val="11"/>
      <color indexed="8"/>
      <name val="Aptos"/>
      <family val="2"/>
    </font>
    <font>
      <b/>
      <sz val="11"/>
      <color theme="1"/>
      <name val="Aptos Narrow"/>
      <family val="2"/>
      <scheme val="minor"/>
    </font>
    <font>
      <b/>
      <sz val="14"/>
      <color rgb="FFF1B82D"/>
      <name val="Aptos Black"/>
      <family val="2"/>
    </font>
    <font>
      <b/>
      <sz val="14"/>
      <color rgb="FFFFC000"/>
      <name val="Aptos Black"/>
      <family val="2"/>
    </font>
    <font>
      <sz val="11"/>
      <color theme="0"/>
      <name val="Aptos"/>
      <family val="2"/>
    </font>
    <font>
      <b/>
      <sz val="11"/>
      <color theme="0"/>
      <name val="Aptos"/>
      <family val="2"/>
    </font>
    <font>
      <b/>
      <sz val="11"/>
      <color rgb="FFFFC000"/>
      <name val="Aptos"/>
      <family val="2"/>
    </font>
    <font>
      <sz val="10"/>
      <name val="Aptos"/>
      <family val="2"/>
    </font>
    <font>
      <b/>
      <sz val="10"/>
      <name val="Aptos"/>
      <family val="2"/>
    </font>
    <font>
      <sz val="11"/>
      <color rgb="FFFFC000"/>
      <name val="Aptos Narrow"/>
      <family val="2"/>
      <scheme val="minor"/>
    </font>
    <font>
      <u/>
      <sz val="12"/>
      <color theme="10"/>
      <name val="Aptos Narrow"/>
      <family val="2"/>
      <scheme val="minor"/>
    </font>
    <font>
      <sz val="11"/>
      <color theme="1"/>
      <name val="Aptos"/>
      <family val="2"/>
    </font>
    <font>
      <sz val="12"/>
      <color theme="0"/>
      <name val="Aptos"/>
      <family val="2"/>
    </font>
    <font>
      <sz val="10"/>
      <color theme="1"/>
      <name val="Aptos"/>
      <family val="2"/>
    </font>
    <font>
      <u/>
      <sz val="11"/>
      <color theme="0"/>
      <name val="Aptos"/>
      <family val="2"/>
    </font>
  </fonts>
  <fills count="8">
    <fill>
      <patternFill patternType="none"/>
    </fill>
    <fill>
      <patternFill patternType="gray125"/>
    </fill>
    <fill>
      <patternFill patternType="solid">
        <fgColor rgb="FFF2F2F2"/>
      </patternFill>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4" tint="0.79998168889431442"/>
        <bgColor indexed="64"/>
      </patternFill>
    </fill>
  </fills>
  <borders count="32">
    <border>
      <left/>
      <right/>
      <top/>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 fillId="0" borderId="0"/>
    <xf numFmtId="0" fontId="7" fillId="0" borderId="0" applyNumberFormat="0" applyFill="0" applyBorder="0" applyAlignment="0" applyProtection="0"/>
    <xf numFmtId="0" fontId="8" fillId="0" borderId="0"/>
  </cellStyleXfs>
  <cellXfs count="256">
    <xf numFmtId="0" fontId="0" fillId="0" borderId="0" xfId="0"/>
    <xf numFmtId="0" fontId="3" fillId="0" borderId="0" xfId="0" applyFont="1"/>
    <xf numFmtId="0" fontId="3" fillId="0" borderId="0" xfId="0" applyFont="1" applyAlignment="1">
      <alignment wrapText="1"/>
    </xf>
    <xf numFmtId="0" fontId="5" fillId="2" borderId="4" xfId="4" applyFont="1" applyBorder="1" applyAlignment="1">
      <alignment wrapText="1"/>
    </xf>
    <xf numFmtId="0" fontId="5" fillId="4" borderId="0" xfId="4" applyFont="1" applyFill="1" applyBorder="1"/>
    <xf numFmtId="0" fontId="9" fillId="0" borderId="5" xfId="7" applyFont="1" applyBorder="1" applyAlignment="1">
      <alignment horizontal="left"/>
    </xf>
    <xf numFmtId="0" fontId="4" fillId="0" borderId="5" xfId="0" applyFont="1" applyBorder="1"/>
    <xf numFmtId="0" fontId="9" fillId="0" borderId="5" xfId="7" applyFont="1" applyBorder="1" applyAlignment="1">
      <alignment horizontal="center"/>
    </xf>
    <xf numFmtId="0" fontId="4" fillId="0" borderId="7" xfId="0" applyFont="1" applyBorder="1"/>
    <xf numFmtId="0" fontId="3" fillId="0" borderId="7" xfId="0" applyFont="1" applyBorder="1"/>
    <xf numFmtId="9" fontId="3" fillId="5" borderId="7" xfId="3" applyFont="1" applyFill="1" applyBorder="1"/>
    <xf numFmtId="0" fontId="3" fillId="5" borderId="0" xfId="0" applyFont="1" applyFill="1"/>
    <xf numFmtId="166" fontId="3" fillId="5" borderId="7" xfId="0" applyNumberFormat="1" applyFont="1" applyFill="1" applyBorder="1"/>
    <xf numFmtId="0" fontId="3" fillId="5" borderId="7" xfId="0" applyFont="1" applyFill="1" applyBorder="1"/>
    <xf numFmtId="0" fontId="10" fillId="5" borderId="7" xfId="7" applyFont="1" applyFill="1" applyBorder="1" applyAlignment="1">
      <alignment horizontal="right"/>
    </xf>
    <xf numFmtId="0" fontId="11" fillId="3" borderId="0" xfId="0" applyFont="1" applyFill="1"/>
    <xf numFmtId="0" fontId="3" fillId="0" borderId="8" xfId="0" applyFont="1" applyBorder="1"/>
    <xf numFmtId="0" fontId="3" fillId="5" borderId="9" xfId="0" applyFont="1" applyFill="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166" fontId="3" fillId="0" borderId="0" xfId="2" applyNumberFormat="1" applyFont="1" applyFill="1" applyBorder="1"/>
    <xf numFmtId="9" fontId="3" fillId="5" borderId="0" xfId="3" applyFont="1" applyFill="1" applyBorder="1"/>
    <xf numFmtId="166" fontId="3" fillId="0" borderId="12" xfId="0" applyNumberFormat="1" applyFont="1" applyBorder="1"/>
    <xf numFmtId="166" fontId="3" fillId="0" borderId="0" xfId="0" applyNumberFormat="1" applyFont="1"/>
    <xf numFmtId="166" fontId="3" fillId="5" borderId="0" xfId="2" applyNumberFormat="1" applyFont="1" applyFill="1" applyBorder="1"/>
    <xf numFmtId="0" fontId="3" fillId="0" borderId="13" xfId="0" applyFont="1" applyBorder="1"/>
    <xf numFmtId="166" fontId="3" fillId="0" borderId="14" xfId="0" applyNumberFormat="1" applyFont="1" applyBorder="1"/>
    <xf numFmtId="0" fontId="3" fillId="0" borderId="15" xfId="0" applyFont="1" applyBorder="1"/>
    <xf numFmtId="0" fontId="3" fillId="0" borderId="16" xfId="0" applyFont="1" applyBorder="1"/>
    <xf numFmtId="166" fontId="3" fillId="5" borderId="7" xfId="2" applyNumberFormat="1" applyFont="1" applyFill="1" applyBorder="1"/>
    <xf numFmtId="0" fontId="3" fillId="3" borderId="0" xfId="0" applyFont="1" applyFill="1"/>
    <xf numFmtId="9" fontId="3" fillId="0" borderId="0" xfId="3" applyFont="1"/>
    <xf numFmtId="0" fontId="12" fillId="0" borderId="0" xfId="6" applyFont="1"/>
    <xf numFmtId="0" fontId="0" fillId="0" borderId="7" xfId="0" applyBorder="1"/>
    <xf numFmtId="0" fontId="13" fillId="0" borderId="0" xfId="5" applyFont="1" applyAlignment="1">
      <alignment horizontal="center"/>
    </xf>
    <xf numFmtId="0" fontId="14" fillId="0" borderId="0" xfId="7" applyFont="1"/>
    <xf numFmtId="2" fontId="14" fillId="0" borderId="0" xfId="7" applyNumberFormat="1" applyFont="1" applyAlignment="1">
      <alignment horizontal="right"/>
    </xf>
    <xf numFmtId="0" fontId="14" fillId="5" borderId="0" xfId="7" applyFont="1" applyFill="1"/>
    <xf numFmtId="0" fontId="14" fillId="0" borderId="12" xfId="7" applyFont="1" applyBorder="1"/>
    <xf numFmtId="2" fontId="15" fillId="0" borderId="0" xfId="7" applyNumberFormat="1" applyFont="1" applyAlignment="1">
      <alignment horizontal="right"/>
    </xf>
    <xf numFmtId="0" fontId="14" fillId="0" borderId="21" xfId="7" applyFont="1" applyBorder="1"/>
    <xf numFmtId="0" fontId="15" fillId="0" borderId="5" xfId="7" applyFont="1" applyBorder="1" applyAlignment="1">
      <alignment horizontal="right"/>
    </xf>
    <xf numFmtId="2" fontId="15" fillId="0" borderId="5" xfId="7" applyNumberFormat="1" applyFont="1" applyBorder="1" applyAlignment="1">
      <alignment horizontal="right"/>
    </xf>
    <xf numFmtId="0" fontId="15" fillId="0" borderId="22" xfId="0" applyFont="1" applyBorder="1" applyAlignment="1">
      <alignment horizontal="right"/>
    </xf>
    <xf numFmtId="0" fontId="15" fillId="0" borderId="11" xfId="7" applyFont="1" applyBorder="1" applyAlignment="1">
      <alignment horizontal="left"/>
    </xf>
    <xf numFmtId="0" fontId="15" fillId="0" borderId="0" xfId="7" applyFont="1" applyAlignment="1">
      <alignment horizontal="right"/>
    </xf>
    <xf numFmtId="0" fontId="16" fillId="0" borderId="12" xfId="0" applyFont="1" applyBorder="1"/>
    <xf numFmtId="0" fontId="14" fillId="0" borderId="11" xfId="7" applyFont="1" applyBorder="1" applyAlignment="1">
      <alignment horizontal="left" indent="1"/>
    </xf>
    <xf numFmtId="164" fontId="14" fillId="0" borderId="0" xfId="7" applyNumberFormat="1" applyFont="1" applyAlignment="1" applyProtection="1">
      <alignment horizontal="right"/>
      <protection locked="0"/>
    </xf>
    <xf numFmtId="166" fontId="14" fillId="0" borderId="0" xfId="7" applyNumberFormat="1" applyFont="1" applyAlignment="1" applyProtection="1">
      <alignment horizontal="right"/>
      <protection locked="0"/>
    </xf>
    <xf numFmtId="166" fontId="14" fillId="0" borderId="0" xfId="7" applyNumberFormat="1" applyFont="1" applyAlignment="1">
      <alignment horizontal="right"/>
    </xf>
    <xf numFmtId="166" fontId="16" fillId="0" borderId="12" xfId="0" applyNumberFormat="1" applyFont="1" applyBorder="1" applyAlignment="1">
      <alignment horizontal="right"/>
    </xf>
    <xf numFmtId="2" fontId="14" fillId="0" borderId="11" xfId="7" applyNumberFormat="1" applyFont="1" applyBorder="1" applyAlignment="1">
      <alignment horizontal="left" indent="1"/>
    </xf>
    <xf numFmtId="166" fontId="14" fillId="6" borderId="7" xfId="7" applyNumberFormat="1" applyFont="1" applyFill="1" applyBorder="1" applyAlignment="1" applyProtection="1">
      <alignment horizontal="right"/>
      <protection locked="0"/>
    </xf>
    <xf numFmtId="166" fontId="16" fillId="0" borderId="14" xfId="0" applyNumberFormat="1" applyFont="1" applyBorder="1" applyAlignment="1">
      <alignment horizontal="right"/>
    </xf>
    <xf numFmtId="2" fontId="15" fillId="0" borderId="11" xfId="7" applyNumberFormat="1" applyFont="1" applyBorder="1" applyAlignment="1">
      <alignment horizontal="right"/>
    </xf>
    <xf numFmtId="2" fontId="14" fillId="0" borderId="0" xfId="7" applyNumberFormat="1" applyFont="1"/>
    <xf numFmtId="166" fontId="15" fillId="0" borderId="0" xfId="7" applyNumberFormat="1" applyFont="1" applyAlignment="1">
      <alignment horizontal="right"/>
    </xf>
    <xf numFmtId="166" fontId="17" fillId="0" borderId="12" xfId="0" applyNumberFormat="1" applyFont="1" applyBorder="1" applyAlignment="1">
      <alignment horizontal="right"/>
    </xf>
    <xf numFmtId="2" fontId="14" fillId="0" borderId="11" xfId="7" applyNumberFormat="1" applyFont="1" applyBorder="1" applyAlignment="1">
      <alignment horizontal="left"/>
    </xf>
    <xf numFmtId="0" fontId="16" fillId="0" borderId="12" xfId="0" applyFont="1" applyBorder="1" applyAlignment="1">
      <alignment horizontal="right"/>
    </xf>
    <xf numFmtId="2" fontId="15" fillId="0" borderId="11" xfId="7" applyNumberFormat="1" applyFont="1" applyBorder="1" applyAlignment="1">
      <alignment horizontal="left"/>
    </xf>
    <xf numFmtId="9" fontId="14" fillId="0" borderId="0" xfId="3" applyFont="1"/>
    <xf numFmtId="166" fontId="14" fillId="0" borderId="0" xfId="7" applyNumberFormat="1" applyFont="1" applyProtection="1">
      <protection locked="0"/>
    </xf>
    <xf numFmtId="164" fontId="14" fillId="0" borderId="0" xfId="7" applyNumberFormat="1" applyFont="1" applyAlignment="1">
      <alignment horizontal="right"/>
    </xf>
    <xf numFmtId="166" fontId="14" fillId="0" borderId="0" xfId="1" applyNumberFormat="1" applyFont="1" applyFill="1" applyBorder="1" applyAlignment="1" applyProtection="1">
      <alignment horizontal="right"/>
      <protection locked="0"/>
    </xf>
    <xf numFmtId="8" fontId="14" fillId="0" borderId="11" xfId="7" applyNumberFormat="1" applyFont="1" applyBorder="1" applyAlignment="1">
      <alignment horizontal="left" indent="1"/>
    </xf>
    <xf numFmtId="164" fontId="14" fillId="5" borderId="0" xfId="7" applyNumberFormat="1" applyFont="1" applyFill="1" applyAlignment="1">
      <alignment horizontal="right"/>
    </xf>
    <xf numFmtId="9" fontId="14" fillId="0" borderId="0" xfId="3" applyFont="1" applyProtection="1">
      <protection locked="0"/>
    </xf>
    <xf numFmtId="166" fontId="14" fillId="5" borderId="0" xfId="1" applyNumberFormat="1" applyFont="1" applyFill="1" applyBorder="1" applyAlignment="1" applyProtection="1">
      <alignment horizontal="right"/>
      <protection locked="0"/>
    </xf>
    <xf numFmtId="1" fontId="14" fillId="5" borderId="0" xfId="7" applyNumberFormat="1" applyFont="1" applyFill="1" applyAlignment="1">
      <alignment horizontal="right" indent="1"/>
    </xf>
    <xf numFmtId="166" fontId="14" fillId="0" borderId="7" xfId="1" applyNumberFormat="1" applyFont="1" applyFill="1" applyBorder="1" applyAlignment="1">
      <alignment horizontal="right"/>
    </xf>
    <xf numFmtId="2" fontId="14" fillId="0" borderId="0" xfId="7" applyNumberFormat="1" applyFont="1" applyAlignment="1">
      <alignment horizontal="left"/>
    </xf>
    <xf numFmtId="2" fontId="14" fillId="0" borderId="12" xfId="7" applyNumberFormat="1" applyFont="1" applyBorder="1" applyAlignment="1">
      <alignment horizontal="left"/>
    </xf>
    <xf numFmtId="2" fontId="15" fillId="0" borderId="12" xfId="7" applyNumberFormat="1" applyFont="1" applyBorder="1" applyAlignment="1">
      <alignment horizontal="right"/>
    </xf>
    <xf numFmtId="166" fontId="14" fillId="0" borderId="0" xfId="7" applyNumberFormat="1" applyFont="1"/>
    <xf numFmtId="43" fontId="14" fillId="0" borderId="0" xfId="7" applyNumberFormat="1" applyFont="1" applyProtection="1">
      <protection locked="0"/>
    </xf>
    <xf numFmtId="8" fontId="14" fillId="0" borderId="0" xfId="7" applyNumberFormat="1" applyFont="1" applyProtection="1">
      <protection locked="0"/>
    </xf>
    <xf numFmtId="166" fontId="14" fillId="0" borderId="7" xfId="1" applyNumberFormat="1" applyFont="1" applyFill="1" applyBorder="1" applyAlignment="1" applyProtection="1">
      <alignment horizontal="right"/>
      <protection locked="0"/>
    </xf>
    <xf numFmtId="2" fontId="15" fillId="0" borderId="11" xfId="7" applyNumberFormat="1" applyFont="1" applyBorder="1" applyAlignment="1">
      <alignment horizontal="right" indent="2"/>
    </xf>
    <xf numFmtId="0" fontId="18" fillId="0" borderId="12" xfId="0" applyFont="1" applyBorder="1" applyAlignment="1">
      <alignment horizontal="right"/>
    </xf>
    <xf numFmtId="2" fontId="14" fillId="0" borderId="13" xfId="7" applyNumberFormat="1" applyFont="1" applyBorder="1" applyAlignment="1">
      <alignment horizontal="left"/>
    </xf>
    <xf numFmtId="2" fontId="14" fillId="0" borderId="7" xfId="7" applyNumberFormat="1" applyFont="1" applyBorder="1" applyAlignment="1">
      <alignment horizontal="right"/>
    </xf>
    <xf numFmtId="2" fontId="14" fillId="0" borderId="7" xfId="7" applyNumberFormat="1" applyFont="1" applyBorder="1"/>
    <xf numFmtId="0" fontId="18" fillId="0" borderId="14" xfId="0" applyFont="1" applyBorder="1" applyAlignment="1">
      <alignment horizontal="right"/>
    </xf>
    <xf numFmtId="0" fontId="14" fillId="0" borderId="16" xfId="7" applyFont="1" applyBorder="1"/>
    <xf numFmtId="166" fontId="17" fillId="0" borderId="17" xfId="0" applyNumberFormat="1" applyFont="1" applyBorder="1" applyAlignment="1">
      <alignment horizontal="right"/>
    </xf>
    <xf numFmtId="9" fontId="15" fillId="0" borderId="7" xfId="3" applyFont="1" applyBorder="1" applyAlignment="1">
      <alignment horizontal="right"/>
    </xf>
    <xf numFmtId="9" fontId="15" fillId="0" borderId="7" xfId="3" applyFont="1" applyBorder="1"/>
    <xf numFmtId="9" fontId="15" fillId="0" borderId="25" xfId="3" applyFont="1" applyBorder="1"/>
    <xf numFmtId="9" fontId="15" fillId="0" borderId="24" xfId="3" applyFont="1" applyBorder="1"/>
    <xf numFmtId="166" fontId="14" fillId="0" borderId="24" xfId="7" applyNumberFormat="1" applyFont="1" applyBorder="1"/>
    <xf numFmtId="0" fontId="14" fillId="0" borderId="27" xfId="7" applyFont="1" applyBorder="1"/>
    <xf numFmtId="0" fontId="14" fillId="0" borderId="27" xfId="7" applyFont="1" applyBorder="1" applyAlignment="1">
      <alignment textRotation="90" wrapText="1"/>
    </xf>
    <xf numFmtId="166" fontId="14" fillId="7" borderId="0" xfId="7" applyNumberFormat="1" applyFont="1" applyFill="1"/>
    <xf numFmtId="166" fontId="14" fillId="0" borderId="7" xfId="7" applyNumberFormat="1" applyFont="1" applyBorder="1"/>
    <xf numFmtId="166" fontId="14" fillId="0" borderId="25" xfId="7" applyNumberFormat="1" applyFont="1" applyBorder="1"/>
    <xf numFmtId="43" fontId="14" fillId="0" borderId="0" xfId="7" applyNumberFormat="1" applyFont="1" applyAlignment="1">
      <alignment horizontal="right"/>
    </xf>
    <xf numFmtId="0" fontId="15" fillId="0" borderId="11" xfId="0" applyFont="1" applyBorder="1"/>
    <xf numFmtId="0" fontId="15" fillId="0" borderId="29" xfId="0" applyFont="1" applyBorder="1"/>
    <xf numFmtId="0" fontId="14" fillId="0" borderId="6" xfId="7" applyFont="1" applyBorder="1"/>
    <xf numFmtId="2" fontId="14" fillId="0" borderId="6" xfId="7" applyNumberFormat="1" applyFont="1" applyBorder="1" applyAlignment="1">
      <alignment horizontal="right"/>
    </xf>
    <xf numFmtId="166" fontId="15" fillId="0" borderId="6" xfId="7" applyNumberFormat="1" applyFont="1" applyBorder="1" applyAlignment="1">
      <alignment horizontal="right"/>
    </xf>
    <xf numFmtId="166" fontId="17" fillId="0" borderId="30" xfId="0" applyNumberFormat="1" applyFont="1" applyBorder="1" applyAlignment="1">
      <alignment horizontal="right"/>
    </xf>
    <xf numFmtId="0" fontId="15" fillId="0" borderId="15" xfId="7" applyFont="1" applyBorder="1"/>
    <xf numFmtId="166" fontId="15" fillId="0" borderId="16" xfId="7" applyNumberFormat="1" applyFont="1" applyBorder="1"/>
    <xf numFmtId="0" fontId="11" fillId="3" borderId="19" xfId="0" applyFont="1" applyFill="1" applyBorder="1"/>
    <xf numFmtId="0" fontId="11" fillId="3" borderId="20" xfId="0" applyFont="1" applyFill="1" applyBorder="1"/>
    <xf numFmtId="0" fontId="4" fillId="0" borderId="15" xfId="0" applyFont="1" applyBorder="1" applyAlignment="1">
      <alignment horizontal="right"/>
    </xf>
    <xf numFmtId="0" fontId="4" fillId="0" borderId="16" xfId="0" applyFont="1" applyBorder="1"/>
    <xf numFmtId="0" fontId="4" fillId="0" borderId="17" xfId="0" applyFont="1" applyBorder="1"/>
    <xf numFmtId="0" fontId="3" fillId="5" borderId="12" xfId="0" applyFont="1" applyFill="1" applyBorder="1"/>
    <xf numFmtId="0" fontId="3" fillId="5" borderId="14" xfId="0" applyFont="1" applyFill="1" applyBorder="1"/>
    <xf numFmtId="0" fontId="3" fillId="5" borderId="11" xfId="0" applyFont="1" applyFill="1" applyBorder="1"/>
    <xf numFmtId="9" fontId="4" fillId="0" borderId="5" xfId="3" applyFont="1" applyBorder="1"/>
    <xf numFmtId="0" fontId="20" fillId="3" borderId="8" xfId="5" applyFont="1" applyFill="1" applyBorder="1"/>
    <xf numFmtId="0" fontId="6" fillId="3" borderId="9" xfId="5" applyFont="1" applyFill="1" applyBorder="1"/>
    <xf numFmtId="0" fontId="6" fillId="3" borderId="19" xfId="5" applyFont="1" applyFill="1" applyBorder="1"/>
    <xf numFmtId="0" fontId="7" fillId="3" borderId="19" xfId="6" applyFill="1" applyBorder="1"/>
    <xf numFmtId="0" fontId="3" fillId="3" borderId="19" xfId="0" applyFont="1" applyFill="1" applyBorder="1"/>
    <xf numFmtId="0" fontId="3" fillId="3" borderId="20" xfId="0" applyFont="1" applyFill="1" applyBorder="1"/>
    <xf numFmtId="0" fontId="9" fillId="0" borderId="21" xfId="7" applyFont="1" applyBorder="1" applyAlignment="1">
      <alignment horizontal="left"/>
    </xf>
    <xf numFmtId="0" fontId="9" fillId="0" borderId="0" xfId="7" applyFont="1" applyAlignment="1">
      <alignment horizontal="center"/>
    </xf>
    <xf numFmtId="0" fontId="4" fillId="0" borderId="22" xfId="0" applyFont="1" applyBorder="1"/>
    <xf numFmtId="0" fontId="10" fillId="0" borderId="11" xfId="7" applyFont="1" applyBorder="1" applyAlignment="1">
      <alignment horizontal="left"/>
    </xf>
    <xf numFmtId="0" fontId="10" fillId="0" borderId="0" xfId="7" applyFont="1" applyAlignment="1">
      <alignment horizontal="left"/>
    </xf>
    <xf numFmtId="164" fontId="10" fillId="5" borderId="0" xfId="7" applyNumberFormat="1" applyFont="1" applyFill="1" applyAlignment="1" applyProtection="1">
      <alignment horizontal="right"/>
      <protection locked="0"/>
    </xf>
    <xf numFmtId="2" fontId="10" fillId="0" borderId="0" xfId="7" applyNumberFormat="1" applyFont="1" applyAlignment="1">
      <alignment horizontal="left"/>
    </xf>
    <xf numFmtId="40" fontId="10" fillId="0" borderId="0" xfId="7" applyNumberFormat="1" applyFont="1" applyAlignment="1" applyProtection="1">
      <alignment horizontal="right"/>
      <protection locked="0"/>
    </xf>
    <xf numFmtId="166" fontId="10" fillId="5" borderId="12" xfId="3" applyNumberFormat="1" applyFont="1" applyFill="1" applyBorder="1" applyAlignment="1">
      <alignment horizontal="right"/>
    </xf>
    <xf numFmtId="2" fontId="10" fillId="0" borderId="0" xfId="7" applyNumberFormat="1" applyFont="1" applyAlignment="1">
      <alignment horizontal="right"/>
    </xf>
    <xf numFmtId="166" fontId="10" fillId="5" borderId="12" xfId="7" applyNumberFormat="1" applyFont="1" applyFill="1" applyBorder="1" applyAlignment="1">
      <alignment horizontal="right"/>
    </xf>
    <xf numFmtId="0" fontId="10" fillId="5" borderId="0" xfId="7" applyFont="1" applyFill="1" applyAlignment="1" applyProtection="1">
      <alignment horizontal="right"/>
      <protection locked="0"/>
    </xf>
    <xf numFmtId="0" fontId="10" fillId="0" borderId="0" xfId="7" applyFont="1"/>
    <xf numFmtId="166" fontId="10" fillId="0" borderId="12" xfId="7" applyNumberFormat="1" applyFont="1" applyBorder="1" applyAlignment="1">
      <alignment horizontal="right"/>
    </xf>
    <xf numFmtId="164" fontId="10" fillId="0" borderId="0" xfId="7" applyNumberFormat="1" applyFont="1" applyAlignment="1" applyProtection="1">
      <alignment horizontal="right"/>
      <protection locked="0"/>
    </xf>
    <xf numFmtId="165" fontId="10" fillId="5" borderId="0" xfId="7" applyNumberFormat="1" applyFont="1" applyFill="1" applyAlignment="1" applyProtection="1">
      <alignment horizontal="right"/>
      <protection locked="0"/>
    </xf>
    <xf numFmtId="165" fontId="10" fillId="0" borderId="0" xfId="7" applyNumberFormat="1" applyFont="1" applyAlignment="1" applyProtection="1">
      <alignment horizontal="right"/>
      <protection locked="0"/>
    </xf>
    <xf numFmtId="43" fontId="10" fillId="5" borderId="0" xfId="1" applyFont="1" applyFill="1" applyBorder="1" applyAlignment="1" applyProtection="1">
      <alignment horizontal="right"/>
      <protection locked="0"/>
    </xf>
    <xf numFmtId="9" fontId="10" fillId="0" borderId="0" xfId="7" applyNumberFormat="1" applyFont="1" applyAlignment="1" applyProtection="1">
      <alignment horizontal="right"/>
      <protection locked="0"/>
    </xf>
    <xf numFmtId="2" fontId="10" fillId="5" borderId="0" xfId="7" applyNumberFormat="1" applyFont="1" applyFill="1" applyAlignment="1" applyProtection="1">
      <alignment horizontal="right"/>
      <protection locked="0"/>
    </xf>
    <xf numFmtId="9" fontId="10" fillId="5" borderId="0" xfId="3" applyFont="1" applyFill="1" applyBorder="1" applyAlignment="1">
      <alignment horizontal="left"/>
    </xf>
    <xf numFmtId="166" fontId="10" fillId="5" borderId="12" xfId="7" applyNumberFormat="1" applyFont="1" applyFill="1" applyBorder="1" applyAlignment="1" applyProtection="1">
      <alignment horizontal="right"/>
      <protection locked="0"/>
    </xf>
    <xf numFmtId="2" fontId="10" fillId="0" borderId="11" xfId="7" applyNumberFormat="1" applyFont="1" applyBorder="1" applyAlignment="1">
      <alignment horizontal="left"/>
    </xf>
    <xf numFmtId="0" fontId="9" fillId="0" borderId="0" xfId="7" applyFont="1" applyAlignment="1">
      <alignment horizontal="left"/>
    </xf>
    <xf numFmtId="0" fontId="10" fillId="5" borderId="0" xfId="7" applyFont="1" applyFill="1" applyAlignment="1">
      <alignment horizontal="right"/>
    </xf>
    <xf numFmtId="40" fontId="10" fillId="0" borderId="12" xfId="7" applyNumberFormat="1" applyFont="1" applyBorder="1" applyAlignment="1" applyProtection="1">
      <alignment horizontal="right"/>
      <protection locked="0"/>
    </xf>
    <xf numFmtId="8" fontId="10" fillId="0" borderId="0" xfId="7" applyNumberFormat="1" applyFont="1" applyAlignment="1">
      <alignment horizontal="left"/>
    </xf>
    <xf numFmtId="2" fontId="10" fillId="0" borderId="0" xfId="7" applyNumberFormat="1" applyFont="1"/>
    <xf numFmtId="9" fontId="10" fillId="5" borderId="0" xfId="3" applyFont="1" applyFill="1" applyBorder="1"/>
    <xf numFmtId="9" fontId="10" fillId="5" borderId="0" xfId="3" applyFont="1" applyFill="1" applyBorder="1" applyAlignment="1"/>
    <xf numFmtId="0" fontId="10" fillId="0" borderId="11" xfId="0" applyFont="1" applyBorder="1" applyAlignment="1">
      <alignment vertical="center" wrapText="1"/>
    </xf>
    <xf numFmtId="0" fontId="4" fillId="0" borderId="14" xfId="0" applyFont="1" applyBorder="1"/>
    <xf numFmtId="9" fontId="4" fillId="0" borderId="12" xfId="3" applyFont="1" applyBorder="1"/>
    <xf numFmtId="9" fontId="4" fillId="0" borderId="14" xfId="3" applyFont="1" applyBorder="1"/>
    <xf numFmtId="9" fontId="4" fillId="0" borderId="22" xfId="3" applyFont="1" applyBorder="1"/>
    <xf numFmtId="0" fontId="3" fillId="0" borderId="14" xfId="0" applyFont="1" applyBorder="1"/>
    <xf numFmtId="166" fontId="3" fillId="5" borderId="0" xfId="0" applyNumberFormat="1" applyFont="1" applyFill="1"/>
    <xf numFmtId="166" fontId="3" fillId="5" borderId="12" xfId="0" applyNumberFormat="1" applyFont="1" applyFill="1" applyBorder="1"/>
    <xf numFmtId="166" fontId="3" fillId="5" borderId="14" xfId="0" applyNumberFormat="1" applyFont="1" applyFill="1" applyBorder="1"/>
    <xf numFmtId="166" fontId="4" fillId="0" borderId="17" xfId="0" applyNumberFormat="1" applyFont="1" applyBorder="1"/>
    <xf numFmtId="0" fontId="21" fillId="3" borderId="0" xfId="0" applyFont="1" applyFill="1"/>
    <xf numFmtId="0" fontId="21" fillId="3" borderId="18" xfId="0" applyFont="1" applyFill="1" applyBorder="1"/>
    <xf numFmtId="0" fontId="4" fillId="0" borderId="15" xfId="0" applyFont="1" applyBorder="1"/>
    <xf numFmtId="166" fontId="4" fillId="0" borderId="16" xfId="2" applyNumberFormat="1" applyFont="1" applyBorder="1"/>
    <xf numFmtId="9" fontId="4" fillId="0" borderId="16" xfId="3" applyFont="1" applyBorder="1"/>
    <xf numFmtId="166" fontId="4" fillId="0" borderId="16" xfId="3" applyNumberFormat="1" applyFont="1" applyBorder="1"/>
    <xf numFmtId="0" fontId="22" fillId="0" borderId="0" xfId="7" applyFont="1"/>
    <xf numFmtId="2" fontId="23" fillId="0" borderId="0" xfId="7" applyNumberFormat="1" applyFont="1" applyAlignment="1">
      <alignment horizontal="right"/>
    </xf>
    <xf numFmtId="2" fontId="22" fillId="0" borderId="0" xfId="7" applyNumberFormat="1" applyFont="1" applyAlignment="1">
      <alignment horizontal="right"/>
    </xf>
    <xf numFmtId="40" fontId="22" fillId="0" borderId="0" xfId="7" applyNumberFormat="1" applyFont="1"/>
    <xf numFmtId="166" fontId="22" fillId="0" borderId="0" xfId="7" applyNumberFormat="1" applyFont="1"/>
    <xf numFmtId="166" fontId="23" fillId="0" borderId="0" xfId="7" applyNumberFormat="1" applyFont="1" applyAlignment="1">
      <alignment horizontal="right"/>
    </xf>
    <xf numFmtId="2" fontId="22" fillId="0" borderId="0" xfId="7" applyNumberFormat="1" applyFont="1" applyAlignment="1">
      <alignment horizontal="left"/>
    </xf>
    <xf numFmtId="9" fontId="22" fillId="0" borderId="0" xfId="3" applyFont="1"/>
    <xf numFmtId="9" fontId="14" fillId="0" borderId="0" xfId="3" applyFont="1" applyFill="1"/>
    <xf numFmtId="0" fontId="21" fillId="3" borderId="26" xfId="7" applyFont="1" applyFill="1" applyBorder="1" applyAlignment="1">
      <alignment horizontal="left"/>
    </xf>
    <xf numFmtId="0" fontId="24" fillId="3" borderId="6" xfId="7" applyFont="1" applyFill="1" applyBorder="1"/>
    <xf numFmtId="0" fontId="24" fillId="3" borderId="23" xfId="7" applyFont="1" applyFill="1" applyBorder="1"/>
    <xf numFmtId="166" fontId="0" fillId="0" borderId="0" xfId="0" applyNumberFormat="1"/>
    <xf numFmtId="167" fontId="10" fillId="5" borderId="12" xfId="1" applyNumberFormat="1" applyFont="1" applyFill="1" applyBorder="1" applyAlignment="1" applyProtection="1">
      <alignment horizontal="right"/>
      <protection locked="0"/>
    </xf>
    <xf numFmtId="0" fontId="15" fillId="0" borderId="0" xfId="7" applyFont="1" applyAlignment="1">
      <alignment horizontal="center" vertical="center" textRotation="90" wrapText="1"/>
    </xf>
    <xf numFmtId="9" fontId="15" fillId="0" borderId="0" xfId="3" applyFont="1" applyBorder="1"/>
    <xf numFmtId="2" fontId="15" fillId="0" borderId="0" xfId="7" applyNumberFormat="1" applyFont="1" applyAlignment="1">
      <alignment horizontal="left"/>
    </xf>
    <xf numFmtId="0" fontId="15" fillId="0" borderId="16" xfId="7" applyFont="1" applyBorder="1"/>
    <xf numFmtId="166" fontId="15" fillId="0" borderId="17" xfId="7" applyNumberFormat="1" applyFont="1" applyBorder="1"/>
    <xf numFmtId="0" fontId="25" fillId="0" borderId="0" xfId="7" applyFont="1" applyAlignment="1">
      <alignment horizontal="right"/>
    </xf>
    <xf numFmtId="2" fontId="25" fillId="0" borderId="0" xfId="7" applyNumberFormat="1" applyFont="1" applyAlignment="1">
      <alignment horizontal="right"/>
    </xf>
    <xf numFmtId="0" fontId="26" fillId="0" borderId="0" xfId="7" applyFont="1" applyAlignment="1">
      <alignment horizontal="right"/>
    </xf>
    <xf numFmtId="2" fontId="25" fillId="0" borderId="0" xfId="7" applyNumberFormat="1" applyFont="1" applyAlignment="1">
      <alignment horizontal="right" indent="1"/>
    </xf>
    <xf numFmtId="0" fontId="4" fillId="0" borderId="0" xfId="0" applyFont="1" applyAlignment="1">
      <alignment wrapText="1"/>
    </xf>
    <xf numFmtId="0" fontId="4" fillId="0" borderId="0" xfId="0" applyFont="1" applyAlignment="1">
      <alignment horizontal="left" wrapText="1" indent="11"/>
    </xf>
    <xf numFmtId="0" fontId="4" fillId="0" borderId="0" xfId="0" applyFont="1" applyAlignment="1">
      <alignment horizontal="left" indent="11"/>
    </xf>
    <xf numFmtId="0" fontId="0" fillId="0" borderId="0" xfId="0" applyAlignment="1">
      <alignment wrapText="1"/>
    </xf>
    <xf numFmtId="0" fontId="19" fillId="0" borderId="7" xfId="0" applyFont="1" applyBorder="1" applyAlignment="1">
      <alignment wrapText="1"/>
    </xf>
    <xf numFmtId="166" fontId="0" fillId="0" borderId="7" xfId="0" applyNumberFormat="1" applyBorder="1"/>
    <xf numFmtId="2" fontId="0" fillId="0" borderId="0" xfId="0" applyNumberFormat="1"/>
    <xf numFmtId="9" fontId="0" fillId="0" borderId="0" xfId="3" applyFont="1"/>
    <xf numFmtId="9" fontId="0" fillId="0" borderId="7" xfId="3" applyFont="1" applyBorder="1"/>
    <xf numFmtId="0" fontId="0" fillId="0" borderId="5" xfId="0" applyBorder="1"/>
    <xf numFmtId="166" fontId="0" fillId="0" borderId="5" xfId="0" applyNumberFormat="1" applyBorder="1"/>
    <xf numFmtId="0" fontId="0" fillId="0" borderId="6" xfId="0" applyBorder="1"/>
    <xf numFmtId="166" fontId="0" fillId="0" borderId="6" xfId="0" applyNumberFormat="1" applyBorder="1"/>
    <xf numFmtId="0" fontId="0" fillId="0" borderId="6" xfId="0" applyBorder="1" applyAlignment="1">
      <alignment horizontal="right"/>
    </xf>
    <xf numFmtId="166" fontId="0" fillId="0" borderId="6" xfId="0" applyNumberFormat="1" applyBorder="1" applyAlignment="1">
      <alignment horizontal="right"/>
    </xf>
    <xf numFmtId="0" fontId="0" fillId="0" borderId="7" xfId="0" applyBorder="1" applyAlignment="1">
      <alignment horizontal="right"/>
    </xf>
    <xf numFmtId="166" fontId="0" fillId="0" borderId="7" xfId="0" applyNumberFormat="1" applyBorder="1" applyAlignment="1">
      <alignment horizontal="right"/>
    </xf>
    <xf numFmtId="166" fontId="10" fillId="5" borderId="0" xfId="7" applyNumberFormat="1" applyFont="1" applyFill="1" applyAlignment="1" applyProtection="1">
      <alignment horizontal="right"/>
      <protection locked="0"/>
    </xf>
    <xf numFmtId="166" fontId="10" fillId="5" borderId="0" xfId="1" applyNumberFormat="1" applyFont="1" applyFill="1" applyBorder="1" applyAlignment="1" applyProtection="1">
      <alignment horizontal="right"/>
      <protection locked="0"/>
    </xf>
    <xf numFmtId="168" fontId="0" fillId="0" borderId="0" xfId="1" applyNumberFormat="1" applyFont="1"/>
    <xf numFmtId="168" fontId="14" fillId="0" borderId="0" xfId="7" applyNumberFormat="1" applyFont="1" applyAlignment="1">
      <alignment horizontal="right"/>
    </xf>
    <xf numFmtId="168" fontId="14" fillId="0" borderId="0" xfId="1" applyNumberFormat="1" applyFont="1" applyFill="1" applyBorder="1" applyAlignment="1" applyProtection="1">
      <alignment horizontal="left" indent="2"/>
      <protection locked="0"/>
    </xf>
    <xf numFmtId="0" fontId="28" fillId="0" borderId="0" xfId="6" applyFont="1"/>
    <xf numFmtId="0" fontId="3" fillId="0" borderId="11" xfId="0" applyFont="1" applyBorder="1" applyAlignment="1">
      <alignment wrapText="1"/>
    </xf>
    <xf numFmtId="0" fontId="29" fillId="0" borderId="13" xfId="0" applyFont="1" applyBorder="1"/>
    <xf numFmtId="0" fontId="29" fillId="0" borderId="0" xfId="0" applyFont="1"/>
    <xf numFmtId="168" fontId="3" fillId="5" borderId="0" xfId="1" applyNumberFormat="1" applyFont="1" applyFill="1"/>
    <xf numFmtId="168" fontId="3" fillId="5" borderId="12" xfId="1" applyNumberFormat="1" applyFont="1" applyFill="1" applyBorder="1"/>
    <xf numFmtId="166" fontId="30" fillId="0" borderId="7" xfId="0" applyNumberFormat="1" applyFont="1" applyBorder="1"/>
    <xf numFmtId="166" fontId="4" fillId="0" borderId="16" xfId="0" applyNumberFormat="1" applyFont="1" applyBorder="1"/>
    <xf numFmtId="0" fontId="31" fillId="0" borderId="0" xfId="0" applyFont="1"/>
    <xf numFmtId="0" fontId="31" fillId="0" borderId="7" xfId="0" applyFont="1" applyBorder="1"/>
    <xf numFmtId="43" fontId="3" fillId="5" borderId="0" xfId="1" applyFont="1" applyFill="1"/>
    <xf numFmtId="166" fontId="3" fillId="5" borderId="12" xfId="1" applyNumberFormat="1" applyFont="1" applyFill="1" applyBorder="1"/>
    <xf numFmtId="167" fontId="3" fillId="5" borderId="0" xfId="1" applyNumberFormat="1" applyFont="1" applyFill="1"/>
    <xf numFmtId="167" fontId="3" fillId="5" borderId="12" xfId="1" applyNumberFormat="1" applyFont="1" applyFill="1" applyBorder="1"/>
    <xf numFmtId="167" fontId="3" fillId="5" borderId="7" xfId="1" applyNumberFormat="1" applyFont="1" applyFill="1" applyBorder="1"/>
    <xf numFmtId="167" fontId="3" fillId="5" borderId="14" xfId="1" applyNumberFormat="1" applyFont="1" applyFill="1" applyBorder="1"/>
    <xf numFmtId="0" fontId="22" fillId="0" borderId="0" xfId="0" applyFont="1"/>
    <xf numFmtId="0" fontId="32" fillId="0" borderId="0" xfId="6" applyFont="1"/>
    <xf numFmtId="1" fontId="22" fillId="0" borderId="0" xfId="0" applyNumberFormat="1" applyFont="1"/>
    <xf numFmtId="0" fontId="24" fillId="3" borderId="19" xfId="0" applyFont="1" applyFill="1" applyBorder="1"/>
    <xf numFmtId="0" fontId="24" fillId="3" borderId="20" xfId="0" applyFont="1" applyFill="1" applyBorder="1"/>
    <xf numFmtId="43" fontId="3" fillId="5" borderId="12" xfId="1" applyFont="1" applyFill="1" applyBorder="1"/>
    <xf numFmtId="43" fontId="3" fillId="5" borderId="7" xfId="1" applyFont="1" applyFill="1" applyBorder="1"/>
    <xf numFmtId="43" fontId="3" fillId="5" borderId="14" xfId="1" applyFont="1" applyFill="1" applyBorder="1"/>
    <xf numFmtId="0" fontId="20" fillId="3" borderId="2" xfId="5" applyFont="1" applyFill="1" applyBorder="1" applyAlignment="1">
      <alignment horizontal="center"/>
    </xf>
    <xf numFmtId="0" fontId="20" fillId="3" borderId="3" xfId="5" applyFont="1" applyFill="1" applyBorder="1" applyAlignment="1">
      <alignment horizontal="center"/>
    </xf>
    <xf numFmtId="0" fontId="3" fillId="0" borderId="0" xfId="0" applyFont="1" applyAlignment="1">
      <alignment horizontal="right"/>
    </xf>
    <xf numFmtId="0" fontId="3" fillId="0" borderId="0" xfId="0" applyFont="1"/>
    <xf numFmtId="0" fontId="6" fillId="3" borderId="2" xfId="0" applyFont="1" applyFill="1" applyBorder="1"/>
    <xf numFmtId="0" fontId="6" fillId="3" borderId="3" xfId="0" applyFont="1" applyFill="1" applyBorder="1"/>
    <xf numFmtId="0" fontId="4" fillId="0" borderId="31" xfId="0" applyFont="1" applyBorder="1" applyAlignment="1">
      <alignment horizontal="right" vertical="top"/>
    </xf>
    <xf numFmtId="2" fontId="10" fillId="0" borderId="0" xfId="7" applyNumberFormat="1" applyFont="1" applyAlignment="1">
      <alignment horizontal="right"/>
    </xf>
    <xf numFmtId="0" fontId="20" fillId="3" borderId="18" xfId="5" applyFont="1" applyFill="1" applyBorder="1" applyAlignment="1">
      <alignment horizontal="center"/>
    </xf>
    <xf numFmtId="0" fontId="20" fillId="3" borderId="19" xfId="5" applyFont="1" applyFill="1" applyBorder="1" applyAlignment="1">
      <alignment horizontal="center"/>
    </xf>
    <xf numFmtId="0" fontId="20" fillId="3" borderId="20" xfId="5" applyFont="1" applyFill="1" applyBorder="1" applyAlignment="1">
      <alignment horizontal="center"/>
    </xf>
    <xf numFmtId="0" fontId="14" fillId="0" borderId="11" xfId="7" applyFont="1" applyBorder="1" applyAlignment="1">
      <alignment horizontal="left"/>
    </xf>
    <xf numFmtId="0" fontId="14" fillId="0" borderId="0" xfId="7" applyFont="1" applyAlignment="1">
      <alignment horizontal="left"/>
    </xf>
    <xf numFmtId="2" fontId="15" fillId="0" borderId="0" xfId="7" applyNumberFormat="1" applyFont="1" applyAlignment="1">
      <alignment horizontal="center"/>
    </xf>
    <xf numFmtId="2" fontId="15" fillId="0" borderId="24" xfId="7" applyNumberFormat="1" applyFont="1" applyBorder="1" applyAlignment="1">
      <alignment horizontal="center"/>
    </xf>
    <xf numFmtId="0" fontId="15" fillId="0" borderId="27" xfId="7" applyFont="1" applyBorder="1" applyAlignment="1">
      <alignment horizontal="center" vertical="center" textRotation="90" wrapText="1"/>
    </xf>
    <xf numFmtId="0" fontId="15" fillId="0" borderId="28" xfId="7" applyFont="1" applyBorder="1" applyAlignment="1">
      <alignment horizontal="center" vertical="center" textRotation="90" wrapText="1"/>
    </xf>
    <xf numFmtId="0" fontId="27" fillId="3" borderId="0" xfId="0" applyFont="1" applyFill="1" applyAlignment="1">
      <alignment horizontal="center"/>
    </xf>
  </cellXfs>
  <cellStyles count="8">
    <cellStyle name="Comma" xfId="1" builtinId="3"/>
    <cellStyle name="Currency" xfId="2" builtinId="4"/>
    <cellStyle name="Hyperlink" xfId="6" builtinId="8"/>
    <cellStyle name="Normal" xfId="0" builtinId="0"/>
    <cellStyle name="Normal 2" xfId="7" xr:uid="{A3923445-A8DF-432B-B75B-CEC5BBDD5321}"/>
    <cellStyle name="Normal 2 2" xfId="5" xr:uid="{FA6DEFFD-837C-4DE8-B716-0CC722C74A8A}"/>
    <cellStyle name="Output" xfId="4" builtinId="21"/>
    <cellStyle name="Percent" xfId="3" builtinId="5"/>
  </cellStyles>
  <dxfs count="3">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4638675</xdr:colOff>
      <xdr:row>3</xdr:row>
      <xdr:rowOff>16225</xdr:rowOff>
    </xdr:from>
    <xdr:to>
      <xdr:col>4</xdr:col>
      <xdr:colOff>76200</xdr:colOff>
      <xdr:row>6</xdr:row>
      <xdr:rowOff>137100</xdr:rowOff>
    </xdr:to>
    <xdr:pic>
      <xdr:nvPicPr>
        <xdr:cNvPr id="2" name="Picture 1">
          <a:extLst>
            <a:ext uri="{FF2B5EF4-FFF2-40B4-BE49-F238E27FC236}">
              <a16:creationId xmlns:a16="http://schemas.microsoft.com/office/drawing/2014/main" id="{922A2352-669D-41DF-849D-801A0BBF80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673450"/>
          <a:ext cx="2295525" cy="720950"/>
        </a:xfrm>
        <a:prstGeom prst="rect">
          <a:avLst/>
        </a:prstGeom>
      </xdr:spPr>
    </xdr:pic>
    <xdr:clientData/>
  </xdr:twoCellAnchor>
  <xdr:twoCellAnchor editAs="oneCell">
    <xdr:from>
      <xdr:col>2</xdr:col>
      <xdr:colOff>4876799</xdr:colOff>
      <xdr:row>6</xdr:row>
      <xdr:rowOff>59340</xdr:rowOff>
    </xdr:from>
    <xdr:to>
      <xdr:col>3</xdr:col>
      <xdr:colOff>809625</xdr:colOff>
      <xdr:row>8</xdr:row>
      <xdr:rowOff>8286</xdr:rowOff>
    </xdr:to>
    <xdr:pic>
      <xdr:nvPicPr>
        <xdr:cNvPr id="3" name="Picture 2">
          <a:extLst>
            <a:ext uri="{FF2B5EF4-FFF2-40B4-BE49-F238E27FC236}">
              <a16:creationId xmlns:a16="http://schemas.microsoft.com/office/drawing/2014/main" id="{FBDB3836-96B4-4773-97A4-41CD60080E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9774" y="1316640"/>
          <a:ext cx="1676401" cy="65379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ientzy, Andrew" id="{DBE30810-E19F-4D18-9322-565352E3C033}" userId="S::dskvnq@umsystem.edu::a3cafd4d-1261-4059-a3b4-924fe5b6a59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3" dT="2025-09-18T15:43:16.89" personId="{DBE30810-E19F-4D18-9322-565352E3C033}" id="{9EF5610C-2A23-46B8-9DC1-9EB769501D93}">
    <text xml:space="preserve">
Brooder feed consumption about 1/20 pound per day</text>
  </threadedComment>
  <threadedComment ref="D10" dT="2025-07-11T16:20:56.16" personId="{DBE30810-E19F-4D18-9322-565352E3C033}" id="{93C89CDA-191C-42B5-A4F1-AF3C6CAC4A5D}">
    <text>Egg production varies by many factors, no supplemental lighting and egg laying breeds are assumed in the default inputs.</text>
  </threadedComment>
  <threadedComment ref="H11" dT="2025-07-11T16:50:03.02" personId="{DBE30810-E19F-4D18-9322-565352E3C033}" id="{A442B0CD-AA1B-4E7B-B5A3-57817FFC5450}">
    <text>Includes carton and labels</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5-07-11T16:27:48.93" personId="{DBE30810-E19F-4D18-9322-565352E3C033}" id="{71205659-4D3F-413D-9453-65C2EE515486}">
    <text>Split line for cleaning and grading and packaging</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muext.us/MobileEggSheet" TargetMode="External"/><Relationship Id="rId2" Type="http://schemas.openxmlformats.org/officeDocument/2006/relationships/hyperlink" Target="extension.missouri.edu/publications/g742" TargetMode="External"/><Relationship Id="rId1" Type="http://schemas.openxmlformats.org/officeDocument/2006/relationships/hyperlink" Target="extension.missouri.edu/publications/g74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cals.ncsu.edu/agricultural-and-resource-economics/wp-content/uploads/sites/46/2024/06/Organic_broilers_Small.xlsx" TargetMode="External"/><Relationship Id="rId2" Type="http://schemas.openxmlformats.org/officeDocument/2006/relationships/hyperlink" Target="https://extension.colostate.edu/topic-areas/agriculture/brooding-and-space-requirements-for-poultry-2-502/" TargetMode="External"/><Relationship Id="rId1" Type="http://schemas.openxmlformats.org/officeDocument/2006/relationships/hyperlink" Target="https://openknowledge.fao.org/server/api/core/bitstreams/73edfce9-c9a1-4814-b907-d86917967ed3/content" TargetMode="External"/><Relationship Id="rId6" Type="http://schemas.openxmlformats.org/officeDocument/2006/relationships/hyperlink" Target="https://nam02.safelinks.protection.outlook.com/?url=https%3A%2F%2Fwww.menards.com%2Fmain%2Fa-yardbuilding-v2.html%3FdesignId%3D326357747139&amp;data=05%7C02%7Cdkientzy%40missouri.edu%7C07d56fbfed6d4526636408dd81c5f714%7Ce3fefdbef7e9401ba51a355e01b05a89%7C0%7C0%7C638809409471454570%7CUnknown%7CTWFpbGZsb3d8eyJFbXB0eU1hcGkiOnRydWUsIlYiOiIwLjAuMDAwMCIsIlAiOiJXaW4zMiIsIkFOIjoiTWFpbCIsIldUIjoyfQ%3D%3D%7C0%7C%7C%7C&amp;sdata=BRXkZYv%2FiuDzaHH1KLuI%2BekhymARNAH%2F0K4eJVZBrKU%3D&amp;reserved=0" TargetMode="External"/><Relationship Id="rId5" Type="http://schemas.openxmlformats.org/officeDocument/2006/relationships/hyperlink" Target="https://nam02.safelinks.protection.outlook.com/?url=https%3A%2F%2Fwww.menards.com%2Fmain%2Fa-yardbuilding-v2.html%3FdesignId%3D326357747139&amp;data=05%7C02%7Cdkientzy%40missouri.edu%7Ce849bbf6a34a4c49463008dd81c55c6d%7Ce3fefdbef7e9401ba51a355e01b05a89%7C0%7C0%7C638809406857091550%7CUnknown%7CTWFpbGZsb3d8eyJFbXB0eU1hcGkiOnRydWUsIlYiOiIwLjAuMDAwMCIsIlAiOiJXaW4zMiIsIkFOIjoiTWFpbCIsIldUIjoyfQ%3D%3D%7C0%7C%7C%7C&amp;sdata=TYCvsXbY7OXdkWxgDeJYzrG0gagxEFO1xRQN2ZYdezk%3D&amp;reserved=0" TargetMode="External"/><Relationship Id="rId4" Type="http://schemas.openxmlformats.org/officeDocument/2006/relationships/hyperlink" Target="https://www.uog.edu/_resources/files/extension/publications/Poultry_Production_Gui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DA78-77D2-4F27-9917-601B6CCDFE18}">
  <dimension ref="A1:E18"/>
  <sheetViews>
    <sheetView showGridLines="0" tabSelected="1" workbookViewId="0"/>
  </sheetViews>
  <sheetFormatPr defaultColWidth="0" defaultRowHeight="15.75" zeroHeight="1"/>
  <cols>
    <col min="1" max="1" width="3.85546875" style="1" customWidth="1"/>
    <col min="2" max="2" width="10.28515625" style="1" customWidth="1"/>
    <col min="3" max="3" width="86.140625" style="1" customWidth="1"/>
    <col min="4" max="4" width="16.7109375" style="1" customWidth="1"/>
    <col min="5" max="5" width="3.28515625" style="1" customWidth="1"/>
    <col min="6" max="16384" width="9.140625" style="1" hidden="1"/>
  </cols>
  <sheetData>
    <row r="1" spans="2:4" ht="16.5" thickBot="1"/>
    <row r="2" spans="2:4" ht="19.5" thickBot="1">
      <c r="B2" s="238" t="s">
        <v>273</v>
      </c>
      <c r="C2" s="239"/>
      <c r="D2" s="239"/>
    </row>
    <row r="3" spans="2:4">
      <c r="B3" s="240" t="s">
        <v>270</v>
      </c>
      <c r="C3" s="240"/>
      <c r="D3" s="240"/>
    </row>
    <row r="4" spans="2:4">
      <c r="B4" s="241"/>
      <c r="C4" s="241"/>
      <c r="D4" s="241"/>
    </row>
    <row r="5" spans="2:4" ht="15.75" customHeight="1">
      <c r="C5" s="192" t="s">
        <v>231</v>
      </c>
    </row>
    <row r="6" spans="2:4">
      <c r="C6" s="193" t="s">
        <v>232</v>
      </c>
    </row>
    <row r="7" spans="2:4">
      <c r="C7" s="194" t="s">
        <v>0</v>
      </c>
    </row>
    <row r="8" spans="2:4" ht="39.75" customHeight="1"/>
    <row r="9" spans="2:4" ht="78.75">
      <c r="C9" s="2" t="s">
        <v>275</v>
      </c>
      <c r="D9" s="2"/>
    </row>
    <row r="10" spans="2:4">
      <c r="C10" s="2"/>
      <c r="D10" s="2"/>
    </row>
    <row r="11" spans="2:4">
      <c r="C11" s="214" t="s">
        <v>274</v>
      </c>
    </row>
    <row r="12" spans="2:4">
      <c r="C12" s="214" t="s">
        <v>271</v>
      </c>
    </row>
    <row r="13" spans="2:4">
      <c r="C13" s="214" t="s">
        <v>272</v>
      </c>
    </row>
    <row r="14" spans="2:4"/>
    <row r="15" spans="2:4" ht="31.5">
      <c r="C15" s="3" t="s">
        <v>1</v>
      </c>
    </row>
    <row r="16" spans="2:4" ht="16.5" thickBot="1">
      <c r="C16" s="4"/>
    </row>
    <row r="17" spans="2:4" ht="16.5" thickBot="1">
      <c r="B17" s="242"/>
      <c r="C17" s="243"/>
      <c r="D17" s="243"/>
    </row>
    <row r="18" spans="2:4"/>
  </sheetData>
  <sheetProtection sheet="1" objects="1" scenarios="1"/>
  <mergeCells count="4">
    <mergeCell ref="B2:D2"/>
    <mergeCell ref="B3:D3"/>
    <mergeCell ref="B4:D4"/>
    <mergeCell ref="B17:D17"/>
  </mergeCells>
  <hyperlinks>
    <hyperlink ref="C12" r:id="rId1" xr:uid="{28DE8E00-B112-46B3-8CA0-EA56DCEB7D03}"/>
    <hyperlink ref="C13" r:id="rId2" xr:uid="{43295FC0-1649-46FD-90A7-2A9EEFBF2BA5}"/>
    <hyperlink ref="C11" r:id="rId3" display="Google sheet Mobile Laying Hen Budget (https://muext.us/MobileEggSheet)" xr:uid="{120D28EA-BF36-449B-AF93-ACC865C14471}"/>
  </hyperlinks>
  <pageMargins left="0.7" right="0.7" top="0.75" bottom="0.75" header="0.3" footer="0.3"/>
  <pageSetup orientation="portrait" horizontalDpi="4294967295" verticalDpi="4294967295"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E2AE7-A5B2-44AA-B227-5EB4D5B6F407}">
  <dimension ref="B1:L34"/>
  <sheetViews>
    <sheetView showGridLines="0" workbookViewId="0"/>
  </sheetViews>
  <sheetFormatPr defaultColWidth="0" defaultRowHeight="15.75" zeroHeight="1"/>
  <cols>
    <col min="1" max="1" width="3" style="1" customWidth="1"/>
    <col min="2" max="2" width="32.7109375" style="1" bestFit="1" customWidth="1"/>
    <col min="3" max="3" width="20.140625" style="1" bestFit="1" customWidth="1"/>
    <col min="4" max="4" width="8.28515625" style="1" bestFit="1" customWidth="1"/>
    <col min="5" max="5" width="25.5703125" style="1" bestFit="1" customWidth="1"/>
    <col min="6" max="6" width="39.7109375" style="1" customWidth="1"/>
    <col min="7" max="7" width="20" style="1" bestFit="1" customWidth="1"/>
    <col min="8" max="8" width="10.140625" style="1" customWidth="1"/>
    <col min="9" max="9" width="22.28515625" style="1" customWidth="1"/>
    <col min="10" max="10" width="10.5703125" style="1" bestFit="1" customWidth="1"/>
    <col min="11" max="11" width="3.28515625" style="1" customWidth="1"/>
    <col min="12" max="12" width="11.140625" style="1" hidden="1" customWidth="1"/>
    <col min="13" max="13" width="0" style="1" hidden="1" customWidth="1"/>
    <col min="14" max="16384" width="0" style="1" hidden="1"/>
  </cols>
  <sheetData>
    <row r="1" spans="2:12" ht="18.75">
      <c r="B1" s="117" t="s">
        <v>2</v>
      </c>
      <c r="C1" s="118"/>
      <c r="D1" s="118"/>
      <c r="E1" s="119"/>
      <c r="F1" s="120"/>
      <c r="G1" s="121"/>
      <c r="H1" s="121"/>
      <c r="I1" s="121"/>
      <c r="J1" s="122"/>
    </row>
    <row r="2" spans="2:12">
      <c r="B2" s="123" t="s">
        <v>3</v>
      </c>
      <c r="C2" s="6" t="s">
        <v>4</v>
      </c>
      <c r="D2" s="7" t="s">
        <v>5</v>
      </c>
      <c r="E2" s="124"/>
      <c r="F2" s="6" t="s">
        <v>6</v>
      </c>
      <c r="G2" s="6"/>
      <c r="H2" s="6" t="s">
        <v>7</v>
      </c>
      <c r="I2" s="6"/>
      <c r="J2" s="125" t="s">
        <v>8</v>
      </c>
      <c r="L2" s="1" t="s">
        <v>235</v>
      </c>
    </row>
    <row r="3" spans="2:12">
      <c r="B3" s="126" t="s">
        <v>12</v>
      </c>
      <c r="C3" s="127" t="s">
        <v>10</v>
      </c>
      <c r="D3" s="128">
        <v>6</v>
      </c>
      <c r="F3" s="129" t="s">
        <v>224</v>
      </c>
      <c r="G3" s="129"/>
      <c r="H3" s="130"/>
      <c r="I3" s="130" t="s">
        <v>9</v>
      </c>
      <c r="J3" s="131">
        <v>320</v>
      </c>
    </row>
    <row r="4" spans="2:12">
      <c r="B4" s="126" t="s">
        <v>14</v>
      </c>
      <c r="C4" s="127" t="s">
        <v>10</v>
      </c>
      <c r="D4" s="128">
        <v>22</v>
      </c>
      <c r="F4" s="129" t="s">
        <v>225</v>
      </c>
      <c r="G4" s="245" t="s">
        <v>11</v>
      </c>
      <c r="H4" s="245"/>
      <c r="I4" s="245"/>
      <c r="J4" s="133">
        <v>15</v>
      </c>
      <c r="L4" s="1" t="s">
        <v>233</v>
      </c>
    </row>
    <row r="5" spans="2:12">
      <c r="B5" s="126" t="s">
        <v>15</v>
      </c>
      <c r="C5" s="127" t="s">
        <v>10</v>
      </c>
      <c r="D5" s="134">
        <v>110</v>
      </c>
      <c r="F5" s="129" t="s">
        <v>216</v>
      </c>
      <c r="G5" s="132"/>
      <c r="H5" s="132"/>
      <c r="I5" s="132" t="s">
        <v>11</v>
      </c>
      <c r="J5" s="133">
        <v>15.75</v>
      </c>
    </row>
    <row r="6" spans="2:12">
      <c r="B6" s="126" t="s">
        <v>20</v>
      </c>
      <c r="C6" s="127" t="s">
        <v>10</v>
      </c>
      <c r="D6" s="137">
        <f>(D5-D4-D3-D7)/2</f>
        <v>37</v>
      </c>
      <c r="F6" s="129" t="s">
        <v>13</v>
      </c>
      <c r="G6" s="132"/>
      <c r="H6" s="132"/>
      <c r="I6" s="132" t="s">
        <v>11</v>
      </c>
      <c r="J6" s="133">
        <v>20</v>
      </c>
    </row>
    <row r="7" spans="2:12">
      <c r="B7" s="126" t="s">
        <v>23</v>
      </c>
      <c r="C7" s="127" t="s">
        <v>10</v>
      </c>
      <c r="D7" s="128">
        <v>8</v>
      </c>
      <c r="F7" s="135" t="s">
        <v>16</v>
      </c>
      <c r="G7" s="129" t="s">
        <v>17</v>
      </c>
      <c r="H7" s="209">
        <v>19.5</v>
      </c>
      <c r="I7" s="130"/>
      <c r="J7" s="136"/>
    </row>
    <row r="8" spans="2:12">
      <c r="B8" s="126" t="s">
        <v>26</v>
      </c>
      <c r="C8" s="127" t="s">
        <v>27</v>
      </c>
      <c r="D8" s="142">
        <v>0.25</v>
      </c>
      <c r="F8" s="129" t="s">
        <v>18</v>
      </c>
      <c r="G8" s="129" t="s">
        <v>19</v>
      </c>
      <c r="H8" s="138">
        <v>0.08</v>
      </c>
      <c r="I8" s="139"/>
      <c r="J8" s="136"/>
    </row>
    <row r="9" spans="2:12">
      <c r="B9" s="126" t="s">
        <v>30</v>
      </c>
      <c r="C9" s="1" t="s">
        <v>31</v>
      </c>
      <c r="D9" s="143">
        <v>7.0000000000000007E-2</v>
      </c>
      <c r="E9" s="141"/>
      <c r="F9" s="129" t="s">
        <v>21</v>
      </c>
      <c r="G9" s="129" t="s">
        <v>22</v>
      </c>
      <c r="H9" s="210">
        <v>0.9</v>
      </c>
      <c r="I9" s="139"/>
      <c r="J9" s="136"/>
    </row>
    <row r="10" spans="2:12">
      <c r="B10" s="145" t="s">
        <v>35</v>
      </c>
      <c r="C10" s="127" t="s">
        <v>36</v>
      </c>
      <c r="D10" s="140">
        <v>5.25</v>
      </c>
      <c r="F10" s="135" t="s">
        <v>24</v>
      </c>
      <c r="G10" s="129" t="s">
        <v>25</v>
      </c>
      <c r="H10" s="210">
        <v>0.15</v>
      </c>
      <c r="I10" s="139"/>
      <c r="J10" s="136"/>
    </row>
    <row r="11" spans="2:12">
      <c r="B11" s="123" t="s">
        <v>59</v>
      </c>
      <c r="C11" s="5"/>
      <c r="D11" s="5"/>
      <c r="E11" s="141"/>
      <c r="F11" s="129" t="s">
        <v>28</v>
      </c>
      <c r="G11" s="129" t="s">
        <v>29</v>
      </c>
      <c r="H11" s="210">
        <v>0.75</v>
      </c>
      <c r="I11" s="139"/>
      <c r="J11" s="136"/>
      <c r="L11" s="1" t="s">
        <v>234</v>
      </c>
    </row>
    <row r="12" spans="2:12">
      <c r="B12" s="126" t="s">
        <v>60</v>
      </c>
      <c r="C12" s="146"/>
      <c r="D12" s="147">
        <v>365</v>
      </c>
      <c r="E12" s="141"/>
      <c r="F12" s="129" t="s">
        <v>32</v>
      </c>
      <c r="G12" s="129" t="s">
        <v>33</v>
      </c>
      <c r="H12" s="210">
        <v>50</v>
      </c>
      <c r="I12" s="139" t="s">
        <v>34</v>
      </c>
      <c r="J12" s="182">
        <v>50</v>
      </c>
    </row>
    <row r="13" spans="2:12">
      <c r="B13" s="20" t="s">
        <v>61</v>
      </c>
      <c r="D13" s="147">
        <v>7</v>
      </c>
      <c r="F13" s="127" t="s">
        <v>205</v>
      </c>
      <c r="G13" s="245" t="s">
        <v>37</v>
      </c>
      <c r="H13" s="245"/>
      <c r="I13" s="245"/>
      <c r="J13" s="144">
        <v>4.1500000000000004</v>
      </c>
    </row>
    <row r="14" spans="2:12">
      <c r="B14" s="126" t="s">
        <v>62</v>
      </c>
      <c r="C14" s="146"/>
      <c r="D14" s="147">
        <v>16</v>
      </c>
      <c r="F14" s="127" t="s">
        <v>38</v>
      </c>
      <c r="G14" s="132"/>
      <c r="H14" s="132"/>
      <c r="I14" s="132" t="s">
        <v>37</v>
      </c>
      <c r="J14" s="144">
        <v>8</v>
      </c>
    </row>
    <row r="15" spans="2:12">
      <c r="B15" s="126" t="s">
        <v>64</v>
      </c>
      <c r="C15" s="146"/>
      <c r="D15" s="147">
        <v>50</v>
      </c>
      <c r="F15" s="135" t="s">
        <v>39</v>
      </c>
      <c r="G15" s="245" t="s">
        <v>40</v>
      </c>
      <c r="H15" s="245"/>
      <c r="I15" s="245"/>
      <c r="J15" s="144">
        <v>4</v>
      </c>
    </row>
    <row r="16" spans="2:12">
      <c r="B16" s="126" t="s">
        <v>65</v>
      </c>
      <c r="C16" s="146"/>
      <c r="D16" s="147">
        <v>43560</v>
      </c>
      <c r="F16" s="135" t="s">
        <v>41</v>
      </c>
      <c r="G16" s="245" t="s">
        <v>42</v>
      </c>
      <c r="H16" s="245"/>
      <c r="I16" s="245"/>
      <c r="J16" s="144">
        <v>200</v>
      </c>
    </row>
    <row r="17" spans="2:10">
      <c r="B17" s="27" t="s">
        <v>66</v>
      </c>
      <c r="C17" s="9"/>
      <c r="D17" s="14">
        <v>56</v>
      </c>
      <c r="F17" s="135" t="s">
        <v>43</v>
      </c>
      <c r="G17" s="245" t="s">
        <v>42</v>
      </c>
      <c r="H17" s="245"/>
      <c r="I17" s="245"/>
      <c r="J17" s="144">
        <v>600</v>
      </c>
    </row>
    <row r="18" spans="2:10">
      <c r="B18" s="20"/>
      <c r="I18" s="132"/>
      <c r="J18" s="148"/>
    </row>
    <row r="19" spans="2:10">
      <c r="B19" s="20"/>
      <c r="F19" s="149" t="s">
        <v>44</v>
      </c>
      <c r="G19" s="150" t="s">
        <v>47</v>
      </c>
      <c r="H19" s="151">
        <v>0.03</v>
      </c>
      <c r="I19" s="150"/>
      <c r="J19" s="148"/>
    </row>
    <row r="20" spans="2:10">
      <c r="B20" s="153"/>
      <c r="F20" s="129" t="s">
        <v>45</v>
      </c>
      <c r="G20" s="150" t="s">
        <v>47</v>
      </c>
      <c r="H20" s="152">
        <v>0.01</v>
      </c>
      <c r="I20" s="150"/>
      <c r="J20" s="148"/>
    </row>
    <row r="21" spans="2:10">
      <c r="B21" s="20"/>
      <c r="F21" s="129" t="s">
        <v>46</v>
      </c>
      <c r="G21" s="150" t="s">
        <v>47</v>
      </c>
      <c r="H21" s="151">
        <v>0.1</v>
      </c>
      <c r="I21" s="150"/>
      <c r="J21" s="148"/>
    </row>
    <row r="22" spans="2:10">
      <c r="B22" s="20"/>
      <c r="E22" s="8" t="s">
        <v>48</v>
      </c>
      <c r="F22" s="9" t="s">
        <v>49</v>
      </c>
      <c r="G22" s="9" t="s">
        <v>50</v>
      </c>
      <c r="H22" s="9" t="s">
        <v>51</v>
      </c>
      <c r="I22" s="9" t="s">
        <v>52</v>
      </c>
      <c r="J22" s="154" t="s">
        <v>53</v>
      </c>
    </row>
    <row r="23" spans="2:10">
      <c r="B23" s="20"/>
      <c r="E23" s="1" t="s">
        <v>54</v>
      </c>
      <c r="F23" s="23">
        <v>0.05</v>
      </c>
      <c r="G23" s="23">
        <v>0.05</v>
      </c>
      <c r="H23" s="23">
        <v>0.01</v>
      </c>
      <c r="I23" s="23">
        <v>0.01</v>
      </c>
      <c r="J23" s="155">
        <f>SUM(F23:I23)</f>
        <v>0.12</v>
      </c>
    </row>
    <row r="24" spans="2:10">
      <c r="B24" s="20"/>
      <c r="E24" s="1" t="s">
        <v>55</v>
      </c>
      <c r="F24" s="23">
        <v>0.1</v>
      </c>
      <c r="G24" s="23">
        <v>0.2</v>
      </c>
      <c r="H24" s="23">
        <v>0.05</v>
      </c>
      <c r="I24" s="23">
        <v>0.01</v>
      </c>
      <c r="J24" s="155">
        <f t="shared" ref="J24:J27" si="0">SUM(F24:I24)</f>
        <v>0.36000000000000004</v>
      </c>
    </row>
    <row r="25" spans="2:10">
      <c r="B25" s="20"/>
      <c r="E25" s="1" t="s">
        <v>56</v>
      </c>
      <c r="F25" s="23">
        <v>0.1</v>
      </c>
      <c r="G25" s="23">
        <v>0.2</v>
      </c>
      <c r="H25" s="23">
        <v>0.05</v>
      </c>
      <c r="I25" s="23">
        <v>0.01</v>
      </c>
      <c r="J25" s="155">
        <f t="shared" si="0"/>
        <v>0.36000000000000004</v>
      </c>
    </row>
    <row r="26" spans="2:10">
      <c r="B26" s="20"/>
      <c r="E26" s="9" t="s">
        <v>57</v>
      </c>
      <c r="F26" s="10">
        <v>0.05</v>
      </c>
      <c r="G26" s="10">
        <v>0.05</v>
      </c>
      <c r="H26" s="10">
        <v>0.05</v>
      </c>
      <c r="I26" s="10">
        <v>0.01</v>
      </c>
      <c r="J26" s="156">
        <f t="shared" si="0"/>
        <v>0.16000000000000003</v>
      </c>
    </row>
    <row r="27" spans="2:10">
      <c r="B27" s="20"/>
      <c r="E27" s="6" t="s">
        <v>53</v>
      </c>
      <c r="F27" s="116">
        <f>SUM(F23:F26)</f>
        <v>0.3</v>
      </c>
      <c r="G27" s="116">
        <f>SUM(G23:G26)</f>
        <v>0.5</v>
      </c>
      <c r="H27" s="116">
        <f>SUM(H23:H26)</f>
        <v>0.16000000000000003</v>
      </c>
      <c r="I27" s="116">
        <f>SUM(I23:I26)</f>
        <v>0.04</v>
      </c>
      <c r="J27" s="157">
        <f t="shared" si="0"/>
        <v>1</v>
      </c>
    </row>
    <row r="28" spans="2:10">
      <c r="B28" s="20"/>
      <c r="F28" s="8" t="s">
        <v>58</v>
      </c>
      <c r="G28" s="9" t="s">
        <v>49</v>
      </c>
      <c r="H28" s="9" t="s">
        <v>50</v>
      </c>
      <c r="I28" s="9" t="s">
        <v>51</v>
      </c>
      <c r="J28" s="158" t="s">
        <v>52</v>
      </c>
    </row>
    <row r="29" spans="2:10">
      <c r="B29" s="20"/>
      <c r="F29" s="1" t="s">
        <v>54</v>
      </c>
      <c r="G29" s="159">
        <v>6</v>
      </c>
      <c r="H29" s="159">
        <v>6</v>
      </c>
      <c r="I29" s="159">
        <v>0</v>
      </c>
      <c r="J29" s="160">
        <v>0</v>
      </c>
    </row>
    <row r="30" spans="2:10">
      <c r="B30" s="20"/>
      <c r="F30" s="1" t="s">
        <v>55</v>
      </c>
      <c r="G30" s="159">
        <v>6</v>
      </c>
      <c r="H30" s="159">
        <v>6</v>
      </c>
      <c r="I30" s="159">
        <v>0</v>
      </c>
      <c r="J30" s="160">
        <v>0</v>
      </c>
    </row>
    <row r="31" spans="2:10">
      <c r="B31" s="20"/>
      <c r="F31" s="1" t="s">
        <v>56</v>
      </c>
      <c r="G31" s="159">
        <v>6</v>
      </c>
      <c r="H31" s="159">
        <v>6</v>
      </c>
      <c r="I31" s="159">
        <v>0</v>
      </c>
      <c r="J31" s="160">
        <v>0</v>
      </c>
    </row>
    <row r="32" spans="2:10">
      <c r="B32" s="20"/>
      <c r="F32" s="9" t="s">
        <v>57</v>
      </c>
      <c r="G32" s="12">
        <v>5</v>
      </c>
      <c r="H32" s="12">
        <v>5</v>
      </c>
      <c r="I32" s="12">
        <v>0</v>
      </c>
      <c r="J32" s="161">
        <v>0</v>
      </c>
    </row>
    <row r="33" spans="2:10" ht="16.5" thickBot="1">
      <c r="B33" s="29"/>
      <c r="C33" s="30"/>
      <c r="D33" s="30"/>
      <c r="E33" s="30"/>
      <c r="F33" s="30"/>
      <c r="G33" s="244" t="s">
        <v>63</v>
      </c>
      <c r="H33" s="244"/>
      <c r="I33" s="244"/>
      <c r="J33" s="162">
        <f>SUMPRODUCT(G29:J32,F23:I26)</f>
        <v>4.7000000000000011</v>
      </c>
    </row>
    <row r="34" spans="2:10"/>
  </sheetData>
  <sheetProtection sheet="1" objects="1" scenarios="1"/>
  <protectedRanges>
    <protectedRange sqref="D3:D5 D7:D10 D12:D17 J3:J6 H7:H12 J12:J17 H19:H21 F23:I26 G29:J32" name="Input cells"/>
  </protectedRanges>
  <mergeCells count="6">
    <mergeCell ref="G33:I33"/>
    <mergeCell ref="G15:I15"/>
    <mergeCell ref="G16:I16"/>
    <mergeCell ref="G17:I17"/>
    <mergeCell ref="G4:I4"/>
    <mergeCell ref="G13:I13"/>
  </mergeCells>
  <pageMargins left="0.25" right="0.25" top="0.75" bottom="0.75" header="0.3" footer="0.3"/>
  <pageSetup paperSize="6" fitToWidth="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34727-13BC-4835-B75F-6436C5607539}">
  <dimension ref="A1:O38"/>
  <sheetViews>
    <sheetView showGridLines="0" workbookViewId="0"/>
  </sheetViews>
  <sheetFormatPr defaultColWidth="0" defaultRowHeight="15.75" zeroHeight="1"/>
  <cols>
    <col min="1" max="1" width="3.28515625" style="1" customWidth="1"/>
    <col min="2" max="2" width="22.7109375" style="1" customWidth="1"/>
    <col min="3" max="3" width="13.140625" style="1" bestFit="1" customWidth="1"/>
    <col min="4" max="4" width="9.28515625" style="1" bestFit="1" customWidth="1"/>
    <col min="5" max="5" width="19.140625" style="1" bestFit="1" customWidth="1"/>
    <col min="6" max="6" width="19.5703125" style="1" bestFit="1" customWidth="1"/>
    <col min="7" max="7" width="24.28515625" style="1" bestFit="1" customWidth="1"/>
    <col min="8" max="8" width="9.140625" style="1" customWidth="1"/>
    <col min="9" max="9" width="34.42578125" style="1" bestFit="1" customWidth="1"/>
    <col min="10" max="10" width="11.28515625" style="1" bestFit="1" customWidth="1"/>
    <col min="11" max="11" width="9.140625" style="1" customWidth="1"/>
    <col min="12" max="12" width="13.5703125" style="1" bestFit="1" customWidth="1"/>
    <col min="13" max="13" width="11.7109375" style="1" bestFit="1" customWidth="1"/>
    <col min="14" max="14" width="11.140625" style="1" bestFit="1" customWidth="1"/>
    <col min="15" max="15" width="3.28515625" style="1" customWidth="1"/>
    <col min="16" max="16384" width="9.140625" style="1" hidden="1"/>
  </cols>
  <sheetData>
    <row r="1" spans="2:14" ht="19.5" thickBot="1">
      <c r="B1" s="163" t="s">
        <v>67</v>
      </c>
      <c r="C1" s="15"/>
      <c r="D1" s="15"/>
      <c r="E1" s="15"/>
      <c r="F1" s="15"/>
      <c r="G1" s="15"/>
      <c r="I1" s="164" t="s">
        <v>213</v>
      </c>
      <c r="J1" s="108"/>
      <c r="K1" s="109"/>
    </row>
    <row r="2" spans="2:14">
      <c r="B2" s="16" t="s">
        <v>68</v>
      </c>
      <c r="C2" s="17">
        <v>60</v>
      </c>
      <c r="D2" s="18" t="s">
        <v>69</v>
      </c>
      <c r="E2" s="18" t="s">
        <v>70</v>
      </c>
      <c r="F2" s="18">
        <f>J10</f>
        <v>6</v>
      </c>
      <c r="G2" s="19" t="s">
        <v>71</v>
      </c>
      <c r="I2" s="20"/>
      <c r="J2" s="1" t="s">
        <v>105</v>
      </c>
      <c r="K2" s="21" t="s">
        <v>212</v>
      </c>
    </row>
    <row r="3" spans="2:14">
      <c r="B3" s="20" t="s">
        <v>72</v>
      </c>
      <c r="C3" s="1" t="s">
        <v>73</v>
      </c>
      <c r="D3" s="1" t="s">
        <v>74</v>
      </c>
      <c r="E3" s="1" t="s">
        <v>75</v>
      </c>
      <c r="F3" s="1" t="s">
        <v>76</v>
      </c>
      <c r="G3" s="21" t="s">
        <v>77</v>
      </c>
      <c r="I3" s="20" t="s">
        <v>207</v>
      </c>
      <c r="J3" s="11">
        <v>0.6</v>
      </c>
      <c r="K3" s="113">
        <v>1</v>
      </c>
    </row>
    <row r="4" spans="2:14">
      <c r="B4" s="20" t="s">
        <v>78</v>
      </c>
      <c r="C4" s="22">
        <f>M24</f>
        <v>1338.48</v>
      </c>
      <c r="D4" s="11">
        <v>10</v>
      </c>
      <c r="E4" s="23">
        <v>0</v>
      </c>
      <c r="F4" s="23">
        <v>0.2</v>
      </c>
      <c r="G4" s="24">
        <f>(C4-(C4*E4))/D4+C4/2*'Input sheet'!$H$8+'Input sheet'!$H$20*'Facilities and equipment'!C4</f>
        <v>200.77200000000002</v>
      </c>
      <c r="I4" s="20" t="s">
        <v>208</v>
      </c>
      <c r="J4" s="11">
        <v>1</v>
      </c>
      <c r="K4" s="113">
        <v>2</v>
      </c>
    </row>
    <row r="5" spans="2:14">
      <c r="B5" s="20" t="s">
        <v>79</v>
      </c>
      <c r="C5" s="26">
        <v>3000</v>
      </c>
      <c r="D5" s="11">
        <v>10</v>
      </c>
      <c r="E5" s="23">
        <v>0.3</v>
      </c>
      <c r="F5" s="23">
        <v>0.05</v>
      </c>
      <c r="G5" s="24">
        <f>(C5-(C5*E5))/D5+C5/2*'Input sheet'!$H$8+'Input sheet'!$H$20*'Facilities and equipment'!C5</f>
        <v>360</v>
      </c>
      <c r="I5" s="20" t="s">
        <v>209</v>
      </c>
      <c r="J5" s="11">
        <v>1.5</v>
      </c>
      <c r="K5" s="113">
        <v>4</v>
      </c>
    </row>
    <row r="6" spans="2:14">
      <c r="B6" s="20" t="s">
        <v>81</v>
      </c>
      <c r="C6" s="26">
        <v>200</v>
      </c>
      <c r="D6" s="11">
        <v>5</v>
      </c>
      <c r="E6" s="23">
        <v>0</v>
      </c>
      <c r="F6" s="23">
        <v>0.1</v>
      </c>
      <c r="G6" s="24">
        <f>(C6-(C6*E6))/D6+C6/2*'Input sheet'!$H$8+'Input sheet'!$H$20*'Facilities and equipment'!C6</f>
        <v>50</v>
      </c>
      <c r="I6" s="20" t="s">
        <v>215</v>
      </c>
      <c r="J6" s="11">
        <v>1</v>
      </c>
      <c r="K6" s="113">
        <v>4</v>
      </c>
    </row>
    <row r="7" spans="2:14">
      <c r="B7" s="20" t="s">
        <v>83</v>
      </c>
      <c r="C7" s="26">
        <v>100</v>
      </c>
      <c r="D7" s="11">
        <v>5</v>
      </c>
      <c r="E7" s="23">
        <v>0</v>
      </c>
      <c r="F7" s="23">
        <v>0.1</v>
      </c>
      <c r="G7" s="24">
        <f>(C7-(C7*E7))/D7+C7/2*'Input sheet'!$H$8+'Input sheet'!$H$20*'Facilities and equipment'!C7</f>
        <v>25</v>
      </c>
      <c r="I7" s="20" t="s">
        <v>210</v>
      </c>
      <c r="J7" s="11">
        <v>1</v>
      </c>
      <c r="K7" s="113">
        <v>1.5</v>
      </c>
    </row>
    <row r="8" spans="2:14">
      <c r="B8" s="20" t="s">
        <v>85</v>
      </c>
      <c r="C8" s="22">
        <f>'Brooder Budget'!F15</f>
        <v>344.4</v>
      </c>
      <c r="D8" s="11">
        <v>12</v>
      </c>
      <c r="E8" s="23">
        <v>0.1</v>
      </c>
      <c r="F8" s="23">
        <v>0.05</v>
      </c>
      <c r="G8" s="24">
        <f>(C8-(C8*E8))/D8+C8/2*'Input sheet'!$H$8+'Input sheet'!$H$20*'Facilities and equipment'!C8</f>
        <v>43.05</v>
      </c>
      <c r="I8" s="115" t="s">
        <v>214</v>
      </c>
      <c r="J8" s="11">
        <v>0.4</v>
      </c>
      <c r="K8" s="113">
        <v>1</v>
      </c>
    </row>
    <row r="9" spans="2:14">
      <c r="B9" s="20" t="s">
        <v>86</v>
      </c>
      <c r="C9" s="26">
        <v>500</v>
      </c>
      <c r="D9" s="11">
        <v>10</v>
      </c>
      <c r="E9" s="23">
        <v>0.05</v>
      </c>
      <c r="F9" s="23">
        <v>0.05</v>
      </c>
      <c r="G9" s="24">
        <f>(C9-(C9*E9))/D9+C9/2*'Input sheet'!$H$8+'Input sheet'!$H$20*'Facilities and equipment'!C9</f>
        <v>72.5</v>
      </c>
      <c r="I9" s="27" t="s">
        <v>211</v>
      </c>
      <c r="J9" s="13">
        <v>0.5</v>
      </c>
      <c r="K9" s="114">
        <v>1</v>
      </c>
    </row>
    <row r="10" spans="2:14" ht="16.5" thickBot="1">
      <c r="B10" s="20" t="s">
        <v>87</v>
      </c>
      <c r="C10" s="26">
        <v>150</v>
      </c>
      <c r="D10" s="11">
        <v>10</v>
      </c>
      <c r="E10" s="23">
        <v>0.4</v>
      </c>
      <c r="F10" s="23">
        <v>0</v>
      </c>
      <c r="G10" s="24">
        <f>(C10-(C10*E10))/D10+C10/2*'Input sheet'!$H$8+'Input sheet'!$H$20*'Facilities and equipment'!C10</f>
        <v>16.5</v>
      </c>
      <c r="I10" s="110" t="s">
        <v>53</v>
      </c>
      <c r="J10" s="111">
        <f>SUM(J3:J9)</f>
        <v>6</v>
      </c>
      <c r="K10" s="112">
        <f>SUM(K3:K9)</f>
        <v>14.5</v>
      </c>
    </row>
    <row r="11" spans="2:14">
      <c r="B11" s="20" t="s">
        <v>90</v>
      </c>
      <c r="C11" s="26">
        <v>40</v>
      </c>
      <c r="D11" s="11">
        <v>10</v>
      </c>
      <c r="E11" s="23">
        <v>0</v>
      </c>
      <c r="F11" s="23">
        <v>0.1</v>
      </c>
      <c r="G11" s="24">
        <f>(C11-(C11*E11))/D11+C11/2*'Input sheet'!$H$8+'Input sheet'!$H$20*'Facilities and equipment'!C11</f>
        <v>6</v>
      </c>
    </row>
    <row r="12" spans="2:14" ht="16.5" thickBot="1">
      <c r="B12" s="27" t="s">
        <v>93</v>
      </c>
      <c r="C12" s="31">
        <v>400</v>
      </c>
      <c r="D12" s="13">
        <v>10</v>
      </c>
      <c r="E12" s="10">
        <v>0.05</v>
      </c>
      <c r="F12" s="10">
        <v>0.1</v>
      </c>
      <c r="G12" s="28">
        <f>(C12-(C12*E12))/D12+C12/2*'Input sheet'!$H$8+'Input sheet'!$H$20*'Facilities and equipment'!C12</f>
        <v>58</v>
      </c>
    </row>
    <row r="13" spans="2:14" ht="19.5" thickBot="1">
      <c r="B13" s="165" t="s">
        <v>53</v>
      </c>
      <c r="C13" s="166">
        <f>SUM(C4:C12)</f>
        <v>6072.8799999999992</v>
      </c>
      <c r="D13" s="111"/>
      <c r="E13" s="167"/>
      <c r="F13" s="168">
        <f>SUMPRODUCT(C4:C12,F4:F12)</f>
        <v>533.91600000000005</v>
      </c>
      <c r="G13" s="162">
        <f>SUM(G4:G12)</f>
        <v>831.822</v>
      </c>
      <c r="I13" s="164" t="s">
        <v>101</v>
      </c>
      <c r="J13" s="233"/>
      <c r="K13" s="233"/>
      <c r="L13" s="233"/>
      <c r="M13" s="233"/>
      <c r="N13" s="234"/>
    </row>
    <row r="14" spans="2:14">
      <c r="B14" s="1" t="s">
        <v>91</v>
      </c>
      <c r="I14" s="27"/>
      <c r="J14" s="9" t="s">
        <v>102</v>
      </c>
      <c r="K14" s="9" t="s">
        <v>103</v>
      </c>
      <c r="L14" s="9" t="s">
        <v>104</v>
      </c>
      <c r="M14" s="9" t="s">
        <v>105</v>
      </c>
      <c r="N14" s="158" t="s">
        <v>106</v>
      </c>
    </row>
    <row r="15" spans="2:14">
      <c r="I15" s="215" t="s">
        <v>107</v>
      </c>
      <c r="L15" s="25"/>
      <c r="M15" s="159"/>
      <c r="N15" s="160"/>
    </row>
    <row r="16" spans="2:14" ht="19.5" thickBot="1">
      <c r="B16" s="163" t="s">
        <v>94</v>
      </c>
      <c r="C16" s="32"/>
      <c r="D16" s="32"/>
      <c r="E16" s="32"/>
      <c r="F16" s="32"/>
      <c r="G16" s="32"/>
      <c r="I16" s="20" t="s">
        <v>108</v>
      </c>
      <c r="J16" s="222" t="s">
        <v>109</v>
      </c>
      <c r="L16" s="25">
        <f>'Input sheet'!H7</f>
        <v>19.5</v>
      </c>
      <c r="M16" s="224">
        <v>12</v>
      </c>
      <c r="N16" s="235">
        <v>12</v>
      </c>
    </row>
    <row r="17" spans="2:14">
      <c r="B17" s="16" t="s">
        <v>68</v>
      </c>
      <c r="C17" s="17">
        <v>600</v>
      </c>
      <c r="D17" s="18" t="s">
        <v>69</v>
      </c>
      <c r="E17" s="18" t="s">
        <v>70</v>
      </c>
      <c r="F17" s="18">
        <f>K10</f>
        <v>14.5</v>
      </c>
      <c r="G17" s="19" t="s">
        <v>71</v>
      </c>
      <c r="I17" s="20" t="s">
        <v>110</v>
      </c>
      <c r="J17" s="222" t="s">
        <v>111</v>
      </c>
      <c r="K17" s="23">
        <v>0.1</v>
      </c>
      <c r="L17" s="159">
        <v>0.5</v>
      </c>
      <c r="M17" s="224">
        <v>254</v>
      </c>
      <c r="N17" s="235">
        <v>320</v>
      </c>
    </row>
    <row r="18" spans="2:14">
      <c r="B18" s="20" t="s">
        <v>72</v>
      </c>
      <c r="C18" s="1" t="s">
        <v>73</v>
      </c>
      <c r="D18" s="1" t="s">
        <v>74</v>
      </c>
      <c r="E18" s="1" t="s">
        <v>75</v>
      </c>
      <c r="F18" s="1" t="s">
        <v>76</v>
      </c>
      <c r="G18" s="21" t="s">
        <v>77</v>
      </c>
      <c r="I18" s="20" t="s">
        <v>112</v>
      </c>
      <c r="J18" s="222" t="s">
        <v>113</v>
      </c>
      <c r="K18" s="23"/>
      <c r="L18" s="159">
        <v>750</v>
      </c>
      <c r="M18" s="224">
        <v>1</v>
      </c>
      <c r="N18" s="235"/>
    </row>
    <row r="19" spans="2:14">
      <c r="B19" s="20" t="s">
        <v>95</v>
      </c>
      <c r="C19" s="26">
        <v>42000</v>
      </c>
      <c r="D19" s="11">
        <v>20</v>
      </c>
      <c r="E19" s="23">
        <v>0.2</v>
      </c>
      <c r="F19" s="23">
        <v>0.05</v>
      </c>
      <c r="G19" s="24">
        <f>(C19-(C19*E19))/D19+C19/2*'Input sheet'!$H$8+'Input sheet'!$H$20*'Facilities and equipment'!C19</f>
        <v>3780</v>
      </c>
      <c r="I19" s="20" t="s">
        <v>114</v>
      </c>
      <c r="J19" s="222" t="s">
        <v>88</v>
      </c>
      <c r="K19" s="23">
        <v>0.1</v>
      </c>
      <c r="L19" s="159">
        <v>0.2</v>
      </c>
      <c r="M19" s="224">
        <v>240</v>
      </c>
      <c r="N19" s="235">
        <v>300</v>
      </c>
    </row>
    <row r="20" spans="2:14">
      <c r="B20" s="20" t="s">
        <v>80</v>
      </c>
      <c r="C20" s="26">
        <v>3000</v>
      </c>
      <c r="D20" s="11">
        <v>15</v>
      </c>
      <c r="E20" s="23">
        <v>0.4</v>
      </c>
      <c r="F20" s="23">
        <v>0.05</v>
      </c>
      <c r="G20" s="24">
        <f>(C20-(C20*E20))/D20+C20/2*'Input sheet'!$H$8+'Input sheet'!$H$20*'Facilities and equipment'!C20</f>
        <v>270</v>
      </c>
      <c r="I20" s="20" t="s">
        <v>115</v>
      </c>
      <c r="J20" s="222" t="s">
        <v>88</v>
      </c>
      <c r="K20" s="23">
        <v>0.2</v>
      </c>
      <c r="L20" s="159">
        <v>0.26</v>
      </c>
      <c r="M20" s="224">
        <v>248</v>
      </c>
      <c r="N20" s="235">
        <v>320</v>
      </c>
    </row>
    <row r="21" spans="2:14">
      <c r="B21" s="20" t="s">
        <v>96</v>
      </c>
      <c r="C21" s="26">
        <v>5000</v>
      </c>
      <c r="D21" s="11">
        <v>15</v>
      </c>
      <c r="E21" s="23">
        <v>0.3</v>
      </c>
      <c r="F21" s="23">
        <v>0.05</v>
      </c>
      <c r="G21" s="24">
        <f>(C21-(C21*E21))/D21+C21/2*'Input sheet'!$H$8+'Input sheet'!$H$20*'Facilities and equipment'!C21</f>
        <v>483.33333333333337</v>
      </c>
      <c r="I21" s="20" t="s">
        <v>116</v>
      </c>
      <c r="J21" s="222" t="s">
        <v>117</v>
      </c>
      <c r="K21" s="23">
        <v>0</v>
      </c>
      <c r="L21" s="159">
        <v>40</v>
      </c>
      <c r="M21" s="224">
        <v>2</v>
      </c>
      <c r="N21" s="235">
        <v>2</v>
      </c>
    </row>
    <row r="22" spans="2:14">
      <c r="B22" s="20" t="s">
        <v>82</v>
      </c>
      <c r="C22" s="26">
        <v>7250</v>
      </c>
      <c r="D22" s="11">
        <v>10</v>
      </c>
      <c r="E22" s="23">
        <v>0.3</v>
      </c>
      <c r="F22" s="23">
        <v>0.05</v>
      </c>
      <c r="G22" s="24">
        <f>(C22-(C22*E22))/D22+C22/2*'Input sheet'!$H$8+'Input sheet'!$H$20*'Facilities and equipment'!C22</f>
        <v>870</v>
      </c>
      <c r="I22" s="20" t="s">
        <v>118</v>
      </c>
      <c r="J22" s="222" t="s">
        <v>119</v>
      </c>
      <c r="K22" s="23">
        <v>0.2</v>
      </c>
      <c r="L22" s="159">
        <v>2.5</v>
      </c>
      <c r="M22" s="224">
        <v>8</v>
      </c>
      <c r="N22" s="235">
        <v>10</v>
      </c>
    </row>
    <row r="23" spans="2:14">
      <c r="B23" s="20" t="s">
        <v>84</v>
      </c>
      <c r="C23" s="22">
        <f>'Brooder Budget'!G15</f>
        <v>10548.2</v>
      </c>
      <c r="D23" s="11">
        <v>25</v>
      </c>
      <c r="E23" s="23">
        <v>0.2</v>
      </c>
      <c r="F23" s="23">
        <v>0.02</v>
      </c>
      <c r="G23" s="24">
        <f>(C23-(C23*E23))/D23+C23/2*'Input sheet'!$H$8+'Input sheet'!$H$20*'Facilities and equipment'!C23</f>
        <v>864.95240000000013</v>
      </c>
      <c r="I23" s="27" t="s">
        <v>120</v>
      </c>
      <c r="J23" s="223" t="s">
        <v>117</v>
      </c>
      <c r="K23" s="10">
        <v>0</v>
      </c>
      <c r="L23" s="12">
        <v>5</v>
      </c>
      <c r="M23" s="236">
        <v>3</v>
      </c>
      <c r="N23" s="237">
        <v>3</v>
      </c>
    </row>
    <row r="24" spans="2:14" ht="16.5" thickBot="1">
      <c r="B24" s="20" t="s">
        <v>81</v>
      </c>
      <c r="C24" s="26">
        <v>600</v>
      </c>
      <c r="D24" s="11">
        <v>5</v>
      </c>
      <c r="E24" s="23">
        <v>0</v>
      </c>
      <c r="F24" s="23">
        <v>0.1</v>
      </c>
      <c r="G24" s="24">
        <f>(C24-(C24*E24))/D24+C24/2*'Input sheet'!$H$8+'Input sheet'!$H$20*'Facilities and equipment'!C24</f>
        <v>150</v>
      </c>
      <c r="I24" s="165" t="s">
        <v>53</v>
      </c>
      <c r="J24" s="111"/>
      <c r="K24" s="167"/>
      <c r="L24" s="221"/>
      <c r="M24" s="221">
        <f>SUMPRODUCT(M16:M23,$L$16:$L$23)</f>
        <v>1338.48</v>
      </c>
      <c r="N24" s="162">
        <f>SUMPRODUCT(N16:N23,$L$16:$L$23)</f>
        <v>657.2</v>
      </c>
    </row>
    <row r="25" spans="2:14">
      <c r="B25" s="20" t="s">
        <v>83</v>
      </c>
      <c r="C25" s="26">
        <v>350</v>
      </c>
      <c r="D25" s="11">
        <v>5</v>
      </c>
      <c r="E25" s="23">
        <v>0</v>
      </c>
      <c r="F25" s="23">
        <v>0.05</v>
      </c>
      <c r="G25" s="24">
        <f>(C25-(C25*E25))/D25+C25/2*'Input sheet'!$H$8+'Input sheet'!$H$20*'Facilities and equipment'!C25</f>
        <v>87.5</v>
      </c>
    </row>
    <row r="26" spans="2:14">
      <c r="B26" s="20" t="s">
        <v>89</v>
      </c>
      <c r="C26" s="26">
        <v>3500</v>
      </c>
      <c r="D26" s="11">
        <v>15</v>
      </c>
      <c r="E26" s="23">
        <v>0.4</v>
      </c>
      <c r="F26" s="23">
        <v>0.02</v>
      </c>
      <c r="G26" s="24">
        <f>(C26-(C26*E26))/D26+C26/2*'Input sheet'!$H$8+'Input sheet'!$H$20*'Facilities and equipment'!C26</f>
        <v>315</v>
      </c>
    </row>
    <row r="27" spans="2:14">
      <c r="B27" s="20" t="s">
        <v>92</v>
      </c>
      <c r="C27" s="26">
        <v>4300</v>
      </c>
      <c r="D27" s="11">
        <v>20</v>
      </c>
      <c r="E27" s="23">
        <v>0.4</v>
      </c>
      <c r="F27" s="23">
        <v>0.01</v>
      </c>
      <c r="G27" s="24">
        <f>(C27-(C27*E27))/D27+C27/2*'Input sheet'!$H$8+'Input sheet'!$H$20*'Facilities and equipment'!C27</f>
        <v>344</v>
      </c>
    </row>
    <row r="28" spans="2:14">
      <c r="B28" s="20" t="s">
        <v>97</v>
      </c>
      <c r="C28" s="26">
        <v>9000</v>
      </c>
      <c r="D28" s="11">
        <v>20</v>
      </c>
      <c r="E28" s="23">
        <v>0.4</v>
      </c>
      <c r="F28" s="23">
        <v>0.05</v>
      </c>
      <c r="G28" s="24">
        <f>(C28-(C28*E28))/D28+C28/2*'Input sheet'!$H$8+'Input sheet'!$H$20*'Facilities and equipment'!C28</f>
        <v>720</v>
      </c>
    </row>
    <row r="29" spans="2:14">
      <c r="B29" s="20" t="s">
        <v>87</v>
      </c>
      <c r="C29" s="26">
        <v>500</v>
      </c>
      <c r="D29" s="11">
        <v>10</v>
      </c>
      <c r="E29" s="23">
        <v>0.4</v>
      </c>
      <c r="F29" s="23">
        <v>0</v>
      </c>
      <c r="G29" s="24">
        <f>(C29-(C29*E29))/D29+C29/2*'Input sheet'!$H$8+'Input sheet'!$H$20*'Facilities and equipment'!C29</f>
        <v>55</v>
      </c>
    </row>
    <row r="30" spans="2:14">
      <c r="B30" s="27" t="s">
        <v>98</v>
      </c>
      <c r="C30" s="12">
        <v>4000</v>
      </c>
      <c r="D30" s="13">
        <v>20</v>
      </c>
      <c r="E30" s="10">
        <v>0.25</v>
      </c>
      <c r="F30" s="10">
        <v>0.05</v>
      </c>
      <c r="G30" s="28">
        <f>(C30-(C30*E30))/D30+C30/2*'Input sheet'!$H$8+'Input sheet'!$H$20*'Facilities and equipment'!C30</f>
        <v>350</v>
      </c>
    </row>
    <row r="31" spans="2:14" ht="16.5" thickBot="1">
      <c r="B31" s="165" t="s">
        <v>53</v>
      </c>
      <c r="C31" s="166">
        <f>SUM(C19:C30)</f>
        <v>90048.2</v>
      </c>
      <c r="D31" s="111"/>
      <c r="E31" s="167"/>
      <c r="F31" s="168">
        <f>SUMPRODUCT(C19:C30,F19:F30)</f>
        <v>3913.9639999999999</v>
      </c>
      <c r="G31" s="162">
        <f>SUM(G19:G27)</f>
        <v>7164.7857333333332</v>
      </c>
    </row>
    <row r="32" spans="2:14">
      <c r="B32" s="1" t="s">
        <v>99</v>
      </c>
      <c r="E32" s="33"/>
      <c r="F32" s="25"/>
    </row>
    <row r="33" spans="2:2">
      <c r="B33" s="1" t="s">
        <v>100</v>
      </c>
    </row>
    <row r="34" spans="2:2">
      <c r="B34" s="34"/>
    </row>
    <row r="38" spans="2:2" hidden="1">
      <c r="B38" s="34"/>
    </row>
  </sheetData>
  <sheetProtection sheet="1" objects="1" scenarios="1"/>
  <protectedRanges>
    <protectedRange sqref="C2 D4:F12 C5:C7 C9:C12 C17 C19:F22 D23:F23 C24:F30 J3:K9 I8 M15:N23 K17:L23" name="Input cells"/>
  </protectedRange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A4B58-8450-4E62-A1EE-132EA4A0F602}">
  <dimension ref="A1:P55"/>
  <sheetViews>
    <sheetView showGridLines="0" workbookViewId="0"/>
  </sheetViews>
  <sheetFormatPr defaultColWidth="0" defaultRowHeight="15" zeroHeight="1"/>
  <cols>
    <col min="1" max="1" width="3.140625" style="37" customWidth="1"/>
    <col min="2" max="2" width="39.5703125" style="37" customWidth="1"/>
    <col min="3" max="3" width="21.140625" style="37" customWidth="1"/>
    <col min="4" max="4" width="16.85546875" style="37" customWidth="1"/>
    <col min="5" max="5" width="17.85546875" style="37" customWidth="1"/>
    <col min="6" max="6" width="16.7109375" style="37" customWidth="1"/>
    <col min="7" max="7" width="12" style="37" bestFit="1" customWidth="1"/>
    <col min="8" max="8" width="3.28515625" style="37" customWidth="1"/>
    <col min="9" max="9" width="8.7109375" style="37" customWidth="1"/>
    <col min="10" max="10" width="7.28515625" style="37" bestFit="1" customWidth="1"/>
    <col min="11" max="15" width="12" style="37" bestFit="1" customWidth="1"/>
    <col min="16" max="16" width="3.28515625" style="37" customWidth="1"/>
    <col min="17" max="16384" width="10.28515625" style="37" hidden="1"/>
  </cols>
  <sheetData>
    <row r="1" spans="2:16" ht="20.25" customHeight="1">
      <c r="B1" s="246" t="s">
        <v>121</v>
      </c>
      <c r="C1" s="247"/>
      <c r="D1" s="247"/>
      <c r="E1" s="247"/>
      <c r="F1" s="247"/>
      <c r="G1" s="248"/>
      <c r="H1" s="36"/>
      <c r="I1" s="36"/>
      <c r="J1" s="36"/>
    </row>
    <row r="2" spans="2:16" ht="19.5" customHeight="1">
      <c r="B2" s="249"/>
      <c r="C2" s="250"/>
      <c r="E2" s="38" t="s">
        <v>122</v>
      </c>
      <c r="F2" s="39" t="s">
        <v>57</v>
      </c>
      <c r="G2" s="40"/>
      <c r="I2" s="178" t="s">
        <v>158</v>
      </c>
      <c r="J2" s="179"/>
      <c r="K2" s="179"/>
      <c r="L2" s="179"/>
      <c r="M2" s="179"/>
      <c r="N2" s="179"/>
      <c r="O2" s="180"/>
    </row>
    <row r="3" spans="2:16" ht="15.95" customHeight="1">
      <c r="B3" s="42"/>
      <c r="C3" s="43" t="s">
        <v>124</v>
      </c>
      <c r="D3" s="43" t="s">
        <v>125</v>
      </c>
      <c r="E3" s="44" t="s">
        <v>104</v>
      </c>
      <c r="F3" s="44" t="s">
        <v>126</v>
      </c>
      <c r="G3" s="45" t="s">
        <v>127</v>
      </c>
      <c r="I3" s="94"/>
      <c r="K3" s="251" t="s">
        <v>159</v>
      </c>
      <c r="L3" s="251"/>
      <c r="M3" s="251"/>
      <c r="N3" s="251"/>
      <c r="O3" s="252"/>
    </row>
    <row r="4" spans="2:16" ht="15.95" customHeight="1">
      <c r="B4" s="46" t="s">
        <v>129</v>
      </c>
      <c r="C4" s="47"/>
      <c r="D4" s="47"/>
      <c r="E4" s="41"/>
      <c r="F4" s="41"/>
      <c r="G4" s="48"/>
      <c r="I4" s="95"/>
      <c r="K4" s="89">
        <v>0.7</v>
      </c>
      <c r="L4" s="90">
        <v>0.8</v>
      </c>
      <c r="M4" s="90">
        <v>0.9</v>
      </c>
      <c r="N4" s="90">
        <v>1</v>
      </c>
      <c r="O4" s="91">
        <v>1.1000000000000001</v>
      </c>
    </row>
    <row r="5" spans="2:16" ht="15.95" customHeight="1">
      <c r="B5" s="49" t="s">
        <v>130</v>
      </c>
      <c r="C5" s="188" t="s">
        <v>131</v>
      </c>
      <c r="D5" s="50">
        <f>ROUNDDOWN('Input sheet'!D10*HLOOKUP(F2,J25:K26,2,FALSE)*'Input sheet'!D6/12*(1-'Input sheet'!D9/2),0)</f>
        <v>9372</v>
      </c>
      <c r="E5" s="51">
        <f>'Input sheet'!J33</f>
        <v>4.7000000000000011</v>
      </c>
      <c r="F5" s="52">
        <f>D5*E5</f>
        <v>44048.400000000009</v>
      </c>
      <c r="G5" s="53">
        <f>F5/IF($F$2=$J$25,$J$26,$K$26)</f>
        <v>73.414000000000016</v>
      </c>
      <c r="I5" s="253" t="s">
        <v>161</v>
      </c>
      <c r="J5" s="92">
        <v>1.45</v>
      </c>
      <c r="K5" s="77">
        <f>$D$5*K$4*$E$5*$J5+$F$6-(($D$5*K$4*$E$5*$J5+$F$6)*('Input sheet'!$H$19+'Input sheet'!$H$20+'Input sheet'!$H$21)+(SUM($F$11:$F$20,$F$23)+($D$21*$E$21*K$4)+$F$28+$F$30))-((($D$5*K$4*$E$5*$J5+$F$6)*('Input sheet'!$H$21)+(SUM($F$11:$F$20,$F$23)+($D$21*$E$21*K$4)))*$E$24*($D$24/12))</f>
        <v>-4449.6979053333271</v>
      </c>
      <c r="L5" s="77">
        <f>$D$5*L$4*$E$5*$J5+$F$6-(($D$5*L$4*$E$5*$J5+$F$6)*('Input sheet'!$H$19+'Input sheet'!$H$20+'Input sheet'!$H$21)+(SUM($F$11:$F$20,$F$23)+($D$21*$E$21*L$4)+$F$28+$F$30))-((($D$5*L$4*$E$5*$J5+$F$6)*('Input sheet'!$H$21)+(SUM($F$11:$F$20,$F$23)+($D$21*$E$21*L$4)))*$E$24*($D$24/12))</f>
        <v>313.40553866667267</v>
      </c>
      <c r="M5" s="77">
        <f>$D$5*M$4*$E$5*$J5+$F$6-(($D$5*M$4*$E$5*$J5+$F$6)*('Input sheet'!$H$19+'Input sheet'!$H$20+'Input sheet'!$H$21)+(SUM($F$11:$F$20,$F$23)+($D$21*$E$21*M$4)+$F$28+$F$30))-((($D$5*M$4*$E$5*$J5+$F$6)*('Input sheet'!$H$21)+(SUM($F$11:$F$20,$F$23)+($D$21*$E$21*M$4)))*$E$24*($D$24/12))</f>
        <v>5076.5089826666872</v>
      </c>
      <c r="N5" s="77">
        <f>$D$5*N$4*$E$5*$J5+$F$6-(($D$5*N$4*$E$5*$J5+$F$6)*('Input sheet'!$H$19+'Input sheet'!$H$20+'Input sheet'!$H$21)+(SUM($F$11:$F$20,$F$23)+($D$21*$E$21*N$4)+$F$28+$F$30))-((($D$5*N$4*$E$5*$J5+$F$6)*('Input sheet'!$H$21)+(SUM($F$11:$F$20,$F$23)+($D$21*$E$21*N$4)))*$E$24*($D$24/12))</f>
        <v>9839.6124266666739</v>
      </c>
      <c r="O5" s="93">
        <f>$D$5*O$4*$E$5*$J5+$F$6-(($D$5*O$4*$E$5*$J5+$F$6)*('Input sheet'!$H$19+'Input sheet'!$H$20+'Input sheet'!$H$21)+(SUM($F$11:$F$20,$F$23)+($D$21*$E$21*O$4)+$F$28+$F$30))-((($D$5*O$4*$E$5*$J5+$F$6)*('Input sheet'!$H$21)+(SUM($F$11:$F$20,$F$23)+($D$21*$E$21*O$4)))*$E$24*($D$24/12))</f>
        <v>14602.715870666687</v>
      </c>
    </row>
    <row r="6" spans="2:16" ht="15.95" customHeight="1">
      <c r="B6" s="49" t="s">
        <v>133</v>
      </c>
      <c r="C6" s="188" t="s">
        <v>134</v>
      </c>
      <c r="D6" s="50">
        <f>ROUNDDOWN(HLOOKUP(F2,J25:K26,2,FALSE)/('Input sheet'!D5/52)*(1-'Input sheet'!D9),0)</f>
        <v>263</v>
      </c>
      <c r="E6" s="51">
        <f>'Input sheet'!J14</f>
        <v>8</v>
      </c>
      <c r="F6" s="52">
        <f>D6*E6</f>
        <v>2104</v>
      </c>
      <c r="G6" s="53">
        <f>F6/IF($F$2=$J$25,$J$26,$K$26)</f>
        <v>3.5066666666666668</v>
      </c>
      <c r="I6" s="253"/>
      <c r="J6" s="92">
        <v>1.3</v>
      </c>
      <c r="K6" s="77">
        <f>$D$5*K$4*$E$5*$J6+$F$6-(($D$5*K$4*$E$5*$J6+$F$6)*('Input sheet'!$H$19+'Input sheet'!$H$20+'Input sheet'!$H$21)+(SUM($F$11:$F$20,$F$23)+($D$21*$E$21*K$4)+$F$28+$F$30))-((($D$5*K$4*$E$5*$J6+$F$6)*('Input sheet'!$H$21)+(SUM($F$11:$F$20,$F$23)+($D$21*$E$21*K$4)))*$E$24*($D$24/12))</f>
        <v>-8418.0182613333218</v>
      </c>
      <c r="L6" s="77">
        <f>$D$5*L$4*$E$5*$J6+$F$6-(($D$5*L$4*$E$5*$J6+$F$6)*('Input sheet'!$H$19+'Input sheet'!$H$20+'Input sheet'!$H$21)+(SUM($F$11:$F$20,$F$23)+($D$21*$E$21*L$4)+$F$28+$F$30))-((($D$5*L$4*$E$5*$J6+$F$6)*('Input sheet'!$H$21)+(SUM($F$11:$F$20,$F$23)+($D$21*$E$21*L$4)))*$E$24*($D$24/12))</f>
        <v>-4221.8177253333288</v>
      </c>
      <c r="M6" s="77">
        <f>$D$5*M$4*$E$5*$J6+$F$6-(($D$5*M$4*$E$5*$J6+$F$6)*('Input sheet'!$H$19+'Input sheet'!$H$20+'Input sheet'!$H$21)+(SUM($F$11:$F$20,$F$23)+($D$21*$E$21*M$4)+$F$28+$F$30))-((($D$5*M$4*$E$5*$J6+$F$6)*('Input sheet'!$H$21)+(SUM($F$11:$F$20,$F$23)+($D$21*$E$21*M$4)))*$E$24*($D$24/12))</f>
        <v>-25.617189333314059</v>
      </c>
      <c r="N6" s="77">
        <f>$D$5*N$4*$E$5*$J6+$F$6-(($D$5*N$4*$E$5*$J6+$F$6)*('Input sheet'!$H$19+'Input sheet'!$H$20+'Input sheet'!$H$21)+(SUM($F$11:$F$20,$F$23)+($D$21*$E$21*N$4)+$F$28+$F$30))-((($D$5*N$4*$E$5*$J6+$F$6)*('Input sheet'!$H$21)+(SUM($F$11:$F$20,$F$23)+($D$21*$E$21*N$4)))*$E$24*($D$24/12))</f>
        <v>4170.5833466666782</v>
      </c>
      <c r="O6" s="93">
        <f>$D$5*O$4*$E$5*$J6+$F$6-(($D$5*O$4*$E$5*$J6+$F$6)*('Input sheet'!$H$19+'Input sheet'!$H$20+'Input sheet'!$H$21)+(SUM($F$11:$F$20,$F$23)+($D$21*$E$21*O$4)+$F$28+$F$30))-((($D$5*O$4*$E$5*$J6+$F$6)*('Input sheet'!$H$21)+(SUM($F$11:$F$20,$F$23)+($D$21*$E$21*O$4)))*$E$24*($D$24/12))</f>
        <v>8366.7838826666848</v>
      </c>
    </row>
    <row r="7" spans="2:16" ht="15.95" customHeight="1">
      <c r="B7" s="54" t="s">
        <v>135</v>
      </c>
      <c r="C7" s="189"/>
      <c r="D7" s="38"/>
      <c r="E7" s="51"/>
      <c r="F7" s="55">
        <f>D7*E7</f>
        <v>0</v>
      </c>
      <c r="G7" s="56">
        <f>F7/IF($F$2=$J$25,$J$26,$K$26)</f>
        <v>0</v>
      </c>
      <c r="I7" s="253"/>
      <c r="J7" s="92">
        <v>1.1499999999999999</v>
      </c>
      <c r="K7" s="77">
        <f>$D$5*K$4*$E$5*$J7+$F$6-(($D$5*K$4*$E$5*$J7+$F$6)*('Input sheet'!$H$19+'Input sheet'!$H$20+'Input sheet'!$H$21)+(SUM($F$11:$F$20,$F$23)+($D$21*$E$21*K$4)+$F$28+$F$30))-((($D$5*K$4*$E$5*$J7+$F$6)*('Input sheet'!$H$21)+(SUM($F$11:$F$20,$F$23)+($D$21*$E$21*K$4)))*$E$24*($D$24/12))</f>
        <v>-12386.338617333329</v>
      </c>
      <c r="L7" s="77">
        <f>$D$5*L$4*$E$5*$J7+$F$6-(($D$5*L$4*$E$5*$J7+$F$6)*('Input sheet'!$H$19+'Input sheet'!$H$20+'Input sheet'!$H$21)+(SUM($F$11:$F$20,$F$23)+($D$21*$E$21*L$4)+$F$28+$F$30))-((($D$5*L$4*$E$5*$J7+$F$6)*('Input sheet'!$H$21)+(SUM($F$11:$F$20,$F$23)+($D$21*$E$21*L$4)))*$E$24*($D$24/12))</f>
        <v>-8757.0409893333308</v>
      </c>
      <c r="M7" s="77">
        <f>$D$5*M$4*$E$5*$J7+$F$6-(($D$5*M$4*$E$5*$J7+$F$6)*('Input sheet'!$H$19+'Input sheet'!$H$20+'Input sheet'!$H$21)+(SUM($F$11:$F$20,$F$23)+($D$21*$E$21*M$4)+$F$28+$F$30))-((($D$5*M$4*$E$5*$J7+$F$6)*('Input sheet'!$H$21)+(SUM($F$11:$F$20,$F$23)+($D$21*$E$21*M$4)))*$E$24*($D$24/12))</f>
        <v>-5127.743361333316</v>
      </c>
      <c r="N7" s="77">
        <f>$D$5*N$4*$E$5*$J7+$F$6-(($D$5*N$4*$E$5*$J7+$F$6)*('Input sheet'!$H$19+'Input sheet'!$H$20+'Input sheet'!$H$21)+(SUM($F$11:$F$20,$F$23)+($D$21*$E$21*N$4)+$F$28+$F$30))-((($D$5*N$4*$E$5*$J7+$F$6)*('Input sheet'!$H$21)+(SUM($F$11:$F$20,$F$23)+($D$21*$E$21*N$4)))*$E$24*($D$24/12))</f>
        <v>-1498.4457333333303</v>
      </c>
      <c r="O7" s="93">
        <f>$D$5*O$4*$E$5*$J7+$F$6-(($D$5*O$4*$E$5*$J7+$F$6)*('Input sheet'!$H$19+'Input sheet'!$H$20+'Input sheet'!$H$21)+(SUM($F$11:$F$20,$F$23)+($D$21*$E$21*O$4)+$F$28+$F$30))-((($D$5*O$4*$E$5*$J7+$F$6)*('Input sheet'!$H$21)+(SUM($F$11:$F$20,$F$23)+($D$21*$E$21*O$4)))*$E$24*($D$24/12))</f>
        <v>2130.8518946666768</v>
      </c>
    </row>
    <row r="8" spans="2:16" ht="15.95" customHeight="1">
      <c r="B8" s="57" t="s">
        <v>136</v>
      </c>
      <c r="C8" s="189"/>
      <c r="D8" s="58"/>
      <c r="F8" s="59">
        <f>SUM(F5:F7)</f>
        <v>46152.400000000009</v>
      </c>
      <c r="G8" s="60">
        <f>F8/IF($F$2=$J$25,$J$26,$K$26)</f>
        <v>76.920666666666676</v>
      </c>
      <c r="I8" s="253"/>
      <c r="J8" s="92">
        <v>1</v>
      </c>
      <c r="K8" s="77">
        <f>$D$5*K$4*$E$5*$J8+$F$6-(($D$5*K$4*$E$5*$J8+$F$6)*('Input sheet'!$H$19+'Input sheet'!$H$20+'Input sheet'!$H$21)+(SUM($F$11:$F$20,$F$23)+($D$21*$E$21*K$4)+$F$28+$F$30))-((($D$5*K$4*$E$5*$J8+$F$6)*('Input sheet'!$H$21)+(SUM($F$11:$F$20,$F$23)+($D$21*$E$21*K$4)))*$E$24*($D$24/12))</f>
        <v>-16354.658973333324</v>
      </c>
      <c r="L8" s="77">
        <f>$D$5*L$4*$E$5*$J8+$F$6-(($D$5*L$4*$E$5*$J8+$F$6)*('Input sheet'!$H$19+'Input sheet'!$H$20+'Input sheet'!$H$21)+(SUM($F$11:$F$20,$F$23)+($D$21*$E$21*L$4)+$F$28+$F$30))-((($D$5*L$4*$E$5*$J8+$F$6)*('Input sheet'!$H$21)+(SUM($F$11:$F$20,$F$23)+($D$21*$E$21*L$4)))*$E$24*($D$24/12))</f>
        <v>-13292.264253333331</v>
      </c>
      <c r="M8" s="77">
        <f>$D$5*M$4*$E$5*$J8+$F$6-(($D$5*M$4*$E$5*$J8+$F$6)*('Input sheet'!$H$19+'Input sheet'!$H$20+'Input sheet'!$H$21)+(SUM($F$11:$F$20,$F$23)+($D$21*$E$21*M$4)+$F$28+$F$30))-((($D$5*M$4*$E$5*$J8+$F$6)*('Input sheet'!$H$21)+(SUM($F$11:$F$20,$F$23)+($D$21*$E$21*M$4)))*$E$24*($D$24/12))</f>
        <v>-10229.869533333316</v>
      </c>
      <c r="N8" s="96">
        <f>$D$5*N$4*$E$5*$J8+$F$6-(($D$5*N$4*$E$5*$J8+$F$6)*('Input sheet'!$H$19+'Input sheet'!$H$20+'Input sheet'!$H$21)+(SUM($F$11:$F$20,$F$23)+($D$21*$E$21*N$4)+$F$28+$F$30))-((($D$5*N$4*$E$5*$J8+$F$6)*('Input sheet'!$H$21)+(SUM($F$11:$F$20,$F$23)+($D$21*$E$21*N$4)))*$E$24*($D$24/12))</f>
        <v>-7167.4748133333251</v>
      </c>
      <c r="O8" s="93">
        <f>$D$5*O$4*$E$5*$J8+$F$6-(($D$5*O$4*$E$5*$J8+$F$6)*('Input sheet'!$H$19+'Input sheet'!$H$20+'Input sheet'!$H$21)+(SUM($F$11:$F$20,$F$23)+($D$21*$E$21*O$4)+$F$28+$F$30))-((($D$5*O$4*$E$5*$J8+$F$6)*('Input sheet'!$H$21)+(SUM($F$11:$F$20,$F$23)+($D$21*$E$21*O$4)))*$E$24*($D$24/12))</f>
        <v>-4105.0800933333176</v>
      </c>
    </row>
    <row r="9" spans="2:16" ht="15.95" customHeight="1">
      <c r="B9" s="61"/>
      <c r="C9" s="189"/>
      <c r="D9" s="58"/>
      <c r="E9" s="38"/>
      <c r="F9" s="38"/>
      <c r="G9" s="62"/>
      <c r="I9" s="253"/>
      <c r="J9" s="92">
        <v>0.85</v>
      </c>
      <c r="K9" s="77">
        <f>$D$5*K$4*$E$5*$J9+$F$6-(($D$5*K$4*$E$5*$J9+$F$6)*('Input sheet'!$H$19+'Input sheet'!$H$20+'Input sheet'!$H$21)+(SUM($F$11:$F$20,$F$23)+($D$21*$E$21*K$4)+$F$28+$F$30))-((($D$5*K$4*$E$5*$J9+$F$6)*('Input sheet'!$H$21)+(SUM($F$11:$F$20,$F$23)+($D$21*$E$21*K$4)))*$E$24*($D$24/12))</f>
        <v>-20322.979329333324</v>
      </c>
      <c r="L9" s="77">
        <f>$D$5*L$4*$E$5*$J9+$F$6-(($D$5*L$4*$E$5*$J9+$F$6)*('Input sheet'!$H$19+'Input sheet'!$H$20+'Input sheet'!$H$21)+(SUM($F$11:$F$20,$F$23)+($D$21*$E$21*L$4)+$F$28+$F$30))-((($D$5*L$4*$E$5*$J9+$F$6)*('Input sheet'!$H$21)+(SUM($F$11:$F$20,$F$23)+($D$21*$E$21*L$4)))*$E$24*($D$24/12))</f>
        <v>-17827.487517333328</v>
      </c>
      <c r="M9" s="77">
        <f>$D$5*M$4*$E$5*$J9+$F$6-(($D$5*M$4*$E$5*$J9+$F$6)*('Input sheet'!$H$19+'Input sheet'!$H$20+'Input sheet'!$H$21)+(SUM($F$11:$F$20,$F$23)+($D$21*$E$21*M$4)+$F$28+$F$30))-((($D$5*M$4*$E$5*$J9+$F$6)*('Input sheet'!$H$21)+(SUM($F$11:$F$20,$F$23)+($D$21*$E$21*M$4)))*$E$24*($D$24/12))</f>
        <v>-15331.995705333318</v>
      </c>
      <c r="N9" s="77">
        <f>$D$5*N$4*$E$5*$J9+$F$6-(($D$5*N$4*$E$5*$J9+$F$6)*('Input sheet'!$H$19+'Input sheet'!$H$20+'Input sheet'!$H$21)+(SUM($F$11:$F$20,$F$23)+($D$21*$E$21*N$4)+$F$28+$F$30))-((($D$5*N$4*$E$5*$J9+$F$6)*('Input sheet'!$H$21)+(SUM($F$11:$F$20,$F$23)+($D$21*$E$21*N$4)))*$E$24*($D$24/12))</f>
        <v>-12836.503893333327</v>
      </c>
      <c r="O9" s="93">
        <f>$D$5*O$4*$E$5*$J9+$F$6-(($D$5*O$4*$E$5*$J9+$F$6)*('Input sheet'!$H$19+'Input sheet'!$H$20+'Input sheet'!$H$21)+(SUM($F$11:$F$20,$F$23)+($D$21*$E$21*O$4)+$F$28+$F$30))-((($D$5*O$4*$E$5*$J9+$F$6)*('Input sheet'!$H$21)+(SUM($F$11:$F$20,$F$23)+($D$21*$E$21*O$4)))*$E$24*($D$24/12))</f>
        <v>-10341.012081333327</v>
      </c>
    </row>
    <row r="10" spans="2:16" ht="15.95" customHeight="1">
      <c r="B10" s="63" t="s">
        <v>137</v>
      </c>
      <c r="C10" s="190"/>
      <c r="D10" s="47"/>
      <c r="E10" s="41"/>
      <c r="F10" s="41"/>
      <c r="G10" s="62"/>
      <c r="I10" s="253"/>
      <c r="J10" s="92">
        <v>0.7</v>
      </c>
      <c r="K10" s="77">
        <f>$D$5*K$4*$E$5*$J10+$F$6-(($D$5*K$4*$E$5*$J10+$F$6)*('Input sheet'!$H$19+'Input sheet'!$H$20+'Input sheet'!$H$21)+(SUM($F$11:$F$20,$F$23)+($D$21*$E$21*K$4)+$F$28+$F$30))-((($D$5*K$4*$E$5*$J10+$F$6)*('Input sheet'!$H$21)+(SUM($F$11:$F$20,$F$23)+($D$21*$E$21*K$4)))*$E$24*($D$24/12))</f>
        <v>-24291.299685333324</v>
      </c>
      <c r="L10" s="77">
        <f>$D$5*L$4*$E$5*$J10+$F$6-(($D$5*L$4*$E$5*$J10+$F$6)*('Input sheet'!$H$19+'Input sheet'!$H$20+'Input sheet'!$H$21)+(SUM($F$11:$F$20,$F$23)+($D$21*$E$21*L$4)+$F$28+$F$30))-((($D$5*L$4*$E$5*$J10+$F$6)*('Input sheet'!$H$21)+(SUM($F$11:$F$20,$F$23)+($D$21*$E$21*L$4)))*$E$24*($D$24/12))</f>
        <v>-22362.710781333331</v>
      </c>
      <c r="M10" s="77">
        <f>$D$5*M$4*$E$5*$J10+$F$6-(($D$5*M$4*$E$5*$J10+$F$6)*('Input sheet'!$H$19+'Input sheet'!$H$20+'Input sheet'!$H$21)+(SUM($F$11:$F$20,$F$23)+($D$21*$E$21*M$4)+$F$28+$F$30))-((($D$5*M$4*$E$5*$J10+$F$6)*('Input sheet'!$H$21)+(SUM($F$11:$F$20,$F$23)+($D$21*$E$21*M$4)))*$E$24*($D$24/12))</f>
        <v>-20434.121877333328</v>
      </c>
      <c r="N10" s="77">
        <f>$D$5*N$4*$E$5*$J10+$F$6-(($D$5*N$4*$E$5*$J10+$F$6)*('Input sheet'!$H$19+'Input sheet'!$H$20+'Input sheet'!$H$21)+(SUM($F$11:$F$20,$F$23)+($D$21*$E$21*N$4)+$F$28+$F$30))-((($D$5*N$4*$E$5*$J10+$F$6)*('Input sheet'!$H$21)+(SUM($F$11:$F$20,$F$23)+($D$21*$E$21*N$4)))*$E$24*($D$24/12))</f>
        <v>-18505.532973333327</v>
      </c>
      <c r="O10" s="93">
        <f>$D$5*O$4*$E$5*$J10+$F$6-(($D$5*O$4*$E$5*$J10+$F$6)*('Input sheet'!$H$19+'Input sheet'!$H$20+'Input sheet'!$H$21)+(SUM($F$11:$F$20,$F$23)+($D$21*$E$21*O$4)+$F$28+$F$30))-((($D$5*O$4*$E$5*$J10+$F$6)*('Input sheet'!$H$21)+(SUM($F$11:$F$20,$F$23)+($D$21*$E$21*O$4)))*$E$24*($D$24/12))</f>
        <v>-16576.944069333327</v>
      </c>
    </row>
    <row r="11" spans="2:16" ht="15.95" customHeight="1">
      <c r="B11" s="54" t="s">
        <v>13</v>
      </c>
      <c r="C11" s="188" t="s">
        <v>206</v>
      </c>
      <c r="D11" s="212">
        <f>ROUNDUP('Input sheet'!D3/'Input sheet'!D14*2*'Input sheet'!D13*Layers!D15/'Input sheet'!D15,0)</f>
        <v>32</v>
      </c>
      <c r="E11" s="65">
        <f>'Input sheet'!J6</f>
        <v>20</v>
      </c>
      <c r="F11" s="52">
        <f>D11*E11</f>
        <v>640</v>
      </c>
      <c r="G11" s="53">
        <f t="shared" ref="G11:G22" si="0">F11/IF($F$2=$J$25,$J$26,$K$26)</f>
        <v>1.0666666666666667</v>
      </c>
      <c r="I11" s="254"/>
      <c r="J11" s="91">
        <v>0.55000000000000004</v>
      </c>
      <c r="K11" s="97">
        <f>$D$5*K$4*$E$5*$J11+$F$6-(($D$5*K$4*$E$5*$J11+$F$6)*('Input sheet'!$H$19+'Input sheet'!$H$20+'Input sheet'!$H$21)+(SUM($F$11:$F$20,$F$23)+($D$21*$E$21*K$4)+$F$28+$F$30))-((($D$5*K$4*$E$5*$J11+$F$6)*('Input sheet'!$H$21)+(SUM($F$11:$F$20,$F$23)+($D$21*$E$21*K$4)))*$E$24*($D$24/12))</f>
        <v>-28259.620041333321</v>
      </c>
      <c r="L11" s="97">
        <f>$D$5*L$4*$E$5*$J11+$F$6-(($D$5*L$4*$E$5*$J11+$F$6)*('Input sheet'!$H$19+'Input sheet'!$H$20+'Input sheet'!$H$21)+(SUM($F$11:$F$20,$F$23)+($D$21*$E$21*L$4)+$F$28+$F$30))-((($D$5*L$4*$E$5*$J11+$F$6)*('Input sheet'!$H$21)+(SUM($F$11:$F$20,$F$23)+($D$21*$E$21*L$4)))*$E$24*($D$24/12))</f>
        <v>-26897.934045333332</v>
      </c>
      <c r="M11" s="97">
        <f>$D$5*M$4*$E$5*$J11+$F$6-(($D$5*M$4*$E$5*$J11+$F$6)*('Input sheet'!$H$19+'Input sheet'!$H$20+'Input sheet'!$H$21)+(SUM($F$11:$F$20,$F$23)+($D$21*$E$21*M$4)+$F$28+$F$30))-((($D$5*M$4*$E$5*$J11+$F$6)*('Input sheet'!$H$21)+(SUM($F$11:$F$20,$F$23)+($D$21*$E$21*M$4)))*$E$24*($D$24/12))</f>
        <v>-25536.248049333317</v>
      </c>
      <c r="N11" s="97">
        <f>$D$5*N$4*$E$5*$J11+$F$6-(($D$5*N$4*$E$5*$J11+$F$6)*('Input sheet'!$H$19+'Input sheet'!$H$20+'Input sheet'!$H$21)+(SUM($F$11:$F$20,$F$23)+($D$21*$E$21*N$4)+$F$28+$F$30))-((($D$5*N$4*$E$5*$J11+$F$6)*('Input sheet'!$H$21)+(SUM($F$11:$F$20,$F$23)+($D$21*$E$21*N$4)))*$E$24*($D$24/12))</f>
        <v>-24174.562053333328</v>
      </c>
      <c r="O11" s="98">
        <f>$D$5*O$4*$E$5*$J11+$F$6-(($D$5*O$4*$E$5*$J11+$F$6)*('Input sheet'!$H$19+'Input sheet'!$H$20+'Input sheet'!$H$21)+(SUM($F$11:$F$20,$F$23)+($D$21*$E$21*O$4)+$F$28+$F$30))-((($D$5*O$4*$E$5*$J11+$F$6)*('Input sheet'!$H$21)+(SUM($F$11:$F$20,$F$23)+($D$21*$E$21*O$4)))*$E$24*($D$24/12))</f>
        <v>-22812.876057333327</v>
      </c>
      <c r="P11" s="64"/>
    </row>
    <row r="12" spans="2:16" ht="15.95" customHeight="1">
      <c r="B12" s="54" t="s">
        <v>216</v>
      </c>
      <c r="C12" s="188" t="str">
        <f>C11</f>
        <v>50 lb bags</v>
      </c>
      <c r="D12" s="212">
        <f>ROUNDUP(('Input sheet'!D4-2-'Input sheet'!D3)*'Input sheet'!D13*'Input sheet'!D8*0.75/'Input sheet'!D15*D15,0)</f>
        <v>111</v>
      </c>
      <c r="E12" s="65">
        <f>'Input sheet'!J5</f>
        <v>15.75</v>
      </c>
      <c r="F12" s="52">
        <f>D12*E12</f>
        <v>1748.25</v>
      </c>
      <c r="G12" s="53">
        <f t="shared" si="0"/>
        <v>2.9137499999999998</v>
      </c>
      <c r="I12" s="183"/>
      <c r="J12" s="184"/>
      <c r="K12" s="77"/>
      <c r="L12" s="77"/>
      <c r="M12" s="77"/>
      <c r="N12" s="77"/>
      <c r="O12" s="77"/>
      <c r="P12" s="64"/>
    </row>
    <row r="13" spans="2:16" ht="15.95" customHeight="1">
      <c r="B13" s="54" t="str">
        <f>IF(F2=J25,"Bagged feed","Custom Feed Ration")</f>
        <v>Custom Feed Ration</v>
      </c>
      <c r="C13" s="189" t="str">
        <f>IF(F2=J25,"50 lb bags","Tons")</f>
        <v>Tons</v>
      </c>
      <c r="D13" s="213">
        <f>ROUNDUP(IF(F2=J25,'Input sheet'!D8*('Input sheet'!D5-'Input sheet'!D4-'Input sheet'!D7)*'Input sheet'!D13/2/'Input sheet'!D15*J26,'Input sheet'!D8*('Input sheet'!D5-'Input sheet'!D4-'Input sheet'!D7)*7*Layers!K26/2000)/2,0)</f>
        <v>21</v>
      </c>
      <c r="E13" s="65">
        <f>IF(F2=J25,'Input sheet'!J4,'Input sheet'!J3)</f>
        <v>320</v>
      </c>
      <c r="F13" s="52">
        <f>D13*E13</f>
        <v>6720</v>
      </c>
      <c r="G13" s="53">
        <f t="shared" si="0"/>
        <v>11.2</v>
      </c>
      <c r="I13" s="177"/>
    </row>
    <row r="14" spans="2:16" ht="15.95" customHeight="1">
      <c r="B14" s="54" t="s">
        <v>16</v>
      </c>
      <c r="C14" s="189" t="s">
        <v>138</v>
      </c>
      <c r="D14" s="50">
        <f>IF(F2=J25,J27,K27)*52</f>
        <v>754</v>
      </c>
      <c r="E14" s="65">
        <f>'Input sheet'!H7</f>
        <v>19.5</v>
      </c>
      <c r="F14" s="52">
        <f t="shared" ref="F14:F15" si="1">E14*D14</f>
        <v>14703</v>
      </c>
      <c r="G14" s="53">
        <f t="shared" si="0"/>
        <v>24.504999999999999</v>
      </c>
      <c r="I14" s="64"/>
      <c r="J14" s="169" t="s">
        <v>13</v>
      </c>
      <c r="K14" s="169"/>
      <c r="L14" s="169" t="s">
        <v>218</v>
      </c>
      <c r="M14" s="169" t="s">
        <v>219</v>
      </c>
    </row>
    <row r="15" spans="2:16" ht="15.95" customHeight="1">
      <c r="B15" s="54" t="s">
        <v>139</v>
      </c>
      <c r="C15" s="189" t="s">
        <v>140</v>
      </c>
      <c r="D15" s="50">
        <f>HLOOKUP(F2,J25:K28,2,FALSE)/2</f>
        <v>300</v>
      </c>
      <c r="E15" s="65">
        <f>'Input sheet'!J13</f>
        <v>4.1500000000000004</v>
      </c>
      <c r="F15" s="52">
        <f t="shared" si="1"/>
        <v>1245</v>
      </c>
      <c r="G15" s="53">
        <f t="shared" si="0"/>
        <v>2.0750000000000002</v>
      </c>
      <c r="I15" s="64"/>
      <c r="J15" s="169" t="s">
        <v>216</v>
      </c>
      <c r="K15" s="169"/>
      <c r="L15" s="169" t="s">
        <v>220</v>
      </c>
      <c r="M15" s="169" t="s">
        <v>221</v>
      </c>
    </row>
    <row r="16" spans="2:16" ht="15.95" customHeight="1">
      <c r="B16" s="54" t="s">
        <v>141</v>
      </c>
      <c r="C16" s="189" t="s">
        <v>142</v>
      </c>
      <c r="D16" s="50"/>
      <c r="E16" s="65"/>
      <c r="F16" s="52">
        <f>IF(F2=K25,'Brooder Budget'!F24,'Brooder Budget'!E24)*'Input sheet'!D3</f>
        <v>697.5</v>
      </c>
      <c r="G16" s="53">
        <f t="shared" si="0"/>
        <v>1.1625000000000001</v>
      </c>
      <c r="I16" s="64"/>
      <c r="J16" s="169" t="s">
        <v>217</v>
      </c>
      <c r="K16" s="169"/>
      <c r="L16" s="169" t="s">
        <v>222</v>
      </c>
      <c r="M16" s="169" t="s">
        <v>223</v>
      </c>
    </row>
    <row r="17" spans="2:11" ht="15.95" customHeight="1">
      <c r="B17" s="54" t="s">
        <v>143</v>
      </c>
      <c r="C17" s="189"/>
      <c r="D17" s="66"/>
      <c r="E17" s="65"/>
      <c r="F17" s="71"/>
      <c r="G17" s="53">
        <f t="shared" si="0"/>
        <v>0</v>
      </c>
      <c r="I17" s="64"/>
    </row>
    <row r="18" spans="2:11" ht="15.95" customHeight="1">
      <c r="B18" s="68" t="s">
        <v>144</v>
      </c>
      <c r="C18" s="189"/>
      <c r="D18" s="66"/>
      <c r="E18" s="65"/>
      <c r="F18" s="67">
        <f>IF(F2=J25,J28,K28)</f>
        <v>600</v>
      </c>
      <c r="G18" s="53">
        <f t="shared" si="0"/>
        <v>1</v>
      </c>
      <c r="I18" s="64"/>
    </row>
    <row r="19" spans="2:11" ht="15.95" customHeight="1">
      <c r="B19" s="54" t="s">
        <v>145</v>
      </c>
      <c r="C19" s="189"/>
      <c r="D19" s="66"/>
      <c r="E19" s="65"/>
      <c r="F19" s="67">
        <f>IF(F2=K25,'Facilities and equipment'!F31,'Facilities and equipment'!F13)</f>
        <v>3913.9639999999999</v>
      </c>
      <c r="G19" s="53">
        <f t="shared" si="0"/>
        <v>6.523273333333333</v>
      </c>
      <c r="I19" s="64"/>
    </row>
    <row r="20" spans="2:11" ht="15.95" customHeight="1">
      <c r="B20" s="54" t="s">
        <v>21</v>
      </c>
      <c r="C20" s="189" t="s">
        <v>146</v>
      </c>
      <c r="D20" s="69">
        <v>1000</v>
      </c>
      <c r="E20" s="65">
        <f>'Input sheet'!H9</f>
        <v>0.9</v>
      </c>
      <c r="F20" s="67">
        <f>D20*E20</f>
        <v>900</v>
      </c>
      <c r="G20" s="53">
        <f t="shared" si="0"/>
        <v>1.5</v>
      </c>
    </row>
    <row r="21" spans="2:11" ht="15.95" customHeight="1">
      <c r="B21" s="54" t="s">
        <v>28</v>
      </c>
      <c r="C21" s="189" t="s">
        <v>29</v>
      </c>
      <c r="D21" s="66">
        <f>D5</f>
        <v>9372</v>
      </c>
      <c r="E21" s="65">
        <f>'Input sheet'!H11</f>
        <v>0.75</v>
      </c>
      <c r="F21" s="67">
        <f>E21*D5</f>
        <v>7029</v>
      </c>
      <c r="G21" s="53">
        <f t="shared" si="0"/>
        <v>11.715</v>
      </c>
    </row>
    <row r="22" spans="2:11" ht="15.95" customHeight="1">
      <c r="B22" s="54" t="s">
        <v>147</v>
      </c>
      <c r="C22" s="189" t="s">
        <v>47</v>
      </c>
      <c r="D22" s="66"/>
      <c r="E22" s="70">
        <f>'Input sheet'!H21</f>
        <v>0.1</v>
      </c>
      <c r="F22" s="67">
        <f>E22*$F$8</f>
        <v>4615.2400000000007</v>
      </c>
      <c r="G22" s="53">
        <f t="shared" si="0"/>
        <v>7.6920666666666682</v>
      </c>
    </row>
    <row r="23" spans="2:11" ht="15.95" customHeight="1">
      <c r="B23" s="54" t="s">
        <v>148</v>
      </c>
      <c r="C23" s="189"/>
      <c r="D23" s="66"/>
      <c r="E23" s="70"/>
      <c r="F23" s="71">
        <v>40</v>
      </c>
      <c r="G23" s="53"/>
    </row>
    <row r="24" spans="2:11" ht="15.95" customHeight="1">
      <c r="B24" s="54" t="s">
        <v>18</v>
      </c>
      <c r="C24" s="191" t="s">
        <v>149</v>
      </c>
      <c r="D24" s="72">
        <v>3</v>
      </c>
      <c r="E24" s="99">
        <f>'Input sheet'!H8</f>
        <v>0.08</v>
      </c>
      <c r="F24" s="73">
        <f>SUM(F11:F23)*E24*(D24/12)</f>
        <v>857.03908000000001</v>
      </c>
      <c r="G24" s="56">
        <f>F24/IF($F$2=$J$25,$J$26,$K$26)</f>
        <v>1.4283984666666667</v>
      </c>
    </row>
    <row r="25" spans="2:11" ht="15.95" customHeight="1">
      <c r="B25" s="57" t="s">
        <v>150</v>
      </c>
      <c r="C25" s="189"/>
      <c r="D25" s="58"/>
      <c r="F25" s="59">
        <f>SUM(F11:F13,F14:F24)</f>
        <v>43708.99308</v>
      </c>
      <c r="G25" s="60">
        <f>F25/IF($F$2=$J$25,$J$26,$K$26)</f>
        <v>72.848321799999994</v>
      </c>
      <c r="I25" s="169"/>
      <c r="J25" s="170" t="s">
        <v>123</v>
      </c>
      <c r="K25" s="169" t="s">
        <v>57</v>
      </c>
    </row>
    <row r="26" spans="2:11" ht="15.95" customHeight="1">
      <c r="B26" s="61"/>
      <c r="C26" s="189"/>
      <c r="D26" s="58"/>
      <c r="E26" s="38"/>
      <c r="F26" s="74"/>
      <c r="G26" s="75"/>
      <c r="I26" s="169" t="s">
        <v>128</v>
      </c>
      <c r="J26" s="170">
        <f>'Facilities and equipment'!C2</f>
        <v>60</v>
      </c>
      <c r="K26" s="169">
        <f>'Facilities and equipment'!C17</f>
        <v>600</v>
      </c>
    </row>
    <row r="27" spans="2:11" ht="15.95" customHeight="1">
      <c r="B27" s="63" t="s">
        <v>151</v>
      </c>
      <c r="C27" s="189"/>
      <c r="D27" s="58"/>
      <c r="E27" s="38"/>
      <c r="F27" s="41"/>
      <c r="G27" s="76"/>
      <c r="I27" s="169" t="s">
        <v>16</v>
      </c>
      <c r="J27" s="170">
        <f>'Facilities and equipment'!F2</f>
        <v>6</v>
      </c>
      <c r="K27" s="169">
        <f>'Facilities and equipment'!F17</f>
        <v>14.5</v>
      </c>
    </row>
    <row r="28" spans="2:11" ht="15.95" customHeight="1">
      <c r="B28" s="54" t="s">
        <v>152</v>
      </c>
      <c r="C28" s="189" t="s">
        <v>153</v>
      </c>
      <c r="D28" s="58">
        <f>(IF(Layers!F2=Layers!J25,Layers!J26,Layers!K26)/'Input sheet'!J12)</f>
        <v>12</v>
      </c>
      <c r="E28" s="78">
        <f>'Input sheet'!H12</f>
        <v>50</v>
      </c>
      <c r="F28" s="67">
        <f>D28*E28</f>
        <v>600</v>
      </c>
      <c r="G28" s="53">
        <f>F28/IF($F$2=$J$25,$J$26,$K$26)</f>
        <v>1</v>
      </c>
      <c r="I28" s="169" t="s">
        <v>132</v>
      </c>
      <c r="J28" s="171">
        <f>'Input sheet'!J16</f>
        <v>200</v>
      </c>
      <c r="K28" s="172">
        <f>'Input sheet'!J17</f>
        <v>600</v>
      </c>
    </row>
    <row r="29" spans="2:11" ht="15.95" customHeight="1">
      <c r="B29" s="54" t="s">
        <v>154</v>
      </c>
      <c r="C29" s="38"/>
      <c r="D29" s="66"/>
      <c r="E29" s="79"/>
      <c r="F29" s="67">
        <f>F8*('Input sheet'!H20+'Input sheet'!H19)</f>
        <v>1846.0960000000005</v>
      </c>
      <c r="G29" s="53">
        <f>F29/IF($F$2=$J$25,$J$26,$K$26)</f>
        <v>3.0768266666666673</v>
      </c>
      <c r="H29" s="77"/>
      <c r="I29" s="173"/>
      <c r="J29" s="171"/>
      <c r="K29" s="169"/>
    </row>
    <row r="30" spans="2:11" ht="15.95" customHeight="1">
      <c r="B30" s="54" t="s">
        <v>155</v>
      </c>
      <c r="C30" s="38"/>
      <c r="D30" s="66"/>
      <c r="E30" s="79"/>
      <c r="F30" s="80">
        <f>IF(F2=K25,'Facilities and equipment'!G31,'Facilities and equipment'!G13)</f>
        <v>7164.7857333333332</v>
      </c>
      <c r="G30" s="56">
        <f>F30/IF($F$2=$J$25,$J$26,$K$26)</f>
        <v>11.941309555555556</v>
      </c>
      <c r="I30" s="169"/>
      <c r="J30" s="174"/>
      <c r="K30" s="169"/>
    </row>
    <row r="31" spans="2:11" ht="15.95" customHeight="1">
      <c r="B31" s="57" t="s">
        <v>156</v>
      </c>
      <c r="C31" s="38"/>
      <c r="F31" s="59">
        <f>SUM(F28:F30)</f>
        <v>9610.8817333333336</v>
      </c>
      <c r="G31" s="60">
        <f>F31/IF($F$2=$J$25,$J$26,$K$26)</f>
        <v>16.018136222222221</v>
      </c>
      <c r="I31" s="169"/>
      <c r="J31" s="175"/>
      <c r="K31" s="169"/>
    </row>
    <row r="32" spans="2:11" ht="15.95" customHeight="1">
      <c r="B32" s="81"/>
      <c r="C32" s="38"/>
      <c r="F32" s="59"/>
      <c r="G32" s="82"/>
      <c r="I32" s="169"/>
      <c r="J32" s="175"/>
      <c r="K32" s="169"/>
    </row>
    <row r="33" spans="2:11" ht="15.95" customHeight="1">
      <c r="B33" s="81" t="s">
        <v>157</v>
      </c>
      <c r="C33" s="38"/>
      <c r="F33" s="59">
        <f>F31+F25</f>
        <v>53319.874813333336</v>
      </c>
      <c r="G33" s="60">
        <f>F33/IF($F$2=$J$25,$J$26,$K$26)</f>
        <v>88.866458022222233</v>
      </c>
      <c r="I33" s="169"/>
      <c r="J33" s="171"/>
      <c r="K33" s="169"/>
    </row>
    <row r="34" spans="2:11" ht="15.95" customHeight="1">
      <c r="B34" s="83"/>
      <c r="C34" s="84"/>
      <c r="D34" s="85"/>
      <c r="E34" s="84"/>
      <c r="F34" s="84"/>
      <c r="G34" s="86"/>
      <c r="I34" s="169"/>
      <c r="J34" s="171"/>
      <c r="K34" s="169"/>
    </row>
    <row r="35" spans="2:11" ht="15.95" customHeight="1">
      <c r="B35" s="101" t="s">
        <v>226</v>
      </c>
      <c r="C35" s="102"/>
      <c r="D35" s="102"/>
      <c r="E35" s="103"/>
      <c r="F35" s="104">
        <f>F8-F25</f>
        <v>2443.4069200000085</v>
      </c>
      <c r="G35" s="105">
        <f>F35/IF($F$2=$J$25,$J$26,$K$26)</f>
        <v>4.0723448666666808</v>
      </c>
      <c r="I35" s="169"/>
      <c r="J35" s="171"/>
      <c r="K35" s="169"/>
    </row>
    <row r="36" spans="2:11" ht="15.95" customHeight="1">
      <c r="B36" s="100" t="s">
        <v>227</v>
      </c>
      <c r="E36" s="38"/>
      <c r="F36" s="59">
        <f>F8-F33</f>
        <v>-7167.4748133333269</v>
      </c>
      <c r="G36" s="60">
        <f>F36/IF($F$2=$J$25,$J$26,$K$26)</f>
        <v>-11.945791355555544</v>
      </c>
      <c r="I36" s="169"/>
      <c r="J36" s="171"/>
      <c r="K36" s="169"/>
    </row>
    <row r="37" spans="2:11" ht="15.95" customHeight="1" thickBot="1">
      <c r="B37" s="106" t="s">
        <v>228</v>
      </c>
      <c r="C37" s="87"/>
      <c r="D37" s="87"/>
      <c r="E37" s="87"/>
      <c r="F37" s="107">
        <f>F8-SUM(F11:F13,F15:F24,F28:F29)</f>
        <v>14700.310920000007</v>
      </c>
      <c r="G37" s="88">
        <f>F37/IF($F$2=$J$25,$J$26,$K$26)</f>
        <v>24.500518200000013</v>
      </c>
      <c r="I37" s="169"/>
      <c r="J37" s="171"/>
      <c r="K37" s="169"/>
    </row>
    <row r="38" spans="2:11" ht="15.95" customHeight="1">
      <c r="B38" s="63" t="s">
        <v>230</v>
      </c>
      <c r="C38" s="185"/>
      <c r="D38" s="185"/>
      <c r="E38" s="41"/>
      <c r="F38" s="59">
        <f>(F33-F30-F14-F28)/D5</f>
        <v>3.2919429236022197</v>
      </c>
      <c r="G38" s="60"/>
      <c r="I38" s="169"/>
      <c r="J38" s="174"/>
      <c r="K38" s="169"/>
    </row>
    <row r="39" spans="2:11" ht="15.95" customHeight="1" thickBot="1">
      <c r="B39" s="106" t="s">
        <v>229</v>
      </c>
      <c r="C39" s="186"/>
      <c r="D39" s="186"/>
      <c r="E39" s="186"/>
      <c r="F39" s="107">
        <f>F33/D5</f>
        <v>5.689273881064163</v>
      </c>
      <c r="G39" s="187"/>
      <c r="I39" s="169"/>
      <c r="J39" s="171"/>
      <c r="K39" s="169"/>
    </row>
    <row r="40" spans="2:11" ht="15.95" customHeight="1">
      <c r="I40" s="169"/>
      <c r="J40" s="171"/>
      <c r="K40" s="169"/>
    </row>
    <row r="41" spans="2:11" hidden="1">
      <c r="I41" s="169"/>
      <c r="J41" s="175"/>
      <c r="K41" s="169"/>
    </row>
    <row r="42" spans="2:11" hidden="1">
      <c r="I42" s="169"/>
      <c r="J42" s="171"/>
      <c r="K42" s="169"/>
    </row>
    <row r="43" spans="2:11" hidden="1">
      <c r="I43" s="169"/>
      <c r="J43" s="171"/>
      <c r="K43" s="169"/>
    </row>
    <row r="44" spans="2:11" hidden="1">
      <c r="I44" s="169"/>
      <c r="J44" s="171"/>
      <c r="K44" s="169"/>
    </row>
    <row r="45" spans="2:11" hidden="1">
      <c r="I45" s="169"/>
      <c r="J45" s="175"/>
      <c r="K45" s="169"/>
    </row>
    <row r="46" spans="2:11" hidden="1">
      <c r="H46" s="64"/>
      <c r="I46" s="176"/>
      <c r="J46" s="169"/>
      <c r="K46" s="169"/>
    </row>
    <row r="47" spans="2:11" hidden="1">
      <c r="I47" s="169" t="s">
        <v>160</v>
      </c>
      <c r="J47" s="169"/>
      <c r="K47" s="169"/>
    </row>
    <row r="48" spans="2:11" hidden="1">
      <c r="I48" s="173">
        <f>F30+F28+F14</f>
        <v>22467.785733333334</v>
      </c>
      <c r="J48" s="169"/>
      <c r="K48" s="169"/>
    </row>
    <row r="55" ht="13.5" hidden="1" customHeight="1"/>
  </sheetData>
  <sheetProtection sheet="1" objects="1" scenarios="1"/>
  <protectedRanges>
    <protectedRange sqref="F2 F7 F17 D20 F23 D24" name="Input cells"/>
  </protectedRanges>
  <mergeCells count="4">
    <mergeCell ref="B1:G1"/>
    <mergeCell ref="B2:C2"/>
    <mergeCell ref="K3:O3"/>
    <mergeCell ref="I5:I11"/>
  </mergeCells>
  <conditionalFormatting sqref="K5:O7 K8:M8 O8 K9:O11">
    <cfRule type="cellIs" dxfId="2" priority="1" operator="lessThan">
      <formula>-$I$48</formula>
    </cfRule>
    <cfRule type="cellIs" dxfId="1" priority="2" operator="between">
      <formula>0</formula>
      <formula>-$I$48</formula>
    </cfRule>
    <cfRule type="cellIs" dxfId="0" priority="3" operator="greaterThan">
      <formula>0</formula>
    </cfRule>
  </conditionalFormatting>
  <dataValidations count="1">
    <dataValidation type="list" allowBlank="1" showInputMessage="1" showErrorMessage="1" sqref="F2" xr:uid="{8B17C24F-8117-4FA3-BE4F-65D0E4FFE306}">
      <formula1>$J$25:$K$25</formula1>
    </dataValidation>
  </dataValidations>
  <pageMargins left="0.7" right="0.7" top="0.75" bottom="0.75" header="0.3" footer="0.3"/>
  <pageSetup scale="85" orientation="portrait" r:id="rId1"/>
  <headerFooter>
    <oddFooter>&amp;C&amp;"Verdana,Regular"&amp;8The Crop Budget Generator is a product of the Food and Agricultural Policy Research Institute at the University of Missouri
www.fapri.missouri.edu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39A92-0C8C-40B8-ADB1-98E51CA8074A}">
  <dimension ref="A1:U29"/>
  <sheetViews>
    <sheetView showGridLines="0" workbookViewId="0"/>
  </sheetViews>
  <sheetFormatPr defaultColWidth="0" defaultRowHeight="15" zeroHeight="1"/>
  <cols>
    <col min="1" max="1" width="3.140625" style="230" customWidth="1"/>
    <col min="2" max="2" width="19" style="217" bestFit="1" customWidth="1"/>
    <col min="3" max="3" width="13.140625" style="217" bestFit="1" customWidth="1"/>
    <col min="4" max="4" width="14" style="217" bestFit="1" customWidth="1"/>
    <col min="5" max="5" width="14.140625" style="217" bestFit="1" customWidth="1"/>
    <col min="6" max="6" width="10" style="217" bestFit="1" customWidth="1"/>
    <col min="7" max="7" width="13" style="217" bestFit="1" customWidth="1"/>
    <col min="8" max="8" width="3.140625" style="217" customWidth="1"/>
    <col min="9" max="9" width="9.140625" style="230" hidden="1" customWidth="1"/>
    <col min="10" max="10" width="19.42578125" style="230" hidden="1" customWidth="1"/>
    <col min="11" max="12" width="9.140625" style="230" hidden="1" customWidth="1"/>
    <col min="13" max="13" width="13.42578125" style="230" hidden="1" customWidth="1"/>
    <col min="14" max="16" width="10.42578125" style="230" hidden="1" customWidth="1"/>
    <col min="17" max="17" width="10.5703125" style="230" hidden="1" customWidth="1"/>
    <col min="18" max="18" width="10.42578125" style="230" hidden="1" customWidth="1"/>
    <col min="19" max="21" width="0" style="230" hidden="1" customWidth="1"/>
    <col min="22" max="16384" width="9.140625" style="230" hidden="1"/>
  </cols>
  <sheetData>
    <row r="1" spans="2:21" ht="18.75">
      <c r="B1" s="164" t="s">
        <v>162</v>
      </c>
      <c r="C1" s="233"/>
      <c r="D1" s="233"/>
      <c r="E1" s="233"/>
      <c r="F1" s="233"/>
      <c r="G1" s="234"/>
    </row>
    <row r="2" spans="2:21" ht="15.75">
      <c r="B2" s="216"/>
      <c r="C2" s="9" t="s">
        <v>102</v>
      </c>
      <c r="D2" s="9" t="s">
        <v>103</v>
      </c>
      <c r="E2" s="9" t="s">
        <v>104</v>
      </c>
      <c r="F2" s="9" t="s">
        <v>163</v>
      </c>
      <c r="G2" s="158" t="s">
        <v>164</v>
      </c>
    </row>
    <row r="3" spans="2:21" ht="33" customHeight="1">
      <c r="B3" s="215" t="s">
        <v>107</v>
      </c>
      <c r="C3" s="222"/>
      <c r="D3" s="1"/>
      <c r="E3" s="25"/>
      <c r="F3" s="224"/>
      <c r="G3" s="225">
        <v>9000</v>
      </c>
      <c r="K3" s="231" t="s">
        <v>165</v>
      </c>
      <c r="U3" s="231" t="s">
        <v>166</v>
      </c>
    </row>
    <row r="4" spans="2:21" ht="15.75">
      <c r="B4" s="20" t="s">
        <v>108</v>
      </c>
      <c r="C4" s="222" t="s">
        <v>109</v>
      </c>
      <c r="D4" s="1"/>
      <c r="E4" s="25">
        <f>'Input sheet'!H7</f>
        <v>19.5</v>
      </c>
      <c r="F4" s="226">
        <v>2</v>
      </c>
      <c r="G4" s="227">
        <v>32</v>
      </c>
      <c r="K4" s="231" t="s">
        <v>167</v>
      </c>
    </row>
    <row r="5" spans="2:21" ht="15.75">
      <c r="B5" s="20" t="s">
        <v>110</v>
      </c>
      <c r="C5" s="222" t="s">
        <v>111</v>
      </c>
      <c r="D5" s="23">
        <v>0.1</v>
      </c>
      <c r="E5" s="159">
        <v>0.5</v>
      </c>
      <c r="F5" s="226">
        <v>110</v>
      </c>
      <c r="G5" s="227">
        <f>P25*R25+P26*L27</f>
        <v>157</v>
      </c>
      <c r="T5" s="230" t="s">
        <v>168</v>
      </c>
      <c r="U5" s="231"/>
    </row>
    <row r="6" spans="2:21" ht="15.75">
      <c r="B6" s="20" t="s">
        <v>169</v>
      </c>
      <c r="C6" s="222" t="s">
        <v>88</v>
      </c>
      <c r="D6" s="23">
        <v>0.1</v>
      </c>
      <c r="E6" s="159">
        <v>0.85</v>
      </c>
      <c r="F6" s="226">
        <v>64</v>
      </c>
      <c r="G6" s="227">
        <f>P27+P29*L29+P28*L29</f>
        <v>242</v>
      </c>
      <c r="U6" s="231" t="s">
        <v>170</v>
      </c>
    </row>
    <row r="7" spans="2:21" ht="15.75">
      <c r="B7" s="20" t="s">
        <v>115</v>
      </c>
      <c r="C7" s="222" t="s">
        <v>88</v>
      </c>
      <c r="D7" s="23">
        <v>0.2</v>
      </c>
      <c r="E7" s="159">
        <v>0.5</v>
      </c>
      <c r="F7" s="226">
        <v>112</v>
      </c>
      <c r="G7" s="227"/>
    </row>
    <row r="8" spans="2:21" ht="15.75">
      <c r="B8" s="20" t="s">
        <v>116</v>
      </c>
      <c r="C8" s="222" t="s">
        <v>117</v>
      </c>
      <c r="D8" s="23">
        <v>0</v>
      </c>
      <c r="E8" s="159">
        <v>40</v>
      </c>
      <c r="F8" s="226">
        <v>1</v>
      </c>
      <c r="G8" s="227">
        <v>3</v>
      </c>
    </row>
    <row r="9" spans="2:21" ht="15.75">
      <c r="B9" s="20" t="s">
        <v>118</v>
      </c>
      <c r="C9" s="222" t="s">
        <v>119</v>
      </c>
      <c r="D9" s="23">
        <v>0.2</v>
      </c>
      <c r="E9" s="159">
        <v>2.5</v>
      </c>
      <c r="F9" s="226">
        <v>4</v>
      </c>
      <c r="G9" s="227">
        <v>16</v>
      </c>
    </row>
    <row r="10" spans="2:21" ht="15.75">
      <c r="B10" s="20" t="s">
        <v>171</v>
      </c>
      <c r="C10" s="222" t="s">
        <v>117</v>
      </c>
      <c r="D10" s="23">
        <v>0</v>
      </c>
      <c r="E10" s="159">
        <v>30</v>
      </c>
      <c r="F10" s="226">
        <v>1</v>
      </c>
      <c r="G10" s="227">
        <v>3</v>
      </c>
    </row>
    <row r="11" spans="2:21" ht="15.75">
      <c r="B11" s="20" t="s">
        <v>172</v>
      </c>
      <c r="C11" s="222" t="s">
        <v>117</v>
      </c>
      <c r="D11" s="23">
        <v>0</v>
      </c>
      <c r="E11" s="159">
        <v>50</v>
      </c>
      <c r="F11" s="226">
        <v>1</v>
      </c>
      <c r="G11" s="227">
        <v>3</v>
      </c>
      <c r="J11" s="230" t="s">
        <v>173</v>
      </c>
    </row>
    <row r="12" spans="2:21" ht="15.75">
      <c r="B12" s="20" t="s">
        <v>120</v>
      </c>
      <c r="C12" s="222" t="s">
        <v>117</v>
      </c>
      <c r="D12" s="23">
        <v>0</v>
      </c>
      <c r="E12" s="159">
        <v>5</v>
      </c>
      <c r="F12" s="226">
        <v>2</v>
      </c>
      <c r="G12" s="227"/>
    </row>
    <row r="13" spans="2:21" ht="15.75">
      <c r="B13" s="20" t="s">
        <v>174</v>
      </c>
      <c r="C13" s="222" t="s">
        <v>117</v>
      </c>
      <c r="D13" s="23"/>
      <c r="E13" s="159">
        <v>90</v>
      </c>
      <c r="F13" s="226"/>
      <c r="G13" s="227">
        <v>1</v>
      </c>
    </row>
    <row r="14" spans="2:21" ht="15.75">
      <c r="B14" s="27" t="s">
        <v>175</v>
      </c>
      <c r="C14" s="223" t="s">
        <v>117</v>
      </c>
      <c r="D14" s="10"/>
      <c r="E14" s="12">
        <v>150</v>
      </c>
      <c r="F14" s="228"/>
      <c r="G14" s="229">
        <v>1</v>
      </c>
    </row>
    <row r="15" spans="2:21" ht="16.5" thickBot="1">
      <c r="B15" s="165" t="s">
        <v>53</v>
      </c>
      <c r="C15" s="111"/>
      <c r="D15" s="167"/>
      <c r="E15" s="221"/>
      <c r="F15" s="221">
        <f>SUMPRODUCT(F4:F14,$E$4:$E$14)</f>
        <v>344.4</v>
      </c>
      <c r="G15" s="162">
        <f>SUMPRODUCT(G4:G14,$E$4:$E$14)+G3</f>
        <v>10548.2</v>
      </c>
    </row>
    <row r="16" spans="2:21" ht="15.75" thickBot="1"/>
    <row r="17" spans="2:18" ht="18.75">
      <c r="B17" s="164" t="s">
        <v>176</v>
      </c>
      <c r="C17" s="108"/>
      <c r="D17" s="233"/>
      <c r="E17" s="233"/>
      <c r="F17" s="234"/>
    </row>
    <row r="18" spans="2:18" ht="15.75">
      <c r="B18" s="27"/>
      <c r="C18" s="9" t="s">
        <v>102</v>
      </c>
      <c r="D18" s="9" t="s">
        <v>104</v>
      </c>
      <c r="E18" s="9" t="s">
        <v>163</v>
      </c>
      <c r="F18" s="158" t="s">
        <v>164</v>
      </c>
    </row>
    <row r="19" spans="2:18" ht="15.75">
      <c r="B19" s="215" t="s">
        <v>16</v>
      </c>
      <c r="C19" s="222" t="s">
        <v>71</v>
      </c>
      <c r="D19" s="25">
        <f>'Input sheet'!H7</f>
        <v>19.5</v>
      </c>
      <c r="E19" s="218">
        <v>1.1000000000000001</v>
      </c>
      <c r="F19" s="219">
        <v>2</v>
      </c>
    </row>
    <row r="20" spans="2:18" ht="15.75">
      <c r="B20" s="20" t="s">
        <v>177</v>
      </c>
      <c r="C20" s="222" t="s">
        <v>178</v>
      </c>
      <c r="D20" s="159">
        <v>8</v>
      </c>
      <c r="E20" s="218">
        <v>0.5</v>
      </c>
      <c r="F20" s="219">
        <v>2</v>
      </c>
    </row>
    <row r="21" spans="2:18" ht="15.75">
      <c r="B21" s="20" t="s">
        <v>179</v>
      </c>
      <c r="C21" s="222" t="s">
        <v>180</v>
      </c>
      <c r="D21" s="159">
        <v>10</v>
      </c>
      <c r="E21" s="218">
        <v>0.5</v>
      </c>
      <c r="F21" s="219">
        <v>1.5</v>
      </c>
      <c r="J21" s="230" t="s">
        <v>181</v>
      </c>
      <c r="K21" s="230" t="s">
        <v>182</v>
      </c>
      <c r="L21" s="230" t="s">
        <v>183</v>
      </c>
      <c r="M21" s="230" t="s">
        <v>184</v>
      </c>
      <c r="O21" s="230" t="s">
        <v>185</v>
      </c>
      <c r="P21" s="230">
        <v>12</v>
      </c>
      <c r="Q21" s="230">
        <v>16</v>
      </c>
    </row>
    <row r="22" spans="2:18" ht="15.75">
      <c r="B22" s="20" t="s">
        <v>186</v>
      </c>
      <c r="C22" s="222" t="s">
        <v>187</v>
      </c>
      <c r="D22" s="159">
        <v>0.15</v>
      </c>
      <c r="E22" s="218">
        <v>25</v>
      </c>
      <c r="F22" s="219">
        <v>175</v>
      </c>
      <c r="O22" s="230" t="s">
        <v>188</v>
      </c>
      <c r="P22" s="230">
        <v>20</v>
      </c>
      <c r="Q22" s="230">
        <v>24</v>
      </c>
    </row>
    <row r="23" spans="2:18" ht="15.75">
      <c r="B23" s="27" t="s">
        <v>189</v>
      </c>
      <c r="C23" s="223" t="s">
        <v>190</v>
      </c>
      <c r="D23" s="220">
        <v>1</v>
      </c>
      <c r="E23" s="12">
        <v>5</v>
      </c>
      <c r="F23" s="161">
        <v>20</v>
      </c>
      <c r="I23" s="230" t="s">
        <v>191</v>
      </c>
      <c r="J23" s="231" t="s">
        <v>192</v>
      </c>
      <c r="M23" s="230" t="s">
        <v>193</v>
      </c>
    </row>
    <row r="24" spans="2:18" ht="16.5" thickBot="1">
      <c r="B24" s="165" t="s">
        <v>53</v>
      </c>
      <c r="C24" s="111"/>
      <c r="D24" s="221"/>
      <c r="E24" s="221">
        <f t="shared" ref="E24:F24" si="0">SUMPRODUCT(E19:E23,$D$19:$D$23)</f>
        <v>39.200000000000003</v>
      </c>
      <c r="F24" s="162">
        <f t="shared" si="0"/>
        <v>116.25</v>
      </c>
      <c r="I24" s="230" t="s">
        <v>194</v>
      </c>
      <c r="J24" s="231" t="s">
        <v>192</v>
      </c>
      <c r="M24" s="230" t="s">
        <v>195</v>
      </c>
      <c r="N24" s="230" t="s">
        <v>196</v>
      </c>
      <c r="O24" s="230" t="s">
        <v>197</v>
      </c>
    </row>
    <row r="25" spans="2:18">
      <c r="O25" s="230" t="s">
        <v>198</v>
      </c>
      <c r="P25" s="230">
        <f>L26*9</f>
        <v>18</v>
      </c>
      <c r="Q25" s="230">
        <f>M26*12</f>
        <v>24</v>
      </c>
      <c r="R25" s="230">
        <v>2.5</v>
      </c>
    </row>
    <row r="26" spans="2:18" hidden="1">
      <c r="K26" s="230" t="s">
        <v>199</v>
      </c>
      <c r="L26" s="230">
        <v>2</v>
      </c>
      <c r="M26" s="230">
        <v>2</v>
      </c>
      <c r="O26" s="230" t="s">
        <v>200</v>
      </c>
      <c r="P26" s="230">
        <f>ROUND(L27/1.33+1,0)*L26</f>
        <v>14</v>
      </c>
      <c r="Q26" s="230">
        <f>M26*ROUND(M28/1.33,0)</f>
        <v>28</v>
      </c>
    </row>
    <row r="27" spans="2:18" hidden="1">
      <c r="L27" s="230">
        <f>P21-4</f>
        <v>8</v>
      </c>
      <c r="M27" s="230">
        <f>Q21/2-1.5</f>
        <v>6.5</v>
      </c>
      <c r="O27" s="230" t="s">
        <v>201</v>
      </c>
      <c r="P27" s="230">
        <f>L27*L28*L26</f>
        <v>128</v>
      </c>
      <c r="Q27" s="230">
        <f>M27*M28*M26</f>
        <v>234</v>
      </c>
    </row>
    <row r="28" spans="2:18" hidden="1">
      <c r="L28" s="230">
        <f>P22/2-2</f>
        <v>8</v>
      </c>
      <c r="M28" s="232">
        <f>Q22-6</f>
        <v>18</v>
      </c>
      <c r="O28" s="230" t="s">
        <v>202</v>
      </c>
      <c r="P28" s="230">
        <v>8</v>
      </c>
      <c r="Q28" s="230">
        <v>8</v>
      </c>
    </row>
    <row r="29" spans="2:18" hidden="1">
      <c r="K29" s="230" t="s">
        <v>203</v>
      </c>
      <c r="L29" s="230">
        <v>3</v>
      </c>
      <c r="M29" s="230">
        <v>4</v>
      </c>
      <c r="O29" s="230" t="s">
        <v>204</v>
      </c>
      <c r="P29" s="230">
        <v>30</v>
      </c>
      <c r="Q29" s="230">
        <v>30</v>
      </c>
    </row>
  </sheetData>
  <sheetProtection sheet="1" objects="1" scenarios="1"/>
  <protectedRanges>
    <protectedRange sqref="F3:G14 D5:E14 E19:F23 D20:D22" name="Input cells"/>
  </protectedRanges>
  <hyperlinks>
    <hyperlink ref="K4" r:id="rId1" xr:uid="{33522C0F-8CEB-4A40-82A1-CC55EE99882E}"/>
    <hyperlink ref="K3" r:id="rId2" xr:uid="{4D8849A9-99A1-4F35-BE8E-56E5741D0905}"/>
    <hyperlink ref="U3" r:id="rId3" xr:uid="{094450AB-5F2B-4158-90B1-4D439213791A}"/>
    <hyperlink ref="U6" r:id="rId4" xr:uid="{999F69CF-2F6E-4605-B9B6-50DA64D9E70B}"/>
    <hyperlink ref="J23" r:id="rId5" display="https://nam02.safelinks.protection.outlook.com/?url=https%3A%2F%2Fwww.menards.com%2Fmain%2Fa-yardbuilding-v2.html%3FdesignId%3D326357747139&amp;data=05%7C02%7Cdkientzy%40missouri.edu%7Ce849bbf6a34a4c49463008dd81c55c6d%7Ce3fefdbef7e9401ba51a355e01b05a89%7C0%7C0%7C638809406857091550%7CUnknown%7CTWFpbGZsb3d8eyJFbXB0eU1hcGkiOnRydWUsIlYiOiIwLjAuMDAwMCIsIlAiOiJXaW4zMiIsIkFOIjoiTWFpbCIsIldUIjoyfQ%3D%3D%7C0%7C%7C%7C&amp;sdata=TYCvsXbY7OXdkWxgDeJYzrG0gagxEFO1xRQN2ZYdezk%3D&amp;reserved=0" xr:uid="{FAA5D9DC-C982-4D7A-99C2-6FB15E5F9F0C}"/>
    <hyperlink ref="J24" r:id="rId6" display="https://nam02.safelinks.protection.outlook.com/?url=https%3A%2F%2Fwww.menards.com%2Fmain%2Fa-yardbuilding-v2.html%3FdesignId%3D326357747139&amp;data=05%7C02%7Cdkientzy%40missouri.edu%7C07d56fbfed6d4526636408dd81c5f714%7Ce3fefdbef7e9401ba51a355e01b05a89%7C0%7C0%7C638809409471454570%7CUnknown%7CTWFpbGZsb3d8eyJFbXB0eU1hcGkiOnRydWUsIlYiOiIwLjAuMDAwMCIsIlAiOiJXaW4zMiIsIkFOIjoiTWFpbCIsIldUIjoyfQ%3D%3D%7C0%7C%7C%7C&amp;sdata=BRXkZYv%2FiuDzaHH1KLuI%2BekhymARNAH%2F0K4eJVZBrKU%3D&amp;reserved=0" xr:uid="{43084D56-6667-4C52-8E4A-A441ACA956D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53688-23B4-4E8D-93F8-DC48084355DC}">
  <dimension ref="B1:L26"/>
  <sheetViews>
    <sheetView workbookViewId="0">
      <selection activeCell="E11" sqref="E11"/>
    </sheetView>
  </sheetViews>
  <sheetFormatPr defaultRowHeight="15"/>
  <cols>
    <col min="2" max="2" width="35.5703125" customWidth="1"/>
    <col min="3" max="3" width="10.85546875" customWidth="1"/>
    <col min="5" max="6" width="10.140625" bestFit="1" customWidth="1"/>
    <col min="8" max="8" width="25.5703125" bestFit="1" customWidth="1"/>
    <col min="9" max="9" width="17.28515625" bestFit="1" customWidth="1"/>
    <col min="10" max="10" width="8.7109375" bestFit="1" customWidth="1"/>
    <col min="11" max="12" width="10.140625" bestFit="1" customWidth="1"/>
  </cols>
  <sheetData>
    <row r="1" spans="2:12">
      <c r="B1" s="255" t="s">
        <v>262</v>
      </c>
      <c r="C1" s="255"/>
      <c r="D1" s="255"/>
      <c r="E1" s="255"/>
      <c r="F1" s="255"/>
      <c r="H1" s="255" t="s">
        <v>263</v>
      </c>
      <c r="I1" s="255"/>
      <c r="J1" s="255"/>
      <c r="K1" s="255"/>
      <c r="L1" s="255"/>
    </row>
    <row r="2" spans="2:12" ht="45">
      <c r="B2" s="195" t="s">
        <v>72</v>
      </c>
      <c r="C2" s="195" t="s">
        <v>254</v>
      </c>
      <c r="D2" s="195" t="s">
        <v>255</v>
      </c>
      <c r="E2" s="195" t="s">
        <v>256</v>
      </c>
      <c r="F2" s="195" t="s">
        <v>257</v>
      </c>
      <c r="H2" s="196" t="s">
        <v>236</v>
      </c>
      <c r="I2" s="196" t="s">
        <v>4</v>
      </c>
      <c r="J2" s="196" t="s">
        <v>237</v>
      </c>
      <c r="K2" s="196" t="s">
        <v>258</v>
      </c>
      <c r="L2" s="196" t="s">
        <v>259</v>
      </c>
    </row>
    <row r="3" spans="2:12">
      <c r="B3" t="s">
        <v>130</v>
      </c>
      <c r="C3" s="181">
        <v>4403.9000000000005</v>
      </c>
      <c r="D3">
        <f>C3/$K$3</f>
        <v>4.7</v>
      </c>
      <c r="E3" s="181">
        <f>Layers!F5</f>
        <v>44048.400000000009</v>
      </c>
      <c r="F3" s="181">
        <f>E3/$L$3</f>
        <v>4.7000000000000011</v>
      </c>
      <c r="H3" t="s">
        <v>130</v>
      </c>
      <c r="I3" t="s">
        <v>260</v>
      </c>
      <c r="J3" s="181">
        <f>'Input sheet'!J33</f>
        <v>4.7000000000000011</v>
      </c>
      <c r="K3" s="211">
        <v>937</v>
      </c>
      <c r="L3" s="211">
        <f>Layers!D5</f>
        <v>9372</v>
      </c>
    </row>
    <row r="4" spans="2:12">
      <c r="B4" t="s">
        <v>133</v>
      </c>
      <c r="C4" s="181">
        <v>208</v>
      </c>
      <c r="D4" s="181">
        <f t="shared" ref="D4:D24" si="0">C4/$K$3</f>
        <v>0.22198505869797225</v>
      </c>
      <c r="E4" s="181">
        <f>Layers!F6</f>
        <v>2104</v>
      </c>
      <c r="F4" s="181">
        <f t="shared" ref="F4:F24" si="1">E4/$L$3</f>
        <v>0.22449850618864703</v>
      </c>
      <c r="H4" t="s">
        <v>133</v>
      </c>
      <c r="I4" t="s">
        <v>117</v>
      </c>
      <c r="J4" s="181">
        <f>Layers!E6</f>
        <v>8</v>
      </c>
      <c r="K4" s="211">
        <v>26</v>
      </c>
      <c r="L4" s="211">
        <f>Layers!D6</f>
        <v>263</v>
      </c>
    </row>
    <row r="5" spans="2:12">
      <c r="B5" s="201" t="s">
        <v>261</v>
      </c>
      <c r="C5" s="202">
        <v>4611.9000000000005</v>
      </c>
      <c r="D5" s="202">
        <f t="shared" si="0"/>
        <v>4.921985058697973</v>
      </c>
      <c r="E5" s="202">
        <f>E3+E4</f>
        <v>46152.400000000009</v>
      </c>
      <c r="F5" s="202">
        <f t="shared" si="1"/>
        <v>4.9244985061886482</v>
      </c>
      <c r="H5" t="s">
        <v>13</v>
      </c>
      <c r="I5" t="s">
        <v>206</v>
      </c>
      <c r="J5" s="181">
        <f>Layers!E11</f>
        <v>20</v>
      </c>
      <c r="K5" s="211">
        <v>4</v>
      </c>
      <c r="L5" s="211">
        <f>Layers!D11</f>
        <v>32</v>
      </c>
    </row>
    <row r="6" spans="2:12">
      <c r="B6" t="s">
        <v>238</v>
      </c>
      <c r="C6" s="181">
        <v>899</v>
      </c>
      <c r="D6" s="181">
        <f t="shared" si="0"/>
        <v>0.95944503735325504</v>
      </c>
      <c r="E6" s="181">
        <f>SUM(Layers!F11:F13)</f>
        <v>9108.25</v>
      </c>
      <c r="F6" s="181">
        <f t="shared" si="1"/>
        <v>0.97185766111822447</v>
      </c>
      <c r="H6" t="s">
        <v>216</v>
      </c>
      <c r="I6" t="s">
        <v>206</v>
      </c>
      <c r="J6" s="181">
        <f>'Input sheet'!J5</f>
        <v>15.75</v>
      </c>
      <c r="K6" s="211">
        <v>12</v>
      </c>
      <c r="L6" s="211">
        <f>Layers!D12</f>
        <v>111</v>
      </c>
    </row>
    <row r="7" spans="2:12">
      <c r="B7" t="s">
        <v>16</v>
      </c>
      <c r="C7" s="181">
        <v>6084</v>
      </c>
      <c r="D7" s="181">
        <f t="shared" si="0"/>
        <v>6.4930629669156881</v>
      </c>
      <c r="E7" s="181">
        <f>Layers!F14</f>
        <v>14703</v>
      </c>
      <c r="F7" s="181">
        <f t="shared" si="1"/>
        <v>1.5688220230473751</v>
      </c>
      <c r="H7" t="s">
        <v>225</v>
      </c>
      <c r="I7" t="s">
        <v>206</v>
      </c>
      <c r="J7" s="181">
        <f>'Input sheet'!J4</f>
        <v>15</v>
      </c>
      <c r="K7" s="211">
        <v>42</v>
      </c>
      <c r="L7" s="211"/>
    </row>
    <row r="8" spans="2:12">
      <c r="B8" t="s">
        <v>139</v>
      </c>
      <c r="C8" s="181">
        <v>124.50000000000001</v>
      </c>
      <c r="D8" s="181">
        <f t="shared" si="0"/>
        <v>0.1328708644610459</v>
      </c>
      <c r="E8" s="181">
        <f>Layers!F15</f>
        <v>1245</v>
      </c>
      <c r="F8" s="181">
        <f t="shared" si="1"/>
        <v>0.13284250960307298</v>
      </c>
      <c r="H8" t="s">
        <v>267</v>
      </c>
      <c r="I8" t="s">
        <v>239</v>
      </c>
      <c r="J8" s="181">
        <f>Layers!E13</f>
        <v>320</v>
      </c>
      <c r="K8" s="211"/>
      <c r="L8" s="211">
        <f>Layers!D13</f>
        <v>21</v>
      </c>
    </row>
    <row r="9" spans="2:12">
      <c r="B9" t="s">
        <v>141</v>
      </c>
      <c r="C9" s="181">
        <v>235.20000000000002</v>
      </c>
      <c r="D9" s="181">
        <f t="shared" si="0"/>
        <v>0.25101387406616865</v>
      </c>
      <c r="E9" s="181">
        <f>Layers!F16</f>
        <v>697.5</v>
      </c>
      <c r="F9" s="181">
        <f t="shared" si="1"/>
        <v>7.4423815620998715E-2</v>
      </c>
      <c r="H9" t="s">
        <v>16</v>
      </c>
      <c r="I9" t="s">
        <v>109</v>
      </c>
      <c r="J9" s="181">
        <f>'Input sheet'!H7</f>
        <v>19.5</v>
      </c>
      <c r="K9" s="211">
        <v>312</v>
      </c>
      <c r="L9" s="211">
        <f>Layers!D14</f>
        <v>754</v>
      </c>
    </row>
    <row r="10" spans="2:12">
      <c r="B10" t="s">
        <v>264</v>
      </c>
      <c r="C10" s="181">
        <v>702.75</v>
      </c>
      <c r="D10" s="181">
        <f t="shared" si="0"/>
        <v>0.75</v>
      </c>
      <c r="E10" s="181">
        <f>Layers!F21</f>
        <v>7029</v>
      </c>
      <c r="F10" s="181">
        <f t="shared" si="1"/>
        <v>0.75</v>
      </c>
      <c r="H10" t="s">
        <v>240</v>
      </c>
      <c r="I10" t="s">
        <v>117</v>
      </c>
      <c r="J10" s="181">
        <f>'Input sheet'!J13</f>
        <v>4.1500000000000004</v>
      </c>
      <c r="K10" s="211">
        <v>30</v>
      </c>
      <c r="L10" s="211">
        <f>Layers!D15</f>
        <v>300</v>
      </c>
    </row>
    <row r="11" spans="2:12">
      <c r="B11" t="s">
        <v>21</v>
      </c>
      <c r="C11" s="181">
        <v>225</v>
      </c>
      <c r="D11" s="181">
        <f t="shared" si="0"/>
        <v>0.24012806830309499</v>
      </c>
      <c r="E11" s="181">
        <f>Layers!F20</f>
        <v>900</v>
      </c>
      <c r="F11" s="181">
        <f t="shared" si="1"/>
        <v>9.6030729833546741E-2</v>
      </c>
      <c r="H11" t="s">
        <v>21</v>
      </c>
      <c r="I11" t="s">
        <v>241</v>
      </c>
      <c r="J11" s="181">
        <f>'Input sheet'!H9</f>
        <v>0.9</v>
      </c>
      <c r="K11" s="211">
        <v>250</v>
      </c>
      <c r="L11" s="211">
        <v>1000</v>
      </c>
    </row>
    <row r="12" spans="2:12">
      <c r="B12" t="s">
        <v>242</v>
      </c>
      <c r="C12" s="181">
        <v>461.19000000000005</v>
      </c>
      <c r="D12" s="181">
        <f t="shared" si="0"/>
        <v>0.4921985058697973</v>
      </c>
      <c r="E12" s="181">
        <f>Layers!F22</f>
        <v>4615.2400000000007</v>
      </c>
      <c r="F12" s="181">
        <f t="shared" si="1"/>
        <v>0.49244985061886476</v>
      </c>
      <c r="H12" t="s">
        <v>264</v>
      </c>
      <c r="I12" t="s">
        <v>266</v>
      </c>
      <c r="J12" s="181">
        <f>'Input sheet'!H11</f>
        <v>0.75</v>
      </c>
      <c r="K12" s="211">
        <v>937</v>
      </c>
      <c r="L12" s="211">
        <f>Layers!D5</f>
        <v>9372</v>
      </c>
    </row>
    <row r="13" spans="2:12">
      <c r="B13" t="s">
        <v>244</v>
      </c>
      <c r="C13" s="181">
        <v>733.91600000000005</v>
      </c>
      <c r="D13" s="181">
        <f t="shared" si="0"/>
        <v>0.78326147278548564</v>
      </c>
      <c r="E13" s="181">
        <f>Layers!F18+Layers!F19</f>
        <v>4513.9639999999999</v>
      </c>
      <c r="F13" s="181">
        <f t="shared" si="1"/>
        <v>0.48164361929150662</v>
      </c>
      <c r="H13" t="s">
        <v>243</v>
      </c>
      <c r="I13" t="s">
        <v>153</v>
      </c>
      <c r="J13" s="181">
        <f>'Input sheet'!H12</f>
        <v>50</v>
      </c>
      <c r="K13" s="211">
        <v>1.2</v>
      </c>
      <c r="L13" s="211">
        <f>Layers!D28</f>
        <v>12</v>
      </c>
    </row>
    <row r="14" spans="2:12">
      <c r="B14" t="s">
        <v>148</v>
      </c>
      <c r="C14" s="181">
        <v>40</v>
      </c>
      <c r="D14" s="181">
        <f t="shared" si="0"/>
        <v>4.2689434364994665E-2</v>
      </c>
      <c r="E14" s="181">
        <f>Layers!F23</f>
        <v>40</v>
      </c>
      <c r="F14" s="181">
        <f t="shared" si="1"/>
        <v>4.268032437046522E-3</v>
      </c>
      <c r="H14" t="s">
        <v>245</v>
      </c>
      <c r="I14" t="s">
        <v>246</v>
      </c>
      <c r="J14" s="199">
        <f>'Input sheet'!H8</f>
        <v>0.08</v>
      </c>
      <c r="K14" s="181">
        <v>9505.5560000000005</v>
      </c>
      <c r="L14" s="181">
        <f>Layers!F25-Layers!F24</f>
        <v>42851.953999999998</v>
      </c>
    </row>
    <row r="15" spans="2:12">
      <c r="B15" t="s">
        <v>18</v>
      </c>
      <c r="C15" s="181">
        <v>190.11112</v>
      </c>
      <c r="D15" s="181">
        <f t="shared" si="0"/>
        <v>0.2028934044823906</v>
      </c>
      <c r="E15" s="181">
        <f>Layers!F24</f>
        <v>857.03908000000001</v>
      </c>
      <c r="F15" s="181">
        <f t="shared" si="1"/>
        <v>9.1446764831412716E-2</v>
      </c>
      <c r="H15" t="s">
        <v>44</v>
      </c>
      <c r="I15" t="s">
        <v>247</v>
      </c>
      <c r="J15" s="199">
        <f>'Input sheet'!H19</f>
        <v>0.03</v>
      </c>
      <c r="K15" s="181">
        <v>4611.9000000000005</v>
      </c>
      <c r="L15" s="181">
        <f>Layers!F8</f>
        <v>46152.400000000009</v>
      </c>
    </row>
    <row r="16" spans="2:12">
      <c r="B16" s="201" t="s">
        <v>249</v>
      </c>
      <c r="C16" s="202">
        <v>9695.6671200000001</v>
      </c>
      <c r="D16" s="202">
        <f t="shared" si="0"/>
        <v>10.347563628601922</v>
      </c>
      <c r="E16" s="202">
        <f>Layers!F25</f>
        <v>43708.99308</v>
      </c>
      <c r="F16" s="202">
        <f t="shared" si="1"/>
        <v>4.6637850064020485</v>
      </c>
      <c r="H16" s="35" t="s">
        <v>248</v>
      </c>
      <c r="I16" s="35" t="s">
        <v>247</v>
      </c>
      <c r="J16" s="200">
        <f>'Input sheet'!H21</f>
        <v>0.1</v>
      </c>
      <c r="K16" s="197">
        <v>4611.9000000000005</v>
      </c>
      <c r="L16" s="197">
        <f>Layers!F8</f>
        <v>46152.400000000009</v>
      </c>
    </row>
    <row r="17" spans="2:6">
      <c r="B17" t="s">
        <v>269</v>
      </c>
      <c r="C17" s="181">
        <v>60</v>
      </c>
      <c r="D17" s="181">
        <f t="shared" si="0"/>
        <v>6.4034151547491994E-2</v>
      </c>
      <c r="E17" s="181">
        <f>Layers!F28</f>
        <v>600</v>
      </c>
      <c r="F17" s="181">
        <f t="shared" si="1"/>
        <v>6.4020486555697823E-2</v>
      </c>
    </row>
    <row r="18" spans="2:6">
      <c r="B18" t="s">
        <v>250</v>
      </c>
      <c r="C18" s="181">
        <v>831.822</v>
      </c>
      <c r="D18" s="181">
        <f>C18/$K$3</f>
        <v>0.88775026680896474</v>
      </c>
      <c r="E18" s="181">
        <f>Layers!F30</f>
        <v>7164.7857333333332</v>
      </c>
      <c r="F18" s="181">
        <f>E18/$L$3</f>
        <v>0.76448844785887038</v>
      </c>
    </row>
    <row r="19" spans="2:6">
      <c r="B19" t="s">
        <v>154</v>
      </c>
      <c r="C19" s="181">
        <v>184.48</v>
      </c>
      <c r="D19" s="181">
        <f>C19/$K$3</f>
        <v>0.19688367129135537</v>
      </c>
      <c r="E19" s="198">
        <f>Layers!F29</f>
        <v>1846.0960000000005</v>
      </c>
      <c r="F19" s="181">
        <f>E19/$L$3</f>
        <v>0.19697994024754592</v>
      </c>
    </row>
    <row r="20" spans="2:6">
      <c r="B20" t="s">
        <v>156</v>
      </c>
      <c r="C20" s="181">
        <f>SUM(C17:C19)</f>
        <v>1076.3019999999999</v>
      </c>
      <c r="D20" s="181">
        <f t="shared" si="0"/>
        <v>1.1486680896478121</v>
      </c>
      <c r="E20" s="181">
        <f>SUM(E17:E19)</f>
        <v>9610.8817333333336</v>
      </c>
      <c r="F20" s="181">
        <f t="shared" si="1"/>
        <v>1.025488874662114</v>
      </c>
    </row>
    <row r="21" spans="2:6">
      <c r="B21" s="201" t="s">
        <v>251</v>
      </c>
      <c r="C21" s="202">
        <v>10771.965120000001</v>
      </c>
      <c r="D21" s="202">
        <f t="shared" si="0"/>
        <v>11.496227449306298</v>
      </c>
      <c r="E21" s="202">
        <f>Layers!F33</f>
        <v>53319.874813333336</v>
      </c>
      <c r="F21" s="202">
        <f t="shared" si="1"/>
        <v>5.689273881064163</v>
      </c>
    </row>
    <row r="22" spans="2:6">
      <c r="B22" t="s">
        <v>252</v>
      </c>
      <c r="C22" s="181">
        <v>-5083.7671199999995</v>
      </c>
      <c r="D22" s="181">
        <f t="shared" si="0"/>
        <v>-5.4255785699039478</v>
      </c>
      <c r="E22" s="181">
        <f>E5-E16</f>
        <v>2443.4069200000085</v>
      </c>
      <c r="F22" s="181">
        <f t="shared" si="1"/>
        <v>0.2607134997865993</v>
      </c>
    </row>
    <row r="23" spans="2:6">
      <c r="B23" t="s">
        <v>253</v>
      </c>
      <c r="C23" s="181">
        <v>-6160.0651200000002</v>
      </c>
      <c r="D23" s="181">
        <f t="shared" si="0"/>
        <v>-6.5742423906083243</v>
      </c>
      <c r="E23" s="181">
        <f>E5-E21</f>
        <v>-7167.4748133333269</v>
      </c>
      <c r="F23" s="181">
        <f t="shared" si="1"/>
        <v>-0.76477537487551506</v>
      </c>
    </row>
    <row r="24" spans="2:6">
      <c r="B24" t="s">
        <v>228</v>
      </c>
      <c r="C24" s="181">
        <v>755.7568799999998</v>
      </c>
      <c r="D24" s="181">
        <f t="shared" si="0"/>
        <v>0.80657084311632854</v>
      </c>
      <c r="E24" s="181">
        <f>E5-E21+E7+E18</f>
        <v>14700.310920000007</v>
      </c>
      <c r="F24" s="181">
        <f t="shared" si="1"/>
        <v>1.5685350960307305</v>
      </c>
    </row>
    <row r="25" spans="2:6">
      <c r="B25" s="205"/>
      <c r="C25" s="205" t="s">
        <v>265</v>
      </c>
      <c r="D25" s="206">
        <v>4.0513800640341522</v>
      </c>
      <c r="E25" s="203"/>
      <c r="F25" s="204">
        <f>Layers!F38</f>
        <v>3.2919429236022197</v>
      </c>
    </row>
    <row r="26" spans="2:6">
      <c r="B26" s="207"/>
      <c r="C26" s="207" t="s">
        <v>268</v>
      </c>
      <c r="D26" s="208">
        <v>11.496227449306298</v>
      </c>
      <c r="E26" s="35"/>
      <c r="F26" s="197">
        <f>Layers!F39</f>
        <v>5.689273881064163</v>
      </c>
    </row>
  </sheetData>
  <mergeCells count="2">
    <mergeCell ref="B1:F1"/>
    <mergeCell ref="H1:L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Input sheet</vt:lpstr>
      <vt:lpstr>Facilities and equipment</vt:lpstr>
      <vt:lpstr>Layers</vt:lpstr>
      <vt:lpstr>Brooder Budget</vt:lpstr>
      <vt:lpstr>Guide tables</vt:lpstr>
      <vt:lpstr>Layers!Print_Area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Kientzy, Andrew</dc:creator>
  <cp:lastModifiedBy>Kientzy, Andrew</cp:lastModifiedBy>
  <dcterms:created xsi:type="dcterms:W3CDTF">2025-05-21T21:13:38Z</dcterms:created>
  <dcterms:modified xsi:type="dcterms:W3CDTF">2025-09-22T19:37:05Z</dcterms:modified>
</cp:coreProperties>
</file>